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结果表-基准" sheetId="79"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3">'结果表-基准'!$A$1:$I$127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N21" i="1" l="1"/>
  <c r="B89" i="77" l="1"/>
  <c r="C89" i="77"/>
  <c r="U21" i="31"/>
  <c r="D4" i="31"/>
  <c r="E4" i="31"/>
  <c r="F4" i="31"/>
  <c r="G4" i="31"/>
  <c r="H4" i="31"/>
  <c r="I4" i="31"/>
  <c r="J4" i="31"/>
  <c r="D3" i="31"/>
  <c r="E3" i="31"/>
  <c r="F3" i="31"/>
  <c r="G3" i="31"/>
  <c r="H3" i="31"/>
  <c r="I3" i="31"/>
  <c r="J3" i="31"/>
  <c r="C4" i="31"/>
  <c r="C3" i="31"/>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N56" i="79"/>
  <c r="M56" i="79"/>
  <c r="K56" i="79"/>
  <c r="J56" i="79"/>
  <c r="J57" i="79" s="1"/>
  <c r="J59" i="79" s="1"/>
  <c r="J61" i="79" s="1"/>
  <c r="F56" i="79"/>
  <c r="O55" i="79"/>
  <c r="N55" i="79"/>
  <c r="K55" i="79"/>
  <c r="J55" i="79"/>
  <c r="I55" i="79"/>
  <c r="F55" i="79"/>
  <c r="O54" i="79"/>
  <c r="N54" i="79"/>
  <c r="F54" i="79"/>
  <c r="O53" i="79"/>
  <c r="N53" i="79"/>
  <c r="F53" i="79"/>
  <c r="F52" i="79"/>
  <c r="K49" i="79"/>
  <c r="F48" i="79"/>
  <c r="O52" i="79" s="1"/>
  <c r="E48" i="79"/>
  <c r="N52" i="79" s="1"/>
  <c r="D48" i="79"/>
  <c r="M52" i="79" s="1"/>
  <c r="M47" i="79"/>
  <c r="F33" i="79"/>
  <c r="D27" i="79"/>
  <c r="C25" i="79"/>
  <c r="C24" i="79"/>
  <c r="M19" i="79"/>
  <c r="C118" i="79" s="1"/>
  <c r="L19" i="79"/>
  <c r="M18" i="79"/>
  <c r="B118" i="79" s="1"/>
  <c r="L18" i="79"/>
  <c r="D17" i="79"/>
  <c r="C17" i="79"/>
  <c r="L4" i="79"/>
  <c r="K4" i="79"/>
  <c r="A2" i="79"/>
  <c r="H1" i="79"/>
  <c r="C34" i="34"/>
  <c r="G60" i="43"/>
  <c r="G61" i="43"/>
  <c r="G62" i="43"/>
  <c r="G63" i="43"/>
  <c r="G64" i="43"/>
  <c r="G65" i="43"/>
  <c r="G66" i="43"/>
  <c r="G67" i="43"/>
  <c r="G59" i="43"/>
  <c r="D29" i="43"/>
  <c r="O23" i="1"/>
  <c r="N6" i="1" s="1"/>
  <c r="Y6" i="1" s="1"/>
  <c r="N23" i="1"/>
  <c r="F20" i="6"/>
  <c r="F19" i="6"/>
  <c r="I14" i="3"/>
  <c r="I13" i="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C18" i="79" l="1"/>
  <c r="D18" i="79" s="1"/>
  <c r="C92" i="79"/>
  <c r="C94" i="79"/>
  <c r="K120" i="79"/>
  <c r="D121" i="79"/>
  <c r="H112" i="79"/>
  <c r="H110" i="79"/>
  <c r="H111" i="79"/>
  <c r="D126" i="79" s="1"/>
  <c r="D127" i="79" s="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c r="E109" i="9"/>
  <c r="A124" i="9"/>
  <c r="B44" i="72"/>
  <c r="B42" i="72"/>
  <c r="B69" i="72"/>
  <c r="B68" i="72"/>
  <c r="B63" i="72"/>
  <c r="B62" i="72"/>
  <c r="B16" i="72"/>
  <c r="B60" i="72"/>
  <c r="B67" i="72"/>
  <c r="B10" i="72"/>
  <c r="C53" i="10"/>
  <c r="B51" i="10"/>
  <c r="B19" i="72"/>
  <c r="A18" i="51"/>
  <c r="B13" i="72" s="1"/>
  <c r="C8" i="68"/>
  <c r="B49" i="48"/>
  <c r="B5" i="72" s="1"/>
  <c r="I19" i="43"/>
  <c r="D84" i="71"/>
  <c r="F83" i="71"/>
  <c r="F82" i="71" s="1"/>
  <c r="E83" i="71"/>
  <c r="E82" i="71"/>
  <c r="E81" i="71" s="1"/>
  <c r="C83" i="71"/>
  <c r="D83" i="71" s="1"/>
  <c r="B83" i="71"/>
  <c r="B82" i="71" s="1"/>
  <c r="F81" i="71"/>
  <c r="B81" i="71"/>
  <c r="D80" i="71"/>
  <c r="F79" i="71"/>
  <c r="F78" i="71" s="1"/>
  <c r="E79" i="71"/>
  <c r="E78" i="7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c r="Q65" i="71"/>
  <c r="P65" i="71"/>
  <c r="O65" i="71"/>
  <c r="N65" i="71"/>
  <c r="Q64" i="71"/>
  <c r="P64" i="71"/>
  <c r="O64" i="71"/>
  <c r="N64" i="71"/>
  <c r="D64" i="71"/>
  <c r="F63" i="71"/>
  <c r="V63" i="71" s="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c r="B50" i="71" s="1"/>
  <c r="B51" i="71" s="1"/>
  <c r="S51" i="71" s="1"/>
  <c r="D48" i="71"/>
  <c r="Q47" i="71"/>
  <c r="P47" i="71"/>
  <c r="O47" i="71"/>
  <c r="N47" i="71"/>
  <c r="Q46" i="71"/>
  <c r="P46" i="71"/>
  <c r="O46" i="71"/>
  <c r="N46" i="71"/>
  <c r="Q45" i="71"/>
  <c r="P45" i="71"/>
  <c r="O45" i="71"/>
  <c r="N45" i="71"/>
  <c r="Q44" i="71"/>
  <c r="F45" i="71"/>
  <c r="P44" i="71"/>
  <c r="E45" i="7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3" i="71" s="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N63" i="71"/>
  <c r="E29" i="71"/>
  <c r="E30" i="71"/>
  <c r="E31" i="71" s="1"/>
  <c r="U31" i="71" s="1"/>
  <c r="C25" i="71"/>
  <c r="D25" i="71" s="1"/>
  <c r="X25" i="71"/>
  <c r="X26" i="71"/>
  <c r="X27" i="71"/>
  <c r="C29" i="71"/>
  <c r="C30" i="71" s="1"/>
  <c r="Y28" i="71"/>
  <c r="Z28" i="71" s="1"/>
  <c r="AB28" i="71"/>
  <c r="AA29" i="71"/>
  <c r="AA30" i="71"/>
  <c r="X31" i="71"/>
  <c r="AA31" i="71"/>
  <c r="C33" i="71"/>
  <c r="Y32" i="71"/>
  <c r="Z32" i="71" s="1"/>
  <c r="AB32" i="71"/>
  <c r="X33" i="71"/>
  <c r="AA33" i="71"/>
  <c r="F46" i="71"/>
  <c r="F47" i="71"/>
  <c r="V47" i="71" s="1"/>
  <c r="C23" i="71"/>
  <c r="C22" i="71" s="1"/>
  <c r="X20" i="71"/>
  <c r="X22" i="71"/>
  <c r="X23" i="71"/>
  <c r="C26" i="71"/>
  <c r="D26" i="71" s="1"/>
  <c r="D29" i="71"/>
  <c r="C34" i="71"/>
  <c r="D33" i="71"/>
  <c r="P23" i="71"/>
  <c r="AA3" i="71" s="1"/>
  <c r="E58" i="71"/>
  <c r="E59" i="71"/>
  <c r="U59" i="71" s="1"/>
  <c r="U63" i="71"/>
  <c r="E62" i="71"/>
  <c r="E61" i="71" s="1"/>
  <c r="Q23" i="71"/>
  <c r="C58" i="71"/>
  <c r="C59" i="71" s="1"/>
  <c r="T59" i="71" s="1"/>
  <c r="D57" i="71"/>
  <c r="N62" i="71"/>
  <c r="B61" i="71"/>
  <c r="T63" i="71"/>
  <c r="O63" i="71"/>
  <c r="D63" i="71"/>
  <c r="C62" i="71"/>
  <c r="O62" i="71" s="1"/>
  <c r="Q63" i="71"/>
  <c r="C66" i="71"/>
  <c r="D66" i="71" s="1"/>
  <c r="E66" i="71"/>
  <c r="E65" i="71"/>
  <c r="D67" i="71"/>
  <c r="C70" i="71"/>
  <c r="C69" i="71" s="1"/>
  <c r="D69" i="71" s="1"/>
  <c r="E70" i="71"/>
  <c r="E69" i="71"/>
  <c r="D71" i="71"/>
  <c r="C74" i="71"/>
  <c r="C73" i="71" s="1"/>
  <c r="D73" i="71" s="1"/>
  <c r="E74" i="71"/>
  <c r="E73" i="71"/>
  <c r="D75" i="71"/>
  <c r="C78" i="71"/>
  <c r="D78" i="71" s="1"/>
  <c r="C82" i="71"/>
  <c r="T23" i="71"/>
  <c r="F23" i="71"/>
  <c r="F22" i="71"/>
  <c r="F21" i="71" s="1"/>
  <c r="AB20" i="71"/>
  <c r="AB21" i="71"/>
  <c r="AB22" i="71"/>
  <c r="AB23" i="71"/>
  <c r="E23" i="71"/>
  <c r="E22" i="71" s="1"/>
  <c r="E21" i="71" s="1"/>
  <c r="AA20" i="71"/>
  <c r="AA22" i="71"/>
  <c r="D23" i="71"/>
  <c r="U23" i="71" s="1"/>
  <c r="C61" i="71"/>
  <c r="D61" i="71" s="1"/>
  <c r="D62" i="71"/>
  <c r="D58" i="71"/>
  <c r="C77" i="71"/>
  <c r="D77" i="71" s="1"/>
  <c r="D70" i="71"/>
  <c r="N60" i="71"/>
  <c r="N61" i="71"/>
  <c r="D82" i="71"/>
  <c r="C81" i="71"/>
  <c r="D81" i="71" s="1"/>
  <c r="D74" i="71"/>
  <c r="C65" i="71"/>
  <c r="D65" i="71" s="1"/>
  <c r="P62" i="71"/>
  <c r="C35" i="71"/>
  <c r="T35" i="71" s="1"/>
  <c r="D34" i="71"/>
  <c r="C27" i="71"/>
  <c r="T27" i="71" s="1"/>
  <c r="O61" i="71"/>
  <c r="O60" i="71"/>
  <c r="D27" i="71"/>
  <c r="D35" i="71"/>
  <c r="D5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D67" i="43" s="1"/>
  <c r="J67" i="43"/>
  <c r="M66" i="43"/>
  <c r="N66" i="43"/>
  <c r="K66" i="43"/>
  <c r="J66" i="43"/>
  <c r="D66" i="43" s="1"/>
  <c r="M65" i="43"/>
  <c r="N65" i="43"/>
  <c r="K65" i="43"/>
  <c r="D65" i="43" s="1"/>
  <c r="J65" i="43"/>
  <c r="M64" i="43"/>
  <c r="N64" i="43"/>
  <c r="K64" i="43"/>
  <c r="D64" i="43" s="1"/>
  <c r="J64" i="43"/>
  <c r="M63" i="43"/>
  <c r="N63" i="43"/>
  <c r="K63" i="43"/>
  <c r="J63" i="43"/>
  <c r="M62" i="43"/>
  <c r="N62" i="43"/>
  <c r="K62" i="43"/>
  <c r="D62" i="43" s="1"/>
  <c r="J62" i="43"/>
  <c r="M61" i="43"/>
  <c r="N61" i="43"/>
  <c r="K61" i="43"/>
  <c r="D61" i="43" s="1"/>
  <c r="J61" i="43"/>
  <c r="M60" i="43"/>
  <c r="N60" i="43"/>
  <c r="K60" i="43"/>
  <c r="D60" i="43" s="1"/>
  <c r="J60" i="43"/>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S35" i="34"/>
  <c r="F28" i="34"/>
  <c r="AA28" i="34"/>
  <c r="F27" i="34"/>
  <c r="AA27" i="34" s="1"/>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A12" i="52"/>
  <c r="B56" i="72" s="1"/>
  <c r="S11" i="39"/>
  <c r="G4" i="4"/>
  <c r="I4" i="4"/>
  <c r="A2" i="9"/>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2" i="43"/>
  <c r="K9" i="1"/>
  <c r="M9" i="1" s="1"/>
  <c r="O9" i="1" s="1"/>
  <c r="P9" i="1" s="1"/>
  <c r="AE9" i="1"/>
  <c r="D93" i="9"/>
  <c r="K6" i="1"/>
  <c r="E13" i="6"/>
  <c r="E58" i="40" s="1"/>
  <c r="G29" i="6"/>
  <c r="AC26" i="33"/>
  <c r="W26" i="33"/>
  <c r="W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s="1"/>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BA5" i="3"/>
  <c r="E27" i="6" s="1"/>
  <c r="E11" i="6"/>
  <c r="E61" i="39" s="1"/>
  <c r="BL17" i="3"/>
  <c r="AZ17" i="3" s="1"/>
  <c r="BL13" i="3"/>
  <c r="G30" i="6"/>
  <c r="G31" i="6" s="1"/>
  <c r="J56" i="9"/>
  <c r="J57" i="9" s="1"/>
  <c r="J59" i="9" s="1"/>
  <c r="J61" i="9" s="1"/>
  <c r="A24" i="51"/>
  <c r="B18" i="72" s="1"/>
  <c r="U29" i="34"/>
  <c r="E14" i="6"/>
  <c r="E64" i="39" s="1"/>
  <c r="E5" i="6"/>
  <c r="D9" i="11" s="1"/>
  <c r="C9" i="11" s="1"/>
  <c r="P10" i="1"/>
  <c r="H22" i="43"/>
  <c r="L101" i="43"/>
  <c r="L109" i="43"/>
  <c r="H101" i="43"/>
  <c r="D101" i="43"/>
  <c r="D109" i="43" s="1"/>
  <c r="M101" i="43"/>
  <c r="M109" i="43" s="1"/>
  <c r="I101" i="43"/>
  <c r="I109" i="43" s="1"/>
  <c r="E101" i="43"/>
  <c r="G22" i="43"/>
  <c r="E32" i="6"/>
  <c r="L19" i="6"/>
  <c r="G1" i="68"/>
  <c r="K1" i="12"/>
  <c r="E28" i="6"/>
  <c r="AR12" i="1"/>
  <c r="AQ12" i="1"/>
  <c r="T12" i="1"/>
  <c r="AR10" i="1"/>
  <c r="T10" i="1"/>
  <c r="E19" i="69"/>
  <c r="E19" i="68"/>
  <c r="E19" i="11"/>
  <c r="G22" i="69"/>
  <c r="G26" i="12"/>
  <c r="C100" i="43"/>
  <c r="E11" i="43"/>
  <c r="E10" i="43"/>
  <c r="E9" i="43"/>
  <c r="E8" i="43"/>
  <c r="C7" i="43" s="1"/>
  <c r="E81" i="43"/>
  <c r="B79" i="43" s="1"/>
  <c r="AJ11" i="43"/>
  <c r="AJ13" i="43" s="1"/>
  <c r="AH11" i="43"/>
  <c r="AF11" i="43"/>
  <c r="AF13" i="43" s="1"/>
  <c r="AD11" i="43"/>
  <c r="AB11" i="43"/>
  <c r="AB13" i="43" s="1"/>
  <c r="Z11" i="43"/>
  <c r="Z7" i="43"/>
  <c r="AI11" i="43"/>
  <c r="AI13" i="43" s="1"/>
  <c r="AG11" i="43"/>
  <c r="AE11" i="43"/>
  <c r="AE13" i="43" s="1"/>
  <c r="AC11" i="43"/>
  <c r="AA11" i="43"/>
  <c r="AA13" i="43" s="1"/>
  <c r="Y11" i="43"/>
  <c r="Y13"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E56" i="39"/>
  <c r="E51" i="40"/>
  <c r="B6" i="1"/>
  <c r="E6" i="1" s="1"/>
  <c r="S8" i="1"/>
  <c r="AR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AQ9" i="1"/>
  <c r="AR11" i="1"/>
  <c r="E59" i="40"/>
  <c r="T9" i="1"/>
  <c r="T13" i="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E102" i="43"/>
  <c r="E104" i="43"/>
  <c r="E106" i="43"/>
  <c r="E107" i="43"/>
  <c r="E103" i="43"/>
  <c r="E105" i="43"/>
  <c r="M102" i="43"/>
  <c r="M104" i="43"/>
  <c r="M106" i="43"/>
  <c r="M107" i="43"/>
  <c r="M103" i="43"/>
  <c r="M105" i="43"/>
  <c r="H102" i="43"/>
  <c r="H107" i="43"/>
  <c r="H103" i="43"/>
  <c r="H106" i="43"/>
  <c r="H104" i="43"/>
  <c r="H105" i="43"/>
  <c r="E109" i="43"/>
  <c r="H109" i="43"/>
  <c r="I102" i="43"/>
  <c r="D104" i="43"/>
  <c r="L102" i="43"/>
  <c r="L106" i="43"/>
  <c r="L105" i="43"/>
  <c r="L107" i="43"/>
  <c r="L104" i="43"/>
  <c r="L103" i="43"/>
  <c r="AQ8" i="1"/>
  <c r="AP7" i="1"/>
  <c r="M7" i="1"/>
  <c r="O7" i="1" s="1"/>
  <c r="P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S17" i="33"/>
  <c r="U17" i="33"/>
  <c r="AB17" i="33"/>
  <c r="U23" i="21"/>
  <c r="AB23" i="21"/>
  <c r="W23" i="21"/>
  <c r="AC11" i="37"/>
  <c r="W11" i="37"/>
  <c r="F34" i="11"/>
  <c r="F11" i="12"/>
  <c r="C23" i="12" s="1"/>
  <c r="F34" i="68"/>
  <c r="R8" i="1"/>
  <c r="AE7" i="1"/>
  <c r="AE8" i="1"/>
  <c r="AG6" i="1"/>
  <c r="H109" i="9"/>
  <c r="H112" i="9"/>
  <c r="D21" i="53" s="1"/>
  <c r="B39" i="72" s="1"/>
  <c r="H111" i="9"/>
  <c r="D126" i="9" s="1"/>
  <c r="I14" i="74" s="1"/>
  <c r="B8" i="74" s="1"/>
  <c r="AD3" i="71"/>
  <c r="J1" i="73"/>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C94" i="9"/>
  <c r="C92" i="9"/>
  <c r="F16" i="71"/>
  <c r="F15" i="71"/>
  <c r="F14" i="71" s="1"/>
  <c r="F13" i="71" s="1"/>
  <c r="F12" i="71" s="1"/>
  <c r="Y15" i="71"/>
  <c r="Z15" i="71" s="1"/>
  <c r="X3" i="71"/>
  <c r="E16" i="71"/>
  <c r="E15" i="71" s="1"/>
  <c r="G20" i="43"/>
  <c r="E41" i="43" s="1"/>
  <c r="C41" i="43" s="1"/>
  <c r="I59" i="34"/>
  <c r="J59" i="34" s="1"/>
  <c r="F13" i="15"/>
  <c r="M9" i="15"/>
  <c r="D7" i="73"/>
  <c r="E11" i="76"/>
  <c r="D2" i="36"/>
  <c r="E9" i="76"/>
  <c r="M24" i="15"/>
  <c r="M21" i="15"/>
  <c r="F26" i="67"/>
  <c r="F7" i="73"/>
  <c r="F36" i="67"/>
  <c r="J15" i="67"/>
  <c r="AO11" i="1"/>
  <c r="M23" i="67"/>
  <c r="M26" i="67"/>
  <c r="F6" i="15"/>
  <c r="E7" i="76"/>
  <c r="C76" i="67"/>
  <c r="F13" i="67"/>
  <c r="F38" i="15"/>
  <c r="AO7" i="1"/>
  <c r="B13" i="76"/>
  <c r="E2" i="69"/>
  <c r="D2" i="35"/>
  <c r="D9" i="69"/>
  <c r="L48" i="15"/>
  <c r="F16" i="15"/>
  <c r="D2" i="33"/>
  <c r="F42" i="15"/>
  <c r="M27" i="67"/>
  <c r="AO10" i="1"/>
  <c r="E2" i="68"/>
  <c r="E13" i="76"/>
  <c r="M23" i="15"/>
  <c r="F9" i="67"/>
  <c r="M26" i="15"/>
  <c r="F8" i="67"/>
  <c r="AO8" i="1"/>
  <c r="F38" i="67"/>
  <c r="F9" i="15"/>
  <c r="D2" i="34"/>
  <c r="M28" i="67"/>
  <c r="M22" i="67"/>
  <c r="E8" i="76"/>
  <c r="D2" i="37"/>
  <c r="F40" i="67"/>
  <c r="F43" i="15"/>
  <c r="M27" i="15"/>
  <c r="F7" i="15"/>
  <c r="AO12" i="1"/>
  <c r="F3" i="73"/>
  <c r="M6" i="67"/>
  <c r="F26" i="15"/>
  <c r="M24" i="67"/>
  <c r="M9" i="67"/>
  <c r="F42" i="67"/>
  <c r="B9" i="76"/>
  <c r="F16" i="67"/>
  <c r="E12" i="76"/>
  <c r="F41" i="15"/>
  <c r="D2" i="21"/>
  <c r="B7" i="76"/>
  <c r="C76" i="15"/>
  <c r="D6" i="73"/>
  <c r="L48" i="67"/>
  <c r="F43" i="67"/>
  <c r="F6" i="67"/>
  <c r="F8" i="15"/>
  <c r="F20" i="31"/>
  <c r="AO13" i="1"/>
  <c r="F40" i="15"/>
  <c r="F4" i="73"/>
  <c r="B11" i="76"/>
  <c r="D3" i="73"/>
  <c r="M29" i="15"/>
  <c r="M22" i="15"/>
  <c r="D5" i="73"/>
  <c r="F37" i="67"/>
  <c r="L47" i="15"/>
  <c r="B8" i="76"/>
  <c r="AO9" i="1"/>
  <c r="E10" i="76"/>
  <c r="F37" i="15"/>
  <c r="F5" i="73"/>
  <c r="L47" i="67"/>
  <c r="M8" i="15"/>
  <c r="D4" i="73"/>
  <c r="F7" i="67"/>
  <c r="B10" i="76"/>
  <c r="B12" i="76"/>
  <c r="M28" i="15"/>
  <c r="M6" i="15"/>
  <c r="M29" i="67"/>
  <c r="J15" i="15"/>
  <c r="F35" i="15"/>
  <c r="F6" i="73"/>
  <c r="M8" i="67"/>
  <c r="F36" i="15"/>
  <c r="K5" i="4" l="1"/>
  <c r="B47" i="48" s="1"/>
  <c r="W34" i="34"/>
  <c r="S34" i="34"/>
  <c r="G112" i="34"/>
  <c r="H112" i="34" s="1"/>
  <c r="I112" i="34" s="1"/>
  <c r="J112" i="34" s="1"/>
  <c r="K112" i="34" s="1"/>
  <c r="L112" i="34" s="1"/>
  <c r="M112" i="34" s="1"/>
  <c r="F37" i="34"/>
  <c r="J37" i="34"/>
  <c r="H37" i="34"/>
  <c r="AB11" i="34"/>
  <c r="W11" i="34"/>
  <c r="AA11" i="34"/>
  <c r="W8" i="34"/>
  <c r="P74" i="67"/>
  <c r="C9" i="69"/>
  <c r="J59" i="43"/>
  <c r="E59" i="43"/>
  <c r="B57" i="43" s="1"/>
  <c r="C24" i="43" s="1"/>
  <c r="D68" i="9"/>
  <c r="M18" i="15"/>
  <c r="M18" i="67"/>
  <c r="F30" i="69"/>
  <c r="C48" i="69" s="1"/>
  <c r="F31" i="12"/>
  <c r="C77" i="9"/>
  <c r="C74" i="9" s="1"/>
  <c r="C36" i="11"/>
  <c r="C30" i="11"/>
  <c r="F54" i="9"/>
  <c r="F28" i="15"/>
  <c r="C28" i="15" s="1"/>
  <c r="F32" i="15"/>
  <c r="F60" i="15" s="1"/>
  <c r="F32" i="67"/>
  <c r="F60" i="67" s="1"/>
  <c r="F52" i="9"/>
  <c r="F28" i="67"/>
  <c r="C28" i="67" s="1"/>
  <c r="F30" i="68"/>
  <c r="F53" i="9"/>
  <c r="C21" i="69"/>
  <c r="G22" i="11"/>
  <c r="G22" i="68"/>
  <c r="E1" i="73"/>
  <c r="Q16" i="1"/>
  <c r="F28" i="12"/>
  <c r="C29" i="12" s="1"/>
  <c r="D28" i="12" s="1"/>
  <c r="I103" i="43"/>
  <c r="D9" i="68"/>
  <c r="C9" i="68" s="1"/>
  <c r="E15" i="6"/>
  <c r="D19" i="12"/>
  <c r="C19" i="12" s="1"/>
  <c r="E57" i="40"/>
  <c r="E62" i="39"/>
  <c r="E16" i="6"/>
  <c r="H16" i="1"/>
  <c r="L27" i="6"/>
  <c r="F27" i="11"/>
  <c r="F27" i="68"/>
  <c r="F45" i="68" s="1"/>
  <c r="E2" i="70"/>
  <c r="F30" i="6"/>
  <c r="F31" i="6" s="1"/>
  <c r="E29" i="6"/>
  <c r="T8" i="1"/>
  <c r="D107" i="43"/>
  <c r="D103" i="43"/>
  <c r="I106" i="43"/>
  <c r="D102" i="43"/>
  <c r="D106" i="43"/>
  <c r="D105" i="43"/>
  <c r="I105" i="43"/>
  <c r="I107" i="43"/>
  <c r="I104" i="43"/>
  <c r="K100" i="43"/>
  <c r="H62" i="43"/>
  <c r="H66" i="43"/>
  <c r="H64" i="43"/>
  <c r="H59" i="43"/>
  <c r="H61" i="43"/>
  <c r="H65" i="43"/>
  <c r="H63" i="43"/>
  <c r="H67" i="43"/>
  <c r="H60" i="43"/>
  <c r="H87" i="43"/>
  <c r="H86" i="43"/>
  <c r="H50" i="43"/>
  <c r="G12" i="1"/>
  <c r="D127" i="9"/>
  <c r="D13" i="52" s="1"/>
  <c r="E68" i="39"/>
  <c r="G17" i="43"/>
  <c r="C16" i="43" s="1"/>
  <c r="C5" i="43" s="1"/>
  <c r="E14" i="71"/>
  <c r="E13" i="71" s="1"/>
  <c r="E12" i="71" s="1"/>
  <c r="E11" i="71" s="1"/>
  <c r="V15" i="71"/>
  <c r="D124" i="9"/>
  <c r="P6" i="1"/>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AQ6" i="1" s="1"/>
  <c r="C20" i="43"/>
  <c r="D12" i="52"/>
  <c r="D19" i="53"/>
  <c r="D16" i="53"/>
  <c r="H110" i="9"/>
  <c r="D18" i="53" s="1"/>
  <c r="B35" i="72" s="1"/>
  <c r="M16" i="1"/>
  <c r="O14" i="1"/>
  <c r="P14" i="1" s="1"/>
  <c r="C31" i="12"/>
  <c r="AZ521" i="3"/>
  <c r="F22" i="43"/>
  <c r="K101" i="43"/>
  <c r="F101" i="43"/>
  <c r="N101" i="43"/>
  <c r="E22" i="43"/>
  <c r="D22" i="43" s="1"/>
  <c r="B113" i="43"/>
  <c r="G101" i="43"/>
  <c r="C101" i="43"/>
  <c r="J101" i="43"/>
  <c r="N104" i="46"/>
  <c r="E56" i="40"/>
  <c r="O12" i="1"/>
  <c r="P12" i="1" s="1"/>
  <c r="AB27" i="36"/>
  <c r="U12" i="39"/>
  <c r="AA27" i="40"/>
  <c r="AB27" i="40"/>
  <c r="AA34" i="33"/>
  <c r="AZ548" i="3"/>
  <c r="J34" i="35"/>
  <c r="H34" i="35"/>
  <c r="F34" i="35"/>
  <c r="H25" i="37"/>
  <c r="F25" i="37"/>
  <c r="S11" i="36"/>
  <c r="AB11" i="36"/>
  <c r="AA14" i="33"/>
  <c r="AA44" i="33"/>
  <c r="J12" i="34"/>
  <c r="H12" i="34"/>
  <c r="J12" i="35"/>
  <c r="H12" i="35"/>
  <c r="F12" i="35"/>
  <c r="J25" i="37"/>
  <c r="H36" i="35"/>
  <c r="J36" i="35"/>
  <c r="W31" i="35"/>
  <c r="AC31" i="35"/>
  <c r="G551" i="3"/>
  <c r="BL548" i="3"/>
  <c r="BL5" i="3" s="1"/>
  <c r="O8" i="1"/>
  <c r="AZ409" i="3"/>
  <c r="AZ416" i="3"/>
  <c r="AZ425" i="3"/>
  <c r="AZ432" i="3"/>
  <c r="AZ445" i="3"/>
  <c r="AZ447" i="3"/>
  <c r="AZ464" i="3"/>
  <c r="AZ467" i="3"/>
  <c r="AZ474" i="3"/>
  <c r="AZ480" i="3"/>
  <c r="AZ482" i="3"/>
  <c r="AZ486" i="3"/>
  <c r="AZ488" i="3"/>
  <c r="AZ216" i="3"/>
  <c r="AZ231" i="3"/>
  <c r="AZ201" i="3"/>
  <c r="AZ207" i="3"/>
  <c r="AZ73" i="3"/>
  <c r="AZ220" i="3"/>
  <c r="AZ225" i="3"/>
  <c r="AZ247" i="3"/>
  <c r="AZ255" i="3"/>
  <c r="AZ274" i="3"/>
  <c r="AZ285" i="3"/>
  <c r="AZ293" i="3"/>
  <c r="AZ298" i="3"/>
  <c r="AZ153" i="3"/>
  <c r="AZ22" i="3"/>
  <c r="AZ5" i="3" s="1"/>
  <c r="AZ64" i="3"/>
  <c r="AZ78" i="3"/>
  <c r="AZ99" i="3"/>
  <c r="AZ103" i="3"/>
  <c r="AZ112" i="3"/>
  <c r="M100" i="43"/>
  <c r="I100" i="43"/>
  <c r="E100" i="43"/>
  <c r="D100" i="43"/>
  <c r="C40" i="68"/>
  <c r="C21" i="68"/>
  <c r="P61" i="71"/>
  <c r="P60" i="71"/>
  <c r="C21" i="71"/>
  <c r="D21" i="71" s="1"/>
  <c r="D22" i="71"/>
  <c r="D30" i="71"/>
  <c r="C31" i="71"/>
  <c r="B22" i="71"/>
  <c r="B21" i="71" s="1"/>
  <c r="S23" i="71"/>
  <c r="C38" i="71"/>
  <c r="D37" i="71"/>
  <c r="C42" i="71"/>
  <c r="D42" i="71" s="1"/>
  <c r="D41" i="71"/>
  <c r="D45" i="71"/>
  <c r="C46" i="71"/>
  <c r="D49" i="71"/>
  <c r="C50" i="71"/>
  <c r="D53" i="71"/>
  <c r="C54" i="71"/>
  <c r="F25" i="71"/>
  <c r="F26" i="71" s="1"/>
  <c r="F27" i="71" s="1"/>
  <c r="V27" i="71" s="1"/>
  <c r="Y5" i="71"/>
  <c r="Z5" i="71" s="1"/>
  <c r="AA5" i="71"/>
  <c r="AC12" i="43"/>
  <c r="AC13" i="43" s="1"/>
  <c r="AC10" i="43"/>
  <c r="AG12" i="43"/>
  <c r="AG13" i="43" s="1"/>
  <c r="AG10" i="43"/>
  <c r="X19" i="71"/>
  <c r="Y19" i="71"/>
  <c r="Z19" i="71" s="1"/>
  <c r="AA18" i="71"/>
  <c r="X17" i="71"/>
  <c r="AA16" i="71"/>
  <c r="X16" i="71"/>
  <c r="X12" i="71"/>
  <c r="Y12" i="71"/>
  <c r="Z12" i="71" s="1"/>
  <c r="AA12" i="71"/>
  <c r="AB13" i="71"/>
  <c r="Y9" i="71"/>
  <c r="Z9" i="71" s="1"/>
  <c r="AB7" i="71"/>
  <c r="V23" i="71"/>
  <c r="AA23" i="71"/>
  <c r="AA21" i="71"/>
  <c r="X21" i="71"/>
  <c r="Y23" i="71"/>
  <c r="Z23" i="71" s="1"/>
  <c r="Y22" i="71"/>
  <c r="Z22" i="71" s="1"/>
  <c r="Y21" i="71"/>
  <c r="Z21" i="71" s="1"/>
  <c r="Y20" i="71"/>
  <c r="Z20" i="71" s="1"/>
  <c r="X30" i="71"/>
  <c r="X29" i="71"/>
  <c r="AA27" i="71"/>
  <c r="AA26" i="71"/>
  <c r="AA32" i="71"/>
  <c r="X5" i="71"/>
  <c r="Y34" i="71"/>
  <c r="Z34" i="71" s="1"/>
  <c r="AA34" i="71"/>
  <c r="AB5" i="71"/>
  <c r="F62" i="71"/>
  <c r="B66" i="71"/>
  <c r="B65" i="71" s="1"/>
  <c r="AE10" i="43"/>
  <c r="Z12" i="43"/>
  <c r="Z13" i="43" s="1"/>
  <c r="Z10" i="43"/>
  <c r="AD12" i="43"/>
  <c r="AD13" i="43" s="1"/>
  <c r="AD10" i="43"/>
  <c r="AH12" i="43"/>
  <c r="AH13" i="43" s="1"/>
  <c r="AH10" i="43"/>
  <c r="Y17" i="71"/>
  <c r="Z17" i="71" s="1"/>
  <c r="AB18" i="71"/>
  <c r="Y13" i="71"/>
  <c r="Z13" i="71" s="1"/>
  <c r="X13" i="71"/>
  <c r="AA13" i="71"/>
  <c r="Y16" i="71"/>
  <c r="Z16" i="71" s="1"/>
  <c r="AA17" i="71"/>
  <c r="AB16" i="71"/>
  <c r="X10" i="71"/>
  <c r="AA10" i="71"/>
  <c r="AB8" i="71"/>
  <c r="Y6" i="71"/>
  <c r="Z6" i="71" s="1"/>
  <c r="Y8" i="71"/>
  <c r="Z8" i="71" s="1"/>
  <c r="X6" i="71"/>
  <c r="X8" i="71"/>
  <c r="AA6" i="71"/>
  <c r="AA8" i="71"/>
  <c r="AA19" i="71"/>
  <c r="AB19" i="71"/>
  <c r="B19" i="71"/>
  <c r="C19" i="71"/>
  <c r="Y18" i="71"/>
  <c r="Z18" i="71" s="1"/>
  <c r="AB10" i="71"/>
  <c r="AB12" i="71"/>
  <c r="AB6" i="71"/>
  <c r="AB9" i="71"/>
  <c r="Y7" i="71"/>
  <c r="Z7" i="71" s="1"/>
  <c r="X7" i="71"/>
  <c r="X9" i="71"/>
  <c r="AA7" i="71"/>
  <c r="AA9" i="7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C34" i="69"/>
  <c r="C14" i="67"/>
  <c r="C14" i="15"/>
  <c r="C17" i="15"/>
  <c r="C17" i="67"/>
  <c r="F27" i="69"/>
  <c r="C36" i="69"/>
  <c r="C16" i="15"/>
  <c r="G1" i="73"/>
  <c r="U37" i="34" l="1"/>
  <c r="AB37" i="34"/>
  <c r="AA37" i="34"/>
  <c r="S37" i="34"/>
  <c r="AC37" i="34"/>
  <c r="W37" i="34"/>
  <c r="C35" i="69"/>
  <c r="F45" i="69"/>
  <c r="C29" i="68"/>
  <c r="D27" i="68" s="1"/>
  <c r="C47" i="69"/>
  <c r="D45" i="69" s="1"/>
  <c r="F48" i="69"/>
  <c r="C30" i="69"/>
  <c r="F48" i="68"/>
  <c r="C30" i="68"/>
  <c r="C48" i="68"/>
  <c r="C29" i="69"/>
  <c r="D27" i="69" s="1"/>
  <c r="C38" i="69"/>
  <c r="T6" i="1"/>
  <c r="M20" i="6"/>
  <c r="I20" i="6" s="1"/>
  <c r="S20" i="6" s="1"/>
  <c r="S7" i="1"/>
  <c r="S16" i="1" s="1"/>
  <c r="AR6" i="1"/>
  <c r="O16" i="1"/>
  <c r="E60" i="40"/>
  <c r="E65" i="39"/>
  <c r="E66" i="39" s="1"/>
  <c r="C47" i="68"/>
  <c r="D45" i="68" s="1"/>
  <c r="J10" i="39"/>
  <c r="W10" i="39" s="1"/>
  <c r="C29" i="11"/>
  <c r="D27" i="11" s="1"/>
  <c r="C47" i="11"/>
  <c r="D45" i="11" s="1"/>
  <c r="C18" i="15"/>
  <c r="C15" i="15"/>
  <c r="H10" i="40"/>
  <c r="P8" i="1"/>
  <c r="K15" i="1"/>
  <c r="K16" i="1" s="1"/>
  <c r="E30" i="6"/>
  <c r="E31" i="6" s="1"/>
  <c r="D5" i="43"/>
  <c r="C35" i="43" s="1"/>
  <c r="E35" i="43" s="1"/>
  <c r="H10" i="39"/>
  <c r="U10" i="39" s="1"/>
  <c r="J10" i="40"/>
  <c r="AC10" i="40" s="1"/>
  <c r="F68" i="39"/>
  <c r="E70" i="39"/>
  <c r="T11" i="43"/>
  <c r="V11" i="43" s="1"/>
  <c r="T15" i="43"/>
  <c r="V15" i="43" s="1"/>
  <c r="T16" i="43"/>
  <c r="V16" i="43" s="1"/>
  <c r="T8" i="43"/>
  <c r="V8" i="43" s="1"/>
  <c r="T12" i="43"/>
  <c r="V12" i="43" s="1"/>
  <c r="T9" i="43"/>
  <c r="V9" i="43" s="1"/>
  <c r="T10" i="43"/>
  <c r="V10" i="43" s="1"/>
  <c r="T13" i="43"/>
  <c r="V13" i="43" s="1"/>
  <c r="T14" i="43"/>
  <c r="V14" i="43" s="1"/>
  <c r="E3" i="6"/>
  <c r="B18" i="71"/>
  <c r="B17" i="71" s="1"/>
  <c r="B16" i="71" s="1"/>
  <c r="B15" i="71" s="1"/>
  <c r="S19" i="71"/>
  <c r="F61" i="71"/>
  <c r="Q62" i="71"/>
  <c r="D38" i="71"/>
  <c r="C39" i="71"/>
  <c r="G5" i="3"/>
  <c r="B3" i="3" s="1"/>
  <c r="E551" i="3" s="1"/>
  <c r="AB36" i="35"/>
  <c r="U36" i="35"/>
  <c r="AA12" i="35"/>
  <c r="S12" i="35"/>
  <c r="W12" i="35"/>
  <c r="AC12" i="35"/>
  <c r="W12" i="34"/>
  <c r="AC12" i="34"/>
  <c r="U25" i="37"/>
  <c r="AB25" i="37"/>
  <c r="AB34" i="35"/>
  <c r="U34" i="35"/>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L16" i="1"/>
  <c r="N16" i="1"/>
  <c r="C34" i="11"/>
  <c r="C34" i="68"/>
  <c r="B34" i="72"/>
  <c r="D17" i="53"/>
  <c r="B36" i="72" s="1"/>
  <c r="M19" i="6"/>
  <c r="K27" i="6"/>
  <c r="P16" i="1"/>
  <c r="C11" i="12" s="1"/>
  <c r="D10" i="52"/>
  <c r="D125" i="9"/>
  <c r="D11" i="52" s="1"/>
  <c r="H14" i="74"/>
  <c r="B7" i="74" s="1"/>
  <c r="F7" i="36"/>
  <c r="J7" i="37"/>
  <c r="H7" i="36"/>
  <c r="H7" i="34"/>
  <c r="AB7" i="34" s="1"/>
  <c r="T49" i="34" s="1"/>
  <c r="G49" i="34" s="1"/>
  <c r="F7" i="34"/>
  <c r="S7" i="34" s="1"/>
  <c r="C18" i="71"/>
  <c r="D19" i="71"/>
  <c r="U19" i="71" s="1"/>
  <c r="T19" i="71"/>
  <c r="D54" i="71"/>
  <c r="C55" i="71"/>
  <c r="D50" i="71"/>
  <c r="C51" i="71"/>
  <c r="D46" i="71"/>
  <c r="C47" i="71"/>
  <c r="T31" i="71"/>
  <c r="D31" i="71"/>
  <c r="AC36" i="35"/>
  <c r="W36" i="35"/>
  <c r="AC25" i="37"/>
  <c r="W25" i="37"/>
  <c r="U12" i="35"/>
  <c r="AB12" i="35"/>
  <c r="U12" i="34"/>
  <c r="AB12" i="34"/>
  <c r="AA25" i="37"/>
  <c r="S25" i="37"/>
  <c r="S34" i="35"/>
  <c r="AA34" i="35"/>
  <c r="AC34" i="35"/>
  <c r="W34" i="35"/>
  <c r="J104" i="43"/>
  <c r="J107" i="43"/>
  <c r="J102" i="43"/>
  <c r="J105" i="43"/>
  <c r="J103" i="43"/>
  <c r="J106" i="43"/>
  <c r="J109" i="43"/>
  <c r="G105" i="43"/>
  <c r="G107" i="43"/>
  <c r="G104" i="43"/>
  <c r="G106" i="43"/>
  <c r="G109" i="43"/>
  <c r="G102" i="43"/>
  <c r="G103" i="43"/>
  <c r="F104" i="43"/>
  <c r="F102" i="43"/>
  <c r="F105" i="43"/>
  <c r="F107" i="43"/>
  <c r="F106" i="43"/>
  <c r="F103" i="43"/>
  <c r="F109" i="43"/>
  <c r="B38" i="72"/>
  <c r="D20" i="53"/>
  <c r="B40" i="72" s="1"/>
  <c r="E10" i="71"/>
  <c r="E9" i="71" s="1"/>
  <c r="E8" i="71" s="1"/>
  <c r="E7" i="71" s="1"/>
  <c r="V11" i="71"/>
  <c r="F59" i="67"/>
  <c r="H7" i="37"/>
  <c r="AB7" i="37" s="1"/>
  <c r="T42" i="37" s="1"/>
  <c r="G42" i="37" s="1"/>
  <c r="B40" i="1"/>
  <c r="AC10" i="39"/>
  <c r="U10" i="40"/>
  <c r="AB10" i="40"/>
  <c r="S10" i="39"/>
  <c r="AA10" i="39"/>
  <c r="H7" i="33"/>
  <c r="J7" i="33"/>
  <c r="D65" i="40"/>
  <c r="E63" i="40"/>
  <c r="F48" i="35"/>
  <c r="S7" i="36"/>
  <c r="AA7" i="36"/>
  <c r="R36" i="36" s="1"/>
  <c r="AC7" i="37"/>
  <c r="V42" i="37" s="1"/>
  <c r="I42" i="37" s="1"/>
  <c r="W7" i="37"/>
  <c r="AB7" i="36"/>
  <c r="T36" i="36" s="1"/>
  <c r="G36" i="36" s="1"/>
  <c r="U7" i="36"/>
  <c r="W10" i="40"/>
  <c r="AA10" i="40"/>
  <c r="S10" i="40"/>
  <c r="F7" i="33"/>
  <c r="E58" i="21"/>
  <c r="AC7" i="36"/>
  <c r="V36" i="36" s="1"/>
  <c r="I36" i="36" s="1"/>
  <c r="W7" i="36"/>
  <c r="F7" i="37"/>
  <c r="W7" i="34"/>
  <c r="AC7" i="34"/>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V49" i="34" l="1"/>
  <c r="I49" i="34" s="1"/>
  <c r="U7" i="34"/>
  <c r="AA7" i="34"/>
  <c r="R49" i="34" s="1"/>
  <c r="R50" i="34" s="1"/>
  <c r="C37" i="43"/>
  <c r="E37" i="43" s="1"/>
  <c r="C36" i="43"/>
  <c r="E36" i="43" s="1"/>
  <c r="C33" i="43"/>
  <c r="C19" i="15"/>
  <c r="C20" i="15" s="1"/>
  <c r="C26" i="15" s="1"/>
  <c r="T7" i="1"/>
  <c r="T16" i="1" s="1"/>
  <c r="AQ7" i="1"/>
  <c r="AR7" i="1"/>
  <c r="AB10" i="39"/>
  <c r="S2" i="43"/>
  <c r="T2" i="43" s="1"/>
  <c r="V2" i="43" s="1"/>
  <c r="S5" i="43"/>
  <c r="T5" i="43" s="1"/>
  <c r="V5" i="43" s="1"/>
  <c r="C23" i="43"/>
  <c r="C21" i="43" s="1"/>
  <c r="C29" i="43" s="1"/>
  <c r="C6" i="69" s="1"/>
  <c r="C7" i="69" s="1"/>
  <c r="S4" i="43"/>
  <c r="T4" i="43" s="1"/>
  <c r="V4" i="43" s="1"/>
  <c r="S7" i="43"/>
  <c r="T7" i="43" s="1"/>
  <c r="V7" i="43" s="1"/>
  <c r="S3" i="43"/>
  <c r="T3" i="43" s="1"/>
  <c r="V3" i="43" s="1"/>
  <c r="S6" i="43"/>
  <c r="T6" i="43" s="1"/>
  <c r="V6" i="43" s="1"/>
  <c r="G35" i="43"/>
  <c r="I35" i="43" s="1"/>
  <c r="C39" i="43"/>
  <c r="C34" i="43"/>
  <c r="C38" i="43"/>
  <c r="G36" i="43"/>
  <c r="I36" i="43" s="1"/>
  <c r="G68" i="39"/>
  <c r="F70" i="39"/>
  <c r="C15" i="12"/>
  <c r="C12" i="12"/>
  <c r="C38" i="68"/>
  <c r="C35" i="68"/>
  <c r="F50" i="11"/>
  <c r="F50" i="68"/>
  <c r="F50" i="69"/>
  <c r="C115" i="43"/>
  <c r="D113" i="43" s="1"/>
  <c r="J22" i="43" s="1"/>
  <c r="T39" i="71"/>
  <c r="D39" i="71"/>
  <c r="D3" i="21"/>
  <c r="D19" i="11"/>
  <c r="C19" i="11" s="1"/>
  <c r="C17" i="4"/>
  <c r="B4" i="52" s="1"/>
  <c r="B43" i="72" s="1"/>
  <c r="L18" i="9"/>
  <c r="D3" i="37"/>
  <c r="D3" i="34"/>
  <c r="D3" i="33"/>
  <c r="E6" i="6"/>
  <c r="D37" i="11"/>
  <c r="C37" i="11" s="1"/>
  <c r="D14" i="12"/>
  <c r="M18" i="9"/>
  <c r="B118" i="9" s="1"/>
  <c r="B14" i="74" s="1"/>
  <c r="B1" i="74" s="1"/>
  <c r="C8" i="74" s="1"/>
  <c r="U7" i="37"/>
  <c r="E6" i="71"/>
  <c r="E5" i="71" s="1"/>
  <c r="V7" i="71"/>
  <c r="T47" i="71"/>
  <c r="D47" i="71"/>
  <c r="T51" i="71"/>
  <c r="D51" i="71"/>
  <c r="T55" i="71"/>
  <c r="D55" i="71"/>
  <c r="C17" i="71"/>
  <c r="D18" i="71"/>
  <c r="I19" i="6"/>
  <c r="M27" i="6"/>
  <c r="C38" i="11"/>
  <c r="C35"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Q61" i="71"/>
  <c r="Q60" i="71"/>
  <c r="B14" i="71"/>
  <c r="B13" i="71" s="1"/>
  <c r="B12" i="71" s="1"/>
  <c r="B11" i="71" s="1"/>
  <c r="S15" i="71"/>
  <c r="AY6" i="3"/>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F69" i="67" l="1"/>
  <c r="J29" i="67"/>
  <c r="E49" i="34"/>
  <c r="E54" i="34" s="1"/>
  <c r="F54" i="34" s="1"/>
  <c r="G37" i="43"/>
  <c r="I37" i="43" s="1"/>
  <c r="G33" i="43"/>
  <c r="I33" i="43" s="1"/>
  <c r="E33" i="43"/>
  <c r="AC6" i="3"/>
  <c r="H6" i="3"/>
  <c r="E29" i="43"/>
  <c r="C30" i="43"/>
  <c r="E30" i="43" s="1"/>
  <c r="E38" i="43"/>
  <c r="G38" i="43"/>
  <c r="I38" i="43" s="1"/>
  <c r="E39" i="43"/>
  <c r="G39" i="43"/>
  <c r="I39" i="43" s="1"/>
  <c r="G34" i="43"/>
  <c r="I34" i="43" s="1"/>
  <c r="E34" i="43"/>
  <c r="G70" i="39"/>
  <c r="H68"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72" i="3"/>
  <c r="AY208" i="3"/>
  <c r="AY375" i="3"/>
  <c r="AY339" i="3"/>
  <c r="AY322" i="3"/>
  <c r="AY474" i="3"/>
  <c r="AY432" i="3"/>
  <c r="AY413" i="3"/>
  <c r="AY15" i="3"/>
  <c r="AY583" i="3"/>
  <c r="AY567" i="3"/>
  <c r="AY257" i="3"/>
  <c r="AY240" i="3"/>
  <c r="AY386" i="3"/>
  <c r="AY351" i="3"/>
  <c r="AY307" i="3"/>
  <c r="AY477" i="3"/>
  <c r="AY443" i="3"/>
  <c r="AY400" i="3"/>
  <c r="AY521" i="3"/>
  <c r="AY566" i="3"/>
  <c r="BT6" i="3"/>
  <c r="B10" i="71"/>
  <c r="B9" i="71" s="1"/>
  <c r="B8" i="71" s="1"/>
  <c r="B7" i="71" s="1"/>
  <c r="S11" i="71"/>
  <c r="E6" i="3"/>
  <c r="C33" i="11"/>
  <c r="C39" i="11" s="1"/>
  <c r="C46" i="11" s="1"/>
  <c r="C45" i="11" s="1"/>
  <c r="C7" i="74"/>
  <c r="D17" i="12"/>
  <c r="C17" i="12" s="1"/>
  <c r="C14" i="12"/>
  <c r="C16" i="12" s="1"/>
  <c r="D10" i="68"/>
  <c r="D20" i="12"/>
  <c r="C20" i="12" s="1"/>
  <c r="C18" i="12" s="1"/>
  <c r="D10" i="11"/>
  <c r="C10" i="11" s="1"/>
  <c r="I27" i="6"/>
  <c r="S19" i="6"/>
  <c r="S27" i="6" s="1"/>
  <c r="D17" i="71"/>
  <c r="C16" i="71"/>
  <c r="C20" i="11"/>
  <c r="C28" i="11" s="1"/>
  <c r="C27" i="11" s="1"/>
  <c r="R49" i="33"/>
  <c r="E48" i="33"/>
  <c r="I52" i="33"/>
  <c r="J52" i="33" s="1"/>
  <c r="I53" i="33"/>
  <c r="J53" i="33" s="1"/>
  <c r="E40" i="36"/>
  <c r="F40" i="36" s="1"/>
  <c r="E41" i="36"/>
  <c r="F41" i="36"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D10" i="69"/>
  <c r="E53" i="34" l="1"/>
  <c r="F53" i="34" s="1"/>
  <c r="I54" i="34"/>
  <c r="J54" i="34" s="1"/>
  <c r="C27" i="43"/>
  <c r="C26" i="43"/>
  <c r="C43" i="11"/>
  <c r="C42" i="11"/>
  <c r="C25" i="11"/>
  <c r="C22" i="11" s="1"/>
  <c r="C31" i="11" s="1"/>
  <c r="H70" i="39"/>
  <c r="I68" i="39"/>
  <c r="C21" i="12"/>
  <c r="C22" i="12" s="1"/>
  <c r="C27" i="12" s="1"/>
  <c r="C25" i="12" s="1"/>
  <c r="C15" i="71"/>
  <c r="D16" i="71"/>
  <c r="C10" i="68"/>
  <c r="D19" i="68"/>
  <c r="M19" i="9"/>
  <c r="C118" i="9" s="1"/>
  <c r="C14" i="74" s="1"/>
  <c r="B2" i="74" s="1"/>
  <c r="D19" i="6"/>
  <c r="D26" i="6"/>
  <c r="C18" i="4"/>
  <c r="D8" i="6"/>
  <c r="D23" i="6"/>
  <c r="D14" i="6"/>
  <c r="D5" i="6"/>
  <c r="D12" i="6"/>
  <c r="D11" i="6"/>
  <c r="D13" i="6"/>
  <c r="D28" i="6"/>
  <c r="E61" i="40"/>
  <c r="H23" i="6"/>
  <c r="H26" i="6"/>
  <c r="H19" i="6"/>
  <c r="D25" i="6"/>
  <c r="D22" i="6"/>
  <c r="D24" i="6"/>
  <c r="D9" i="6"/>
  <c r="L19" i="9"/>
  <c r="H25" i="6"/>
  <c r="H21" i="6"/>
  <c r="H20" i="6"/>
  <c r="D15" i="6"/>
  <c r="D21" i="6"/>
  <c r="D20" i="6"/>
  <c r="D6" i="6"/>
  <c r="D10" i="6"/>
  <c r="D29" i="6"/>
  <c r="H22" i="6"/>
  <c r="H24" i="6"/>
  <c r="C10" i="69"/>
  <c r="C8" i="69" s="1"/>
  <c r="C5" i="69" s="1"/>
  <c r="D19" i="69"/>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J14" i="67"/>
  <c r="C13" i="67"/>
  <c r="J19" i="67"/>
  <c r="C57" i="67"/>
  <c r="C61" i="67" s="1"/>
  <c r="Q49" i="67"/>
  <c r="J59" i="67"/>
  <c r="J60" i="67" s="1"/>
  <c r="E6" i="76"/>
  <c r="E2" i="76" l="1"/>
  <c r="B2" i="43"/>
  <c r="C41" i="11"/>
  <c r="C49" i="11" s="1"/>
  <c r="C51" i="11" s="1"/>
  <c r="C52" i="11" s="1"/>
  <c r="B2" i="11" s="1"/>
  <c r="B3" i="11" s="1"/>
  <c r="H27" i="6"/>
  <c r="R20" i="6"/>
  <c r="R7" i="1" s="1"/>
  <c r="R25" i="6"/>
  <c r="D30" i="6"/>
  <c r="D16" i="6"/>
  <c r="J68" i="39"/>
  <c r="I70" i="39"/>
  <c r="C30" i="12"/>
  <c r="C28" i="12" s="1"/>
  <c r="C32" i="12" s="1"/>
  <c r="B2" i="12" s="1"/>
  <c r="B3" i="12" s="1"/>
  <c r="C23" i="69"/>
  <c r="R21" i="6"/>
  <c r="R22" i="6"/>
  <c r="R23" i="6"/>
  <c r="A7" i="51"/>
  <c r="B7" i="72" s="1"/>
  <c r="C4" i="52"/>
  <c r="B45" i="72" s="1"/>
  <c r="A10" i="51"/>
  <c r="B9" i="72" s="1"/>
  <c r="D27" i="6"/>
  <c r="R19" i="6"/>
  <c r="C19" i="68"/>
  <c r="D37" i="68"/>
  <c r="C37" i="68" s="1"/>
  <c r="C33" i="68" s="1"/>
  <c r="C19" i="69"/>
  <c r="C24" i="69" s="1"/>
  <c r="D37" i="69"/>
  <c r="C37" i="69" s="1"/>
  <c r="C33" i="69" s="1"/>
  <c r="R24" i="6"/>
  <c r="R26" i="6"/>
  <c r="D8" i="74"/>
  <c r="D7" i="74"/>
  <c r="C14" i="71"/>
  <c r="T15" i="71"/>
  <c r="D15" i="71"/>
  <c r="U15" i="71" s="1"/>
  <c r="I63" i="40"/>
  <c r="H65" i="40"/>
  <c r="I58" i="21"/>
  <c r="J58" i="21" s="1"/>
  <c r="K58" i="21" s="1"/>
  <c r="L58" i="21" s="1"/>
  <c r="M58" i="21" s="1"/>
  <c r="N58" i="21" s="1"/>
  <c r="O58" i="21" s="1"/>
  <c r="H7" i="21" s="1"/>
  <c r="F7" i="21"/>
  <c r="J48" i="35"/>
  <c r="Q48" i="15"/>
  <c r="L46" i="15"/>
  <c r="J13" i="67"/>
  <c r="J23" i="67" s="1"/>
  <c r="J22" i="67"/>
  <c r="C64" i="67"/>
  <c r="C64" i="15"/>
  <c r="C59" i="15"/>
  <c r="Q48" i="67"/>
  <c r="C56" i="67"/>
  <c r="C65" i="67" s="1"/>
  <c r="C75" i="67"/>
  <c r="Q70" i="67"/>
  <c r="C37" i="67"/>
  <c r="C56" i="15"/>
  <c r="C65" i="15" s="1"/>
  <c r="Q70" i="15"/>
  <c r="C37" i="15"/>
  <c r="C30" i="15" s="1"/>
  <c r="C39" i="15" s="1"/>
  <c r="C75" i="15"/>
  <c r="J22" i="15"/>
  <c r="J13" i="15"/>
  <c r="J23" i="15" s="1"/>
  <c r="B6" i="76"/>
  <c r="L51" i="15"/>
  <c r="B2" i="76" l="1"/>
  <c r="B3" i="76" s="1"/>
  <c r="B3" i="43"/>
  <c r="R27" i="6"/>
  <c r="R6" i="1"/>
  <c r="D31" i="6"/>
  <c r="I5" i="6" s="1"/>
  <c r="J7" i="21"/>
  <c r="W7" i="21" s="1"/>
  <c r="J70" i="39"/>
  <c r="K68" i="39"/>
  <c r="C20" i="68"/>
  <c r="C25" i="68" s="1"/>
  <c r="C24" i="68"/>
  <c r="I6" i="6"/>
  <c r="C20" i="69"/>
  <c r="C13" i="71"/>
  <c r="D14" i="71"/>
  <c r="C39" i="69"/>
  <c r="C43" i="69" s="1"/>
  <c r="C42" i="69"/>
  <c r="C39" i="68"/>
  <c r="C42" i="68"/>
  <c r="U7" i="21"/>
  <c r="AB7" i="21"/>
  <c r="T48" i="21" s="1"/>
  <c r="G48" i="21" s="1"/>
  <c r="S7" i="21"/>
  <c r="AA7" i="21"/>
  <c r="R48" i="21" s="1"/>
  <c r="J63" i="40"/>
  <c r="I65" i="40"/>
  <c r="K48" i="35"/>
  <c r="L48" i="35" s="1"/>
  <c r="M48" i="35" s="1"/>
  <c r="N48" i="35" s="1"/>
  <c r="O48" i="35" s="1"/>
  <c r="H7" i="35" s="1"/>
  <c r="AC7" i="21"/>
  <c r="V48" i="21" s="1"/>
  <c r="I48" i="21" s="1"/>
  <c r="C56" i="11"/>
  <c r="C57" i="11" s="1"/>
  <c r="C58" i="15"/>
  <c r="C67" i="15" s="1"/>
  <c r="C68" i="15" s="1"/>
  <c r="C71" i="15" s="1"/>
  <c r="J16" i="15"/>
  <c r="J25" i="15" s="1"/>
  <c r="C80" i="15"/>
  <c r="C79" i="15" s="1"/>
  <c r="Q69" i="15"/>
  <c r="Q68" i="15" s="1"/>
  <c r="C40" i="15"/>
  <c r="F35" i="67"/>
  <c r="M21" i="67"/>
  <c r="F63" i="67" l="1"/>
  <c r="C62" i="67" s="1"/>
  <c r="C59" i="67" s="1"/>
  <c r="C58" i="67" s="1"/>
  <c r="C67" i="67" s="1"/>
  <c r="C68" i="67" s="1"/>
  <c r="C71" i="67" s="1"/>
  <c r="C34" i="67"/>
  <c r="C31" i="67" s="1"/>
  <c r="C30" i="67" s="1"/>
  <c r="C39" i="67" s="1"/>
  <c r="J20" i="67"/>
  <c r="J17" i="67" s="1"/>
  <c r="J16" i="67" s="1"/>
  <c r="J25" i="67" s="1"/>
  <c r="R16" i="1"/>
  <c r="C41" i="69"/>
  <c r="J7" i="35"/>
  <c r="AC7" i="35" s="1"/>
  <c r="V38" i="35" s="1"/>
  <c r="I38" i="35" s="1"/>
  <c r="K70" i="39"/>
  <c r="L68" i="39"/>
  <c r="C22" i="68"/>
  <c r="C46" i="69"/>
  <c r="C45" i="69" s="1"/>
  <c r="C28" i="68"/>
  <c r="C27" i="68" s="1"/>
  <c r="C46" i="68"/>
  <c r="C45" i="68" s="1"/>
  <c r="C43" i="68"/>
  <c r="C41" i="68" s="1"/>
  <c r="C28" i="69"/>
  <c r="C27" i="69" s="1"/>
  <c r="C25" i="69"/>
  <c r="C22" i="69" s="1"/>
  <c r="C12" i="71"/>
  <c r="D13" i="71"/>
  <c r="W7" i="35"/>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L51" i="67"/>
  <c r="L57" i="67" l="1"/>
  <c r="L60" i="67" s="1"/>
  <c r="L46" i="67" s="1"/>
  <c r="Q67" i="67"/>
  <c r="C80" i="67"/>
  <c r="C79" i="67" s="1"/>
  <c r="C40" i="67"/>
  <c r="Q69" i="67"/>
  <c r="Q68" i="67" s="1"/>
  <c r="C49" i="69"/>
  <c r="C51" i="69" s="1"/>
  <c r="C49" i="68"/>
  <c r="C51" i="68" s="1"/>
  <c r="M68" i="39"/>
  <c r="L70" i="39"/>
  <c r="C31" i="68"/>
  <c r="C31" i="69"/>
  <c r="C11" i="71"/>
  <c r="D12"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57" i="67" l="1"/>
  <c r="Q66" i="67"/>
  <c r="D2" i="67"/>
  <c r="Q56" i="67"/>
  <c r="C83" i="67"/>
  <c r="C82" i="67" s="1"/>
  <c r="C45" i="67"/>
  <c r="C46" i="67" s="1"/>
  <c r="C43" i="67"/>
  <c r="Q47" i="67"/>
  <c r="Q53" i="67" s="1"/>
  <c r="Q65" i="67"/>
  <c r="C52" i="69"/>
  <c r="B2" i="69" s="1"/>
  <c r="C52" i="68"/>
  <c r="B2" i="68" s="1"/>
  <c r="M70" i="39"/>
  <c r="N68" i="39"/>
  <c r="C10" i="71"/>
  <c r="T11" i="71"/>
  <c r="D11" i="71"/>
  <c r="U11" i="71" s="1"/>
  <c r="R39" i="35"/>
  <c r="E38" i="35"/>
  <c r="M63" i="40"/>
  <c r="L65" i="40"/>
  <c r="C19" i="79"/>
  <c r="B3" i="69"/>
  <c r="C102" i="79" l="1"/>
  <c r="C21" i="79"/>
  <c r="B3" i="68"/>
  <c r="Q62" i="67"/>
  <c r="B2" i="67"/>
  <c r="B3" i="67"/>
  <c r="Q75" i="67"/>
  <c r="C57" i="69"/>
  <c r="C56" i="69" s="1"/>
  <c r="C57" i="68"/>
  <c r="C56" i="68" s="1"/>
  <c r="N70" i="39"/>
  <c r="O68" i="39"/>
  <c r="O70" i="39" s="1"/>
  <c r="F7" i="39"/>
  <c r="C9" i="71"/>
  <c r="D10" i="71"/>
  <c r="C39" i="35"/>
  <c r="B2" i="35" s="1"/>
  <c r="B3" i="35" s="1"/>
  <c r="C38" i="35"/>
  <c r="N63" i="40"/>
  <c r="M65" i="40"/>
  <c r="E43" i="35"/>
  <c r="F43" i="35" s="1"/>
  <c r="E42" i="35"/>
  <c r="F42" i="35" s="1"/>
  <c r="I43" i="35"/>
  <c r="J43" i="35" s="1"/>
  <c r="D34" i="79"/>
  <c r="C20" i="79"/>
  <c r="D35" i="79"/>
  <c r="D34" i="9"/>
  <c r="AO6" i="1"/>
  <c r="D35" i="9"/>
  <c r="D20" i="79"/>
  <c r="D19" i="79"/>
  <c r="C103" i="79" l="1"/>
  <c r="D21" i="79"/>
  <c r="D102" i="79"/>
  <c r="D22" i="79"/>
  <c r="G19" i="79"/>
  <c r="G21" i="79" s="1"/>
  <c r="D103" i="79"/>
  <c r="G20" i="79"/>
  <c r="B6" i="70"/>
  <c r="B2" i="70" s="1"/>
  <c r="B3" i="70" s="1"/>
  <c r="AA7" i="39"/>
  <c r="R47" i="39" s="1"/>
  <c r="S7" i="39"/>
  <c r="J7" i="39"/>
  <c r="H7" i="39"/>
  <c r="C8" i="71"/>
  <c r="D9" i="71"/>
  <c r="O63" i="40"/>
  <c r="O65" i="40" s="1"/>
  <c r="N65" i="40"/>
  <c r="C32" i="79" l="1"/>
  <c r="C35" i="79" s="1"/>
  <c r="C34" i="79" s="1"/>
  <c r="R24" i="31"/>
  <c r="AB7" i="39"/>
  <c r="T47" i="39" s="1"/>
  <c r="G47" i="39" s="1"/>
  <c r="U7" i="39"/>
  <c r="AC7" i="39"/>
  <c r="V47" i="39" s="1"/>
  <c r="I47" i="39" s="1"/>
  <c r="W7" i="39"/>
  <c r="R48" i="39"/>
  <c r="E47" i="39"/>
  <c r="C7" i="71"/>
  <c r="D8" i="71"/>
  <c r="J7" i="40"/>
  <c r="F7" i="40"/>
  <c r="H7" i="40"/>
  <c r="F92" i="77" l="1"/>
  <c r="G92" i="77"/>
  <c r="S24" i="31"/>
  <c r="R103" i="31"/>
  <c r="S103" i="31" s="1"/>
  <c r="R99" i="31"/>
  <c r="S99" i="31" s="1"/>
  <c r="R95" i="31"/>
  <c r="S95" i="31" s="1"/>
  <c r="R91" i="31"/>
  <c r="S91" i="31" s="1"/>
  <c r="R87" i="31"/>
  <c r="S87" i="31" s="1"/>
  <c r="R83" i="31"/>
  <c r="S83" i="31" s="1"/>
  <c r="R79" i="31"/>
  <c r="S79" i="31" s="1"/>
  <c r="R75" i="31"/>
  <c r="S75"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E51" i="39"/>
  <c r="F51" i="39" s="1"/>
  <c r="E52" i="39"/>
  <c r="F52" i="39" s="1"/>
  <c r="C47" i="39"/>
  <c r="C48" i="39"/>
  <c r="I52" i="39"/>
  <c r="J52" i="39" s="1"/>
  <c r="I51" i="39"/>
  <c r="J51" i="39" s="1"/>
  <c r="G52" i="39"/>
  <c r="H52" i="39" s="1"/>
  <c r="G51" i="39"/>
  <c r="H51" i="39" s="1"/>
  <c r="C6" i="71"/>
  <c r="T7" i="71"/>
  <c r="D7" i="71"/>
  <c r="U7" i="71" s="1"/>
  <c r="U7" i="40"/>
  <c r="AB7" i="40"/>
  <c r="T42" i="40" s="1"/>
  <c r="G42" i="40" s="1"/>
  <c r="AA7" i="40"/>
  <c r="R42" i="40" s="1"/>
  <c r="S7" i="40"/>
  <c r="AC7" i="40"/>
  <c r="V42" i="40" s="1"/>
  <c r="I42" i="40" s="1"/>
  <c r="W7" i="40"/>
  <c r="S22" i="31" l="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6" i="71"/>
  <c r="C5" i="71"/>
  <c r="I46" i="40"/>
  <c r="J46" i="40" s="1"/>
  <c r="R43" i="40"/>
  <c r="E42" i="40"/>
  <c r="G47" i="40"/>
  <c r="H47" i="40" s="1"/>
  <c r="G46" i="40"/>
  <c r="H46" i="40" s="1"/>
  <c r="U22" i="31" l="1"/>
  <c r="U23" i="31" s="1"/>
  <c r="H92" i="77"/>
  <c r="D92" i="77" s="1"/>
  <c r="R22" i="31"/>
  <c r="I92" i="77" s="1"/>
  <c r="E92" i="77" s="1"/>
  <c r="B20" i="31"/>
  <c r="D5" i="71"/>
  <c r="M20" i="43"/>
  <c r="C42" i="40"/>
  <c r="C43" i="40"/>
  <c r="E47" i="40"/>
  <c r="F47" i="40" s="1"/>
  <c r="E46" i="40"/>
  <c r="F46" i="40" s="1"/>
  <c r="I47" i="40"/>
  <c r="J47" i="40" s="1"/>
  <c r="C19" i="9"/>
  <c r="D19" i="9"/>
  <c r="D102" i="9" l="1"/>
  <c r="D21" i="9"/>
  <c r="C102" i="9"/>
  <c r="C21" i="9"/>
  <c r="G19" i="9"/>
  <c r="D22" i="9"/>
  <c r="B21"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20" i="9"/>
  <c r="C20" i="9"/>
  <c r="G21" i="9" l="1"/>
  <c r="J20" i="9"/>
  <c r="D103" i="9"/>
  <c r="G20" i="9"/>
  <c r="C32" i="9" s="1"/>
  <c r="C35" i="9" s="1"/>
  <c r="C34" i="9" s="1"/>
  <c r="C103" i="9"/>
  <c r="D118" i="9" l="1"/>
  <c r="D119" i="9" s="1"/>
  <c r="D5" i="52" s="1"/>
  <c r="B49" i="72" s="1"/>
  <c r="F118" i="9"/>
  <c r="G118" i="9" s="1"/>
  <c r="G4" i="52" s="1"/>
  <c r="B52" i="72" s="1"/>
  <c r="H118" i="9"/>
  <c r="F119" i="9"/>
  <c r="F5" i="52" s="1"/>
  <c r="B53" i="72" s="1"/>
  <c r="H101" i="9" l="1"/>
  <c r="D5" i="53" s="1"/>
  <c r="H89" i="77"/>
  <c r="F4" i="52"/>
  <c r="B51" i="72" s="1"/>
  <c r="D14" i="74"/>
  <c r="B5" i="74" s="1"/>
  <c r="D5" i="74" s="1"/>
  <c r="H4" i="52"/>
  <c r="D4" i="52"/>
  <c r="B47" i="72" s="1"/>
  <c r="H119" i="9"/>
  <c r="H5" i="52" s="1"/>
  <c r="I118" i="9"/>
  <c r="D45" i="9"/>
  <c r="C104" i="9"/>
  <c r="M48" i="9" l="1"/>
  <c r="E118" i="9"/>
  <c r="E4" i="52" s="1"/>
  <c r="B48" i="72" s="1"/>
  <c r="I89" i="77"/>
  <c r="H107" i="9"/>
  <c r="M49" i="9" s="1"/>
  <c r="C5" i="74"/>
  <c r="C105" i="9"/>
  <c r="E14" i="74"/>
  <c r="F14" i="74"/>
  <c r="H102" i="9"/>
  <c r="D7" i="53" s="1"/>
  <c r="B21" i="72" s="1"/>
  <c r="I4" i="52"/>
  <c r="D6" i="53"/>
  <c r="B22" i="72" s="1"/>
  <c r="B20" i="72"/>
  <c r="D53" i="9"/>
  <c r="D55" i="9"/>
  <c r="M53" i="9" s="1"/>
  <c r="C64" i="9"/>
  <c r="C63" i="9" s="1"/>
  <c r="C67" i="9" s="1"/>
  <c r="D52" i="9"/>
  <c r="C72" i="9"/>
  <c r="C78" i="9"/>
  <c r="C73" i="9" s="1"/>
  <c r="C85" i="9"/>
  <c r="C93" i="9"/>
  <c r="C86" i="9" s="1"/>
  <c r="D13" i="53" l="1"/>
  <c r="D14" i="53" s="1"/>
  <c r="B32" i="72" s="1"/>
  <c r="H108" i="9"/>
  <c r="D15" i="53" s="1"/>
  <c r="B31" i="72" s="1"/>
  <c r="D122" i="9"/>
  <c r="D123" i="9" s="1"/>
  <c r="D9" i="52" s="1"/>
  <c r="C95" i="9"/>
  <c r="C96" i="9" s="1"/>
  <c r="E96" i="9" s="1"/>
  <c r="E97" i="9" s="1"/>
  <c r="C79" i="9"/>
  <c r="C80" i="9" s="1"/>
  <c r="E80" i="9" s="1"/>
  <c r="E81" i="9" s="1"/>
  <c r="C68" i="9"/>
  <c r="D54" i="9" s="1"/>
  <c r="D59" i="9"/>
  <c r="M55" i="9" s="1"/>
  <c r="L63" i="9"/>
  <c r="M63" i="9" s="1"/>
  <c r="L67" i="9"/>
  <c r="M67" i="9" s="1"/>
  <c r="L64" i="9"/>
  <c r="M64" i="9" s="1"/>
  <c r="L65" i="9"/>
  <c r="M65" i="9" s="1"/>
  <c r="L66" i="9"/>
  <c r="M66" i="9" s="1"/>
  <c r="L68" i="9"/>
  <c r="M68" i="9" s="1"/>
  <c r="B30" i="72" l="1"/>
  <c r="G14" i="74"/>
  <c r="B6" i="74" s="1"/>
  <c r="C6" i="74" s="1"/>
  <c r="D8" i="52"/>
  <c r="M69" i="9"/>
  <c r="N69" i="9" s="1"/>
  <c r="C81" i="9"/>
  <c r="C97" i="9"/>
  <c r="D58" i="9" s="1"/>
  <c r="D56" i="9" s="1"/>
  <c r="M54" i="9" s="1"/>
  <c r="N57" i="9" s="1"/>
  <c r="D6" i="74" l="1"/>
  <c r="P57" i="9"/>
  <c r="N58" i="9"/>
  <c r="N59" i="9"/>
  <c r="N61" i="9" l="1"/>
  <c r="N60" i="9"/>
  <c r="D118" i="79"/>
  <c r="D119" i="79" s="1"/>
  <c r="F118" i="79"/>
  <c r="G118" i="79" s="1"/>
  <c r="G89" i="77" s="1"/>
  <c r="H118" i="79"/>
  <c r="I118" i="79" s="1"/>
  <c r="E89" i="77" l="1"/>
  <c r="F89" i="77"/>
  <c r="D89" i="77" s="1"/>
  <c r="H119" i="79"/>
  <c r="H102" i="79"/>
  <c r="C105" i="79"/>
  <c r="E118" i="79"/>
  <c r="C104" i="79"/>
  <c r="H101" i="79"/>
  <c r="F119" i="79"/>
  <c r="D45" i="79" l="1"/>
  <c r="H107" i="79"/>
  <c r="M48" i="79"/>
  <c r="M49" i="79" l="1"/>
  <c r="H108" i="79"/>
  <c r="D122" i="79"/>
  <c r="D123" i="79" s="1"/>
  <c r="D53" i="79"/>
  <c r="D55" i="79"/>
  <c r="M53" i="79" s="1"/>
  <c r="C64" i="79"/>
  <c r="C63" i="79" s="1"/>
  <c r="C67" i="79" s="1"/>
  <c r="C72" i="79"/>
  <c r="C78" i="79"/>
  <c r="C73" i="79" s="1"/>
  <c r="C93" i="79"/>
  <c r="C86" i="79" s="1"/>
  <c r="D52" i="79"/>
  <c r="C85" i="79"/>
  <c r="C95" i="79" l="1"/>
  <c r="C96" i="79" s="1"/>
  <c r="E96" i="79" s="1"/>
  <c r="E97" i="79" s="1"/>
  <c r="C79" i="79"/>
  <c r="C80" i="79" s="1"/>
  <c r="E80" i="79" s="1"/>
  <c r="E81" i="79" s="1"/>
  <c r="C68" i="79"/>
  <c r="D54" i="79" s="1"/>
  <c r="D59" i="79"/>
  <c r="M55" i="79" s="1"/>
  <c r="L63" i="79"/>
  <c r="M63" i="79" s="1"/>
  <c r="L67" i="79"/>
  <c r="M67" i="79" s="1"/>
  <c r="L64" i="79"/>
  <c r="M64" i="79" s="1"/>
  <c r="L65" i="79"/>
  <c r="M65" i="79" s="1"/>
  <c r="L66" i="79"/>
  <c r="M66" i="79" s="1"/>
  <c r="L68" i="79"/>
  <c r="M68" i="79" s="1"/>
  <c r="C81" i="79" l="1"/>
  <c r="C97" i="79"/>
  <c r="D58" i="79" s="1"/>
  <c r="D56" i="79" s="1"/>
  <c r="M54" i="79" s="1"/>
  <c r="N57" i="79" s="1"/>
  <c r="M69" i="79"/>
  <c r="N69" i="79" s="1"/>
  <c r="P57" i="79" l="1"/>
  <c r="N59" i="79"/>
  <c r="N60" i="79" s="1"/>
  <c r="N58" i="79"/>
  <c r="N61"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<sst xmlns="http://schemas.openxmlformats.org/spreadsheetml/2006/main" count="7830" uniqueCount="3222">
  <si>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</si>
  <si>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</si>
  <si>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</si>
  <si>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</si>
  <si>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</si>
  <si>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</si>
  <si>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</si>
  <si>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</si>
  <si>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</si>
  <si>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</si>
  <si>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</si>
  <si>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</si>
  <si>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</si>
  <si>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</si>
  <si>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</si>
  <si>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</si>
  <si>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</si>
  <si>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</si>
  <si>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</si>
  <si>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</si>
  <si>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</si>
  <si>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</si>
  <si>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</si>
  <si>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</si>
  <si>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</si>
  <si>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</si>
  <si>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</si>
  <si>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</si>
  <si>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</si>
  <si>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</si>
  <si>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</si>
  <si>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</si>
  <si>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</si>
  <si>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</si>
  <si>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</si>
  <si>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</si>
  <si>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</si>
  <si>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</si>
  <si>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</si>
  <si>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</si>
  <si>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</si>
  <si>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</si>
  <si>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</si>
  <si>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</si>
  <si>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</si>
  <si>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</si>
  <si>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</si>
  <si>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</si>
  <si>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</si>
  <si>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</si>
  <si>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</si>
  <si>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</si>
  <si>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</si>
  <si>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</si>
  <si>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</si>
  <si>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</si>
  <si>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</si>
  <si>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</si>
  <si>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</si>
  <si>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</si>
  <si>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</si>
  <si>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</si>
  <si>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</si>
  <si>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</si>
  <si>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</si>
  <si>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</si>
  <si>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</si>
  <si>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</si>
  <si>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</si>
  <si>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</si>
  <si>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</si>
  <si>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</si>
  <si>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</si>
  <si>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</si>
  <si>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</si>
  <si>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</si>
  <si>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</si>
  <si>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</si>
  <si>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</si>
  <si>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</si>
  <si>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</si>
  <si>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</si>
  <si>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</si>
  <si>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</si>
  <si>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</si>
  <si>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</si>
  <si>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</si>
  <si>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</si>
  <si>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</si>
  <si>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</si>
  <si>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</si>
  <si>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</si>
  <si>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</si>
  <si>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</si>
  <si>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</si>
  <si>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</si>
  <si>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</si>
  <si>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</si>
  <si>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</si>
  <si>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</si>
  <si>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</si>
  <si>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</si>
  <si>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</si>
  <si>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</si>
  <si>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</si>
  <si>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</si>
  <si>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</si>
  <si>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</si>
  <si>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</si>
  <si>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</si>
  <si>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</si>
  <si>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</si>
  <si>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</si>
  <si>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</si>
  <si>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</si>
  <si>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</si>
  <si>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</si>
  <si>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</si>
  <si>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</si>
  <si>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</si>
  <si>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</si>
  <si>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</si>
  <si>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</si>
  <si>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</si>
  <si>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</si>
  <si>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</si>
  <si>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</si>
  <si>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</si>
  <si>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</si>
  <si>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</si>
  <si>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</si>
  <si>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</si>
  <si>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</si>
  <si>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</si>
  <si>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</si>
  <si>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</si>
  <si>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</si>
  <si>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</si>
  <si>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</si>
  <si>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</si>
  <si>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</si>
  <si>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</si>
  <si>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</si>
  <si>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</si>
  <si>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</si>
  <si>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</si>
  <si>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</si>
  <si>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</si>
  <si>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</si>
  <si>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</si>
  <si>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</si>
  <si>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</si>
  <si>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</si>
  <si>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</si>
  <si>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</si>
  <si>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</si>
  <si>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</si>
  <si>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</si>
  <si>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</si>
  <si>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</si>
  <si>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</si>
  <si>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</si>
  <si>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</si>
  <si>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</si>
  <si>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</si>
  <si>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</si>
  <si>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</si>
  <si>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</si>
  <si>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</si>
  <si>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</si>
  <si>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</si>
  <si>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</si>
  <si>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</si>
  <si>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</si>
  <si>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</si>
  <si>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</si>
  <si>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</si>
  <si>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</si>
  <si>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</si>
  <si>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</si>
  <si>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</si>
  <si>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</si>
  <si>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</si>
  <si>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</si>
  <si>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</si>
  <si>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</si>
  <si>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</si>
  <si>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</si>
  <si>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</si>
  <si>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</si>
  <si>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</si>
  <si>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</si>
  <si>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</si>
  <si>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</si>
  <si>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</si>
  <si>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</si>
  <si>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</si>
  <si>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</si>
  <si>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</si>
  <si>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</si>
  <si>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</si>
  <si>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</si>
  <si>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</si>
  <si>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</si>
  <si>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</si>
  <si>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</si>
  <si>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</si>
  <si>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</si>
  <si>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</si>
  <si>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</si>
  <si>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</si>
  <si>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</si>
  <si>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</si>
  <si>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</si>
  <si>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</si>
  <si>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</si>
  <si>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</si>
  <si>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</si>
  <si>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</si>
  <si>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</si>
  <si>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</si>
  <si>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</si>
  <si>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</si>
  <si>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</si>
  <si>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</si>
  <si>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</si>
  <si>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</si>
  <si>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</si>
  <si>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</si>
  <si>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</si>
  <si>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</si>
  <si>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</si>
  <si>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</si>
  <si>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</si>
  <si>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</si>
  <si>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</si>
  <si>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</si>
  <si>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</si>
  <si>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</si>
  <si>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</si>
  <si>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</si>
  <si>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</si>
  <si>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</si>
  <si>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</si>
  <si>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</si>
  <si>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</si>
  <si>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</si>
  <si>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</si>
  <si>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</si>
  <si>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</si>
  <si>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</si>
  <si>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</si>
  <si>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</si>
  <si>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</si>
  <si>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</si>
  <si>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</si>
  <si>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</si>
  <si>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</si>
  <si>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</si>
  <si>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</si>
  <si>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</si>
  <si>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</si>
  <si>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</si>
  <si>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</si>
  <si>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</si>
  <si>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</si>
  <si>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</si>
  <si>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</si>
  <si>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</si>
  <si>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</si>
  <si>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</si>
  <si>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</si>
  <si>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</si>
  <si>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</si>
  <si>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</si>
  <si>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</si>
  <si>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</si>
  <si>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</si>
  <si>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</si>
  <si>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</si>
  <si>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</si>
  <si>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</si>
  <si>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</si>
  <si>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</si>
  <si>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</si>
  <si>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</si>
  <si>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</si>
  <si>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</si>
  <si>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</si>
  <si>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</si>
  <si>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</si>
  <si>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</si>
  <si>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</si>
  <si>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</si>
  <si>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</si>
  <si>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</si>
  <si>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</si>
  <si>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</si>
  <si>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</si>
  <si>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</si>
  <si>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</si>
  <si>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</si>
  <si>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</si>
  <si>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</si>
  <si>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</si>
  <si>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</si>
  <si>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</si>
  <si>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</si>
  <si>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</si>
  <si>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</si>
  <si>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</si>
  <si>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</si>
  <si>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</si>
  <si>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</si>
  <si>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</si>
  <si>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</si>
  <si>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</si>
  <si>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</si>
  <si>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</si>
  <si>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</si>
  <si>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</si>
  <si>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</si>
  <si>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</si>
  <si>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</si>
  <si>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</si>
  <si>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</si>
  <si>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</si>
  <si>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</si>
  <si>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</si>
  <si>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</si>
  <si>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</si>
  <si>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</si>
  <si>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</si>
  <si>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</si>
  <si>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</si>
  <si>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</si>
  <si>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</si>
  <si>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</si>
  <si>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</si>
  <si>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</si>
  <si>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</si>
  <si>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</si>
  <si>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</si>
  <si>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</si>
  <si>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</si>
  <si>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</si>
  <si>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</si>
  <si>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</si>
  <si>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</si>
  <si>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</si>
  <si>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</si>
  <si>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</si>
  <si>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</si>
  <si>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</si>
  <si>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</si>
  <si>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</si>
  <si>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</si>
  <si>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</si>
  <si>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</si>
  <si>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</si>
  <si>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</si>
  <si>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</si>
  <si>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</si>
  <si>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</si>
  <si>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</si>
  <si>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</si>
  <si>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</si>
  <si>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</si>
  <si>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</si>
  <si>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</si>
  <si>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</si>
  <si>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</si>
  <si>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</si>
  <si>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</si>
  <si>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</si>
  <si>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</si>
  <si>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</si>
  <si>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</si>
  <si>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</si>
  <si>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</si>
  <si>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</si>
  <si>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</si>
  <si>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</si>
  <si>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</si>
  <si>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</si>
  <si>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</si>
  <si>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</si>
  <si>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</si>
  <si>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</si>
  <si>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</si>
  <si>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</si>
  <si>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</si>
  <si>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</si>
  <si>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</si>
  <si>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</si>
  <si>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</si>
  <si>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</si>
  <si>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</si>
  <si>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</si>
  <si>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</si>
  <si>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</si>
  <si>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</si>
  <si>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</si>
  <si>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</si>
  <si>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</si>
  <si>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</si>
  <si>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</si>
  <si>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</si>
  <si>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</si>
  <si>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</si>
  <si>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</si>
  <si>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</si>
  <si>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</si>
  <si>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</si>
  <si>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</si>
  <si>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</si>
  <si>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</si>
  <si>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</si>
  <si>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</si>
  <si>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</si>
  <si>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</si>
  <si>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</si>
  <si>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</si>
  <si>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</si>
  <si>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</si>
  <si>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</si>
  <si>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</si>
  <si>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</si>
  <si>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</si>
  <si>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</si>
  <si>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</si>
  <si>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</si>
  <si>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</si>
  <si>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</si>
  <si>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</si>
  <si>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</si>
  <si>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</si>
  <si>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</si>
  <si>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</si>
  <si>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</si>
  <si>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</si>
  <si>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</si>
  <si>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</si>
  <si>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</si>
  <si>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</si>
  <si>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</si>
  <si>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</si>
  <si>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</si>
  <si>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</si>
  <si>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</si>
  <si>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</si>
  <si>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</si>
  <si>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</si>
  <si>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</si>
  <si>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</si>
  <si>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</si>
  <si>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</si>
  <si>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</si>
  <si>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</si>
  <si>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</si>
  <si>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</si>
  <si>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</si>
  <si>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</si>
  <si>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</si>
  <si>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</si>
  <si>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</si>
  <si>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</si>
  <si>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</si>
  <si>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</si>
  <si>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</si>
  <si>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</si>
  <si>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</si>
  <si>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</si>
  <si>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</si>
  <si>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</si>
  <si>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</si>
  <si>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</si>
  <si>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</si>
  <si>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</si>
  <si>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</si>
  <si>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</si>
  <si>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</si>
  <si>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</si>
  <si>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</si>
  <si>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</si>
  <si>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</si>
  <si>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</si>
  <si>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</si>
  <si>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</si>
  <si>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</si>
  <si>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</si>
  <si>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</si>
  <si>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</si>
  <si>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</si>
  <si>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</si>
  <si>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</si>
  <si>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</si>
  <si>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</si>
  <si>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</si>
  <si>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</si>
  <si>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</si>
  <si>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</si>
  <si>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</si>
  <si>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</si>
  <si>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</si>
  <si>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</si>
  <si>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</si>
  <si>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</si>
  <si>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</si>
  <si>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</si>
  <si>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</si>
  <si>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</si>
  <si>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</si>
  <si>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</si>
  <si>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</si>
  <si>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</si>
  <si>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</si>
  <si>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</si>
  <si>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</si>
  <si>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</si>
  <si>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</si>
  <si>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</si>
  <si>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</si>
  <si>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</si>
  <si>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</si>
  <si>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</si>
  <si>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</si>
  <si>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</si>
  <si>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</si>
  <si>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</si>
  <si>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</si>
  <si>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</si>
  <si>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</si>
  <si>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</si>
  <si>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</si>
  <si>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</si>
  <si>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</si>
  <si>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</si>
  <si>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</si>
  <si>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</si>
  <si>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</si>
  <si>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</si>
  <si>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</si>
  <si>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</si>
  <si>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</si>
  <si>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</si>
  <si>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</si>
  <si>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</si>
  <si>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</si>
  <si>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</si>
  <si>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</si>
  <si>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</si>
  <si>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</si>
  <si>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</si>
  <si>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</si>
  <si>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</si>
  <si>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</si>
  <si>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</si>
  <si>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</si>
  <si>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</si>
  <si>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</si>
  <si>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</si>
  <si>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</si>
  <si>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</si>
  <si>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</si>
  <si>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</si>
  <si>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</si>
  <si>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</si>
  <si>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</si>
  <si>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</si>
  <si>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</si>
  <si>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</si>
  <si>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</si>
  <si>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</si>
  <si>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</si>
  <si>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</si>
  <si>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</si>
  <si>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</si>
  <si>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</si>
  <si>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</si>
  <si>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</si>
  <si>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</si>
  <si>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</si>
  <si>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</si>
  <si>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</si>
  <si>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</si>
  <si>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</si>
  <si>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</si>
  <si>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</si>
  <si>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</si>
  <si>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</si>
  <si>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</si>
  <si>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</si>
  <si>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</si>
  <si>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</si>
  <si>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</si>
  <si>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</si>
  <si>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</si>
  <si>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</si>
  <si>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</si>
  <si>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</si>
  <si>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</si>
  <si>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</si>
  <si>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</si>
  <si>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</si>
  <si>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</si>
  <si>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</si>
  <si>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</si>
  <si>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</si>
  <si>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</si>
  <si>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</si>
  <si>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</si>
  <si>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</si>
  <si>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</si>
  <si>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</si>
  <si>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</si>
  <si>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</si>
  <si>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</si>
  <si>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</si>
  <si>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</si>
  <si>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</si>
  <si>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</si>
  <si>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</si>
  <si>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</si>
  <si>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</si>
  <si>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</si>
  <si>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</si>
  <si>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</si>
  <si>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</si>
  <si>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</si>
  <si>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</si>
  <si>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</si>
  <si>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</si>
  <si>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</si>
  <si>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</si>
  <si>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</si>
  <si>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</si>
  <si>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</si>
  <si>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</si>
  <si>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</si>
  <si>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</si>
  <si>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</si>
  <si>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</si>
  <si>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</si>
  <si>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</si>
  <si>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</si>
  <si>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</si>
  <si>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</si>
  <si>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</si>
  <si>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</si>
  <si>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</si>
  <si>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</si>
  <si>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</si>
  <si>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</si>
  <si>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</si>
  <si>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</si>
  <si>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</si>
  <si>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</si>
  <si>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</si>
  <si>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</si>
  <si>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</si>
  <si>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</si>
  <si>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</si>
  <si>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</si>
  <si>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</si>
  <si>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</si>
  <si>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</si>
  <si>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</si>
  <si>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</si>
  <si>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</si>
  <si>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</si>
  <si>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</si>
  <si>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</si>
  <si>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</si>
  <si>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</si>
  <si>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</si>
  <si>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</si>
  <si>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</si>
  <si>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</si>
  <si>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</si>
  <si>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</si>
  <si>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</si>
  <si>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</si>
  <si>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</si>
  <si>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</si>
  <si>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</si>
  <si>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</si>
  <si>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</si>
  <si>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</si>
  <si>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</si>
  <si>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</si>
  <si>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</si>
  <si>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</si>
  <si>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</si>
  <si>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</si>
  <si>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</si>
  <si>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</si>
  <si>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</si>
  <si>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</si>
  <si>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</si>
  <si>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</si>
  <si>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</si>
  <si>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</si>
  <si>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</si>
  <si>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</si>
  <si>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</si>
  <si>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</si>
  <si>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</si>
  <si>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</si>
  <si>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</si>
  <si>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</si>
  <si>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</si>
  <si>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</si>
  <si>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</si>
  <si>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</si>
  <si>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</si>
  <si>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</si>
  <si>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</si>
  <si>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</si>
  <si>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</si>
  <si>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</si>
  <si>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</si>
  <si>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</si>
  <si>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</si>
  <si>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</si>
  <si>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</si>
  <si>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</si>
  <si>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</si>
  <si>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</si>
  <si>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</si>
  <si>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</si>
  <si>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</si>
  <si>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</si>
  <si>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</si>
  <si>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</si>
  <si>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</si>
  <si>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</si>
  <si>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</si>
  <si>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</si>
  <si>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</si>
  <si>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</si>
  <si>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</si>
  <si>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</si>
  <si>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</si>
  <si>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</si>
  <si>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</si>
  <si>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</si>
  <si>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</si>
  <si>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</si>
  <si>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</si>
  <si>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</si>
  <si>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</si>
  <si>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</si>
  <si>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</si>
  <si>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</si>
  <si>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</si>
  <si>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</si>
  <si>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</si>
  <si>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</si>
  <si>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</si>
  <si>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</si>
  <si>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</si>
  <si>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</si>
  <si>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</si>
  <si>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</si>
  <si>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</si>
  <si>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</si>
  <si>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</si>
  <si>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</si>
  <si>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</si>
  <si>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</si>
  <si>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</si>
  <si>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</si>
  <si>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</si>
  <si>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</si>
  <si>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</si>
  <si>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</si>
  <si>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</si>
  <si>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</si>
  <si>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</si>
  <si>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</si>
  <si>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</si>
  <si>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</si>
  <si>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</si>
  <si>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</si>
  <si>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</si>
  <si>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</si>
  <si>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</si>
  <si>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</si>
  <si>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</si>
  <si>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</si>
  <si>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</si>
  <si>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</si>
  <si>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</si>
  <si>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</si>
  <si>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</si>
  <si>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</si>
  <si>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</si>
  <si>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</si>
  <si>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</si>
  <si>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</si>
  <si>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</si>
  <si>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</si>
  <si>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</si>
  <si>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</si>
  <si>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</si>
  <si>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</si>
  <si>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</si>
  <si>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</si>
  <si>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</si>
  <si>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</si>
  <si>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</si>
  <si>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</si>
  <si>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</si>
  <si>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</si>
  <si>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</si>
  <si>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</si>
  <si>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</si>
  <si>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</si>
  <si>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</si>
  <si>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</si>
  <si>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</si>
  <si>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</si>
  <si>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</si>
  <si>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</si>
  <si>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</si>
  <si>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</si>
  <si>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</si>
  <si>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</si>
  <si>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</si>
  <si>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</si>
  <si>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</si>
  <si>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</si>
  <si>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</si>
  <si>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</si>
  <si>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</si>
  <si>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</si>
  <si>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</si>
  <si>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</si>
  <si>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</si>
  <si>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</si>
  <si>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</si>
  <si>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</si>
  <si>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</si>
  <si>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</si>
  <si>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</si>
  <si>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</si>
  <si>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</si>
  <si>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</si>
  <si>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</si>
  <si>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</si>
  <si>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</si>
  <si>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</si>
  <si>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</si>
  <si>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</si>
  <si>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</si>
  <si>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</si>
  <si>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</si>
  <si>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</si>
  <si>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</si>
  <si>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</si>
  <si>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</si>
  <si>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</si>
  <si>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</si>
  <si>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</si>
  <si>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</si>
  <si>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</si>
  <si>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</si>
  <si>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</si>
  <si>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</si>
  <si>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</si>
  <si>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</si>
  <si>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</si>
  <si>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</si>
  <si>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</si>
  <si>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</si>
  <si>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</si>
  <si>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</si>
  <si>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</si>
  <si>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</si>
  <si>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</si>
  <si>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</si>
  <si>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</si>
  <si>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</si>
  <si>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</si>
  <si>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</si>
  <si>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</si>
  <si>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</si>
  <si>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</si>
  <si>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</si>
  <si>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</si>
  <si>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</si>
  <si>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</si>
  <si>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</si>
  <si>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</si>
  <si>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</si>
  <si>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</si>
  <si>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</si>
  <si>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</si>
  <si>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</si>
  <si>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</si>
  <si>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</si>
  <si>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</si>
  <si>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</si>
  <si>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</si>
  <si>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</si>
  <si>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</si>
  <si>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</si>
  <si>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</si>
  <si>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</si>
  <si>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</si>
  <si>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</si>
  <si>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</si>
  <si>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</si>
  <si>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</si>
  <si>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</si>
  <si>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</si>
  <si>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</si>
  <si>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</si>
  <si>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</si>
  <si>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</si>
  <si>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</si>
  <si>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</si>
  <si>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</si>
  <si>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</si>
  <si>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</si>
  <si>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</si>
  <si>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</si>
  <si>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</si>
  <si>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</si>
  <si>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</si>
  <si>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</si>
  <si>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</si>
  <si>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</si>
  <si>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</si>
  <si>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</si>
  <si>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</si>
  <si>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</si>
  <si>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</si>
  <si>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</si>
  <si>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</si>
  <si>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</si>
  <si>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</si>
  <si>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</si>
  <si>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</si>
  <si>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</si>
  <si>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</si>
  <si>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</si>
  <si>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</si>
  <si>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</si>
  <si>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</si>
  <si>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</si>
  <si>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</si>
  <si>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</si>
  <si>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</si>
  <si>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</si>
  <si>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</si>
  <si>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</si>
  <si>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</si>
  <si>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</si>
  <si>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</si>
  <si>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</si>
  <si>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</si>
  <si>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</si>
  <si>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</si>
  <si>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</si>
  <si>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</si>
  <si>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</si>
  <si>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</si>
  <si>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</si>
  <si>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</si>
  <si>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</si>
  <si>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</si>
  <si>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</si>
  <si>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</si>
  <si>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</si>
  <si>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</si>
  <si>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</si>
  <si>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</si>
  <si>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</si>
  <si>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</si>
  <si>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</si>
  <si>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</si>
  <si>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</si>
  <si>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</si>
  <si>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</si>
  <si>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</si>
  <si>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</si>
  <si>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</si>
  <si>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</si>
  <si>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</si>
  <si>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</si>
  <si>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</si>
  <si>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</si>
  <si>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</si>
  <si>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</si>
  <si>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</si>
  <si>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</si>
  <si>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</si>
  <si>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</si>
  <si>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</si>
  <si>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</si>
  <si>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</si>
  <si>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</si>
  <si>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</si>
  <si>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</si>
  <si>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</si>
  <si>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</si>
  <si>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</si>
  <si>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</si>
  <si>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</si>
  <si>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</si>
  <si>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</si>
  <si>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</si>
  <si>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</si>
  <si>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</si>
  <si>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</si>
  <si>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</si>
  <si>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</si>
  <si>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</si>
  <si>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</si>
  <si>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</si>
  <si>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</si>
  <si>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</si>
  <si>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</si>
  <si>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</si>
  <si>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</si>
  <si>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</si>
  <si>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</si>
  <si>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</si>
  <si>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</si>
  <si>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</si>
  <si>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</si>
  <si>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</si>
  <si>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</si>
  <si>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</si>
  <si>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</si>
  <si>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</si>
  <si>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</si>
  <si>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</si>
  <si>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</si>
  <si>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</si>
  <si>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</si>
  <si>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</si>
  <si>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</si>
  <si>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</si>
  <si>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</si>
  <si>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</si>
  <si>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</si>
  <si>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</si>
  <si>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</si>
  <si>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</si>
  <si>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</si>
  <si>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</si>
  <si>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</si>
  <si>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</si>
  <si>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</si>
  <si>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</si>
  <si>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</si>
  <si>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</si>
  <si>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</si>
  <si>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</si>
  <si>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</si>
  <si>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</si>
  <si>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</si>
  <si>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</si>
  <si>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</si>
  <si>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</si>
  <si>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</si>
  <si>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</si>
  <si>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</si>
  <si>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</si>
  <si>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</si>
  <si>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</si>
  <si>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</si>
  <si>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</si>
  <si>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</si>
  <si>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</si>
  <si>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</si>
  <si>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</si>
  <si>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</si>
  <si>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</si>
  <si>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</si>
  <si>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</si>
  <si>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</si>
  <si>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</si>
  <si>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</si>
  <si>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</si>
  <si>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</si>
  <si>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</si>
  <si>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</si>
  <si>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</si>
  <si>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</si>
  <si>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</si>
  <si>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</si>
  <si>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</si>
  <si>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</si>
  <si>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</si>
  <si>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</si>
  <si>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</si>
  <si>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</si>
  <si>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</si>
  <si>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</si>
  <si>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</si>
  <si>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</si>
  <si>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</si>
  <si>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</si>
  <si>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</si>
  <si>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</si>
  <si>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</si>
  <si>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</si>
  <si>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</si>
  <si>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</si>
  <si>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</si>
  <si>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</si>
  <si>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</si>
  <si>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</si>
  <si>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</si>
  <si>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</si>
  <si>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</si>
  <si>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</si>
  <si>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</si>
  <si>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</si>
  <si>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</si>
  <si>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</si>
  <si>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</si>
  <si>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</si>
  <si>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</si>
  <si>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</si>
  <si>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</si>
  <si>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</si>
  <si>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</si>
  <si>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</si>
  <si>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</si>
  <si>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</si>
  <si>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</si>
  <si>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</si>
  <si>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</si>
  <si>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</si>
  <si>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</si>
  <si>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</si>
  <si>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</si>
  <si>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</si>
  <si>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</si>
  <si>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</si>
  <si>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</si>
  <si>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</si>
  <si>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</si>
  <si>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</si>
  <si>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</si>
  <si>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</si>
  <si>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</si>
  <si>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</si>
  <si>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</si>
  <si>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</si>
  <si>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</si>
  <si>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</si>
  <si>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</si>
  <si>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</si>
  <si>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</si>
  <si>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</si>
  <si>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</si>
  <si>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</si>
  <si>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</si>
  <si>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</si>
  <si>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</si>
  <si>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</si>
  <si>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</si>
  <si>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</si>
  <si>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</si>
  <si>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</si>
  <si>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</si>
  <si>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</si>
  <si>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</si>
  <si>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</si>
  <si>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</si>
  <si>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</si>
  <si>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</si>
  <si>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</si>
  <si>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</si>
  <si>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</si>
  <si>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</si>
  <si>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</si>
  <si>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</si>
  <si>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</si>
  <si>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</si>
  <si>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</si>
  <si>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</si>
  <si>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</si>
  <si>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</si>
  <si>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</si>
  <si>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</si>
  <si>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</si>
  <si>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</si>
  <si>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</si>
  <si>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</si>
  <si>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</si>
  <si>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</si>
  <si>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</si>
  <si>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</si>
  <si>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</si>
  <si>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</si>
  <si>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</si>
  <si>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</si>
  <si>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</si>
  <si>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</si>
  <si>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</si>
  <si>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</si>
  <si>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</si>
  <si>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</si>
  <si>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</si>
  <si>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</si>
  <si>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</si>
  <si>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</si>
  <si>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</si>
  <si>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</si>
  <si>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</si>
  <si>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</si>
  <si>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</si>
  <si>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</si>
  <si>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</si>
  <si>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</si>
  <si>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</si>
  <si>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</si>
  <si>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</si>
  <si>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</si>
  <si>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</si>
  <si>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</si>
  <si>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</si>
  <si>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</si>
  <si>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</si>
  <si>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</si>
  <si>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</si>
  <si>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</si>
  <si>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</si>
  <si>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</si>
  <si>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</si>
  <si>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</si>
  <si>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</si>
  <si>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</si>
  <si>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</si>
  <si>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</si>
  <si>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</si>
  <si>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</si>
  <si>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</si>
  <si>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</si>
  <si>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</si>
  <si>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</si>
  <si>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</si>
  <si>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</si>
  <si>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</si>
  <si>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</si>
  <si>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</si>
  <si>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</si>
  <si>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</si>
  <si>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</si>
  <si>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</si>
  <si>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</si>
  <si>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</si>
  <si>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</si>
  <si>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</si>
  <si>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</si>
  <si>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</si>
  <si>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</si>
  <si>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</si>
  <si>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</si>
  <si>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</si>
  <si>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</si>
  <si>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</si>
  <si>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</si>
  <si>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</si>
  <si>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</si>
  <si>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</si>
  <si>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</si>
  <si>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</si>
  <si>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</si>
  <si>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</si>
  <si>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</si>
  <si>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</si>
  <si>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</si>
  <si>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</si>
  <si>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</si>
  <si>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</si>
  <si>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</si>
  <si>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</si>
  <si>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</si>
  <si>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</si>
  <si>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</si>
  <si>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</si>
  <si>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</si>
  <si>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</si>
  <si>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</si>
  <si>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</si>
  <si>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</si>
  <si>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</si>
  <si>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</si>
  <si>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</si>
  <si>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</si>
  <si>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</si>
  <si>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</si>
  <si>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</si>
  <si>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</si>
  <si>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</si>
  <si>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</si>
  <si>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</si>
  <si>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</si>
  <si>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</si>
  <si>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</si>
  <si>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</si>
  <si>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</si>
  <si>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</si>
  <si>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</si>
  <si>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</si>
  <si>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</si>
  <si>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</si>
  <si>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</si>
  <si>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</si>
  <si>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</si>
  <si>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</si>
  <si>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</si>
  <si>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</si>
  <si>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</si>
  <si>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</si>
  <si>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</si>
  <si>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</si>
  <si>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</si>
  <si>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</si>
  <si>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</si>
  <si>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</si>
  <si>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</si>
  <si>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</si>
  <si>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</si>
  <si>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</si>
  <si>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</si>
  <si>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</si>
  <si>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</si>
  <si>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</si>
  <si>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</si>
  <si>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</si>
  <si>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</si>
  <si>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</si>
  <si>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</si>
  <si>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</si>
  <si>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</si>
  <si>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</si>
  <si>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</si>
  <si>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</si>
  <si>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</si>
  <si>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</si>
  <si>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</si>
  <si>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</si>
  <si>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</si>
  <si>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</si>
  <si>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</si>
  <si>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</si>
  <si>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</si>
  <si>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</si>
  <si>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</si>
  <si>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</si>
  <si>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</si>
  <si>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</si>
  <si>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</si>
  <si>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</si>
  <si>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</si>
  <si>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</si>
  <si>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</si>
  <si>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</si>
  <si>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</si>
  <si>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</si>
  <si>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</si>
  <si>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</si>
  <si>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</si>
  <si>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</si>
  <si>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</si>
  <si>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</si>
  <si>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</si>
  <si>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</si>
  <si>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</si>
  <si>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</si>
  <si>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</si>
  <si>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</si>
  <si>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</si>
  <si>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</si>
  <si>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</si>
  <si>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</si>
  <si>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</si>
  <si>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</si>
  <si>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</si>
  <si>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</si>
  <si>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</si>
  <si>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</si>
  <si>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</si>
  <si>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</si>
  <si>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</si>
  <si>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</si>
  <si>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</si>
  <si>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</si>
  <si>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</si>
  <si>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</si>
  <si>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</si>
  <si>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</si>
  <si>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</si>
  <si>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</si>
  <si>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</si>
  <si>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</si>
  <si>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</si>
  <si>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</si>
  <si>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</si>
  <si>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</si>
  <si>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</si>
  <si>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</si>
  <si>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</si>
  <si>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</si>
  <si>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</si>
  <si>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</si>
  <si>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</si>
  <si>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</si>
  <si>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</si>
  <si>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</si>
  <si>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</si>
  <si>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</si>
  <si>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</si>
  <si>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</si>
  <si>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</si>
  <si>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</si>
  <si>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</si>
  <si>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</si>
  <si>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</si>
  <si>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</si>
  <si>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</si>
  <si>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</si>
  <si>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</si>
  <si>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</si>
  <si>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</si>
  <si>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</si>
  <si>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</si>
  <si>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</si>
  <si>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</si>
  <si>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</si>
  <si>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</si>
  <si>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</si>
  <si>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</si>
  <si>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</si>
  <si>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</si>
  <si>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</si>
  <si>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</si>
  <si>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</si>
  <si>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</si>
  <si>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</si>
  <si>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</si>
  <si>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</si>
  <si>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</si>
  <si>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</si>
  <si>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</si>
  <si>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</si>
  <si>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</si>
  <si>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</si>
  <si>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</si>
  <si>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</si>
  <si>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</si>
  <si>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</si>
  <si>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</si>
  <si>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</si>
  <si>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</si>
  <si>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</si>
  <si>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</si>
  <si>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</si>
  <si>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</si>
  <si>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</si>
  <si>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</si>
  <si>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</si>
  <si>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</si>
  <si>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</si>
  <si>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</si>
  <si>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</si>
  <si>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</si>
  <si>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</si>
  <si>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</si>
  <si>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</si>
  <si>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</si>
  <si>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</si>
  <si>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</si>
  <si>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</si>
  <si>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</si>
  <si>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</si>
  <si>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</si>
  <si>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</si>
  <si>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</si>
  <si>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</si>
  <si>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</si>
  <si>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</si>
  <si>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</si>
  <si>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</si>
  <si>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</si>
  <si>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</si>
  <si>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</si>
  <si>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</si>
  <si>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</si>
  <si>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</si>
  <si>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</si>
  <si>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</si>
  <si>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</si>
  <si>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</si>
  <si>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</si>
  <si>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</si>
  <si>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</si>
  <si>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</si>
  <si>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</si>
  <si>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</si>
  <si>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</si>
  <si>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</si>
  <si>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</si>
  <si>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</si>
  <si>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</si>
  <si>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</si>
  <si>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</si>
  <si>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</si>
  <si>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</si>
  <si>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</si>
  <si>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</si>
  <si>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</si>
  <si>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</si>
  <si>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</si>
  <si>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</si>
  <si>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</si>
  <si>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</si>
  <si>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</si>
  <si>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</si>
  <si>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</si>
  <si>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</si>
  <si>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</si>
  <si>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</si>
  <si>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</si>
  <si>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</si>
  <si>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</si>
  <si>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</si>
  <si>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</si>
  <si>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</si>
  <si>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</si>
  <si>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</si>
  <si>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</si>
  <si>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</si>
  <si>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</si>
  <si>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</si>
  <si>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</si>
  <si>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</si>
  <si>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</si>
  <si>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</si>
  <si>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</si>
  <si>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</si>
  <si>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</si>
  <si>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</si>
  <si>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</si>
  <si>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</si>
  <si>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</si>
  <si>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</si>
  <si>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</si>
  <si>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</si>
  <si>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</si>
  <si>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</si>
  <si>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</si>
  <si>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</si>
  <si>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</si>
  <si>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</si>
  <si>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</si>
  <si>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</si>
  <si>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</si>
  <si>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</si>
  <si>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</si>
  <si>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</si>
  <si>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</si>
  <si>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</si>
  <si>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</si>
  <si>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</si>
  <si>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</si>
  <si>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</si>
  <si>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</si>
  <si>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</si>
  <si>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</si>
  <si>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</si>
  <si>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</si>
  <si>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</si>
  <si>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</si>
  <si>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</si>
  <si>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</si>
  <si>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</si>
  <si>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</si>
  <si>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</si>
  <si>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</si>
  <si>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</si>
  <si>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</si>
  <si>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</si>
  <si>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</si>
  <si>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</si>
  <si>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</si>
  <si>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</si>
  <si>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</si>
  <si>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</si>
  <si>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</si>
  <si>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</si>
  <si>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</si>
  <si>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</si>
  <si>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</si>
  <si>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</si>
  <si>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</si>
  <si>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</si>
  <si>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</si>
  <si>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</si>
  <si>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</si>
  <si>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</si>
  <si>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</si>
  <si>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</si>
  <si>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</si>
  <si>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</si>
  <si>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</si>
  <si>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</si>
  <si>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</si>
  <si>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</si>
  <si>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</si>
  <si>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</si>
  <si>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</si>
  <si>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</si>
  <si>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</si>
  <si>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</si>
  <si>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</si>
  <si>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</si>
  <si>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</si>
  <si>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</si>
  <si>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</si>
  <si>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</si>
  <si>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</si>
  <si>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</si>
  <si>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</si>
  <si>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</si>
  <si>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</si>
  <si>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</si>
  <si>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</si>
  <si>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</si>
  <si>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</si>
  <si>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</si>
  <si>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</si>
  <si>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</si>
  <si>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</si>
  <si>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</si>
  <si>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</si>
  <si>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</si>
  <si>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</si>
  <si>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</si>
  <si>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</si>
  <si>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</si>
  <si>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</si>
  <si>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</si>
  <si>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</si>
  <si>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</si>
  <si>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</si>
  <si>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</si>
  <si>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</si>
  <si>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</si>
  <si>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</si>
  <si>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</si>
  <si>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</si>
  <si>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</si>
  <si>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</si>
  <si>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</si>
  <si>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</si>
  <si>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</si>
  <si>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</si>
  <si>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</si>
  <si>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</si>
  <si>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</si>
  <si>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</si>
  <si>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</si>
  <si>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</si>
  <si>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</si>
  <si>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</si>
  <si>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</si>
  <si>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</si>
  <si>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</si>
  <si>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</si>
  <si>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</si>
  <si>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</si>
  <si>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</si>
  <si>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</si>
  <si>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</si>
  <si>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</si>
  <si>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</si>
  <si>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</si>
  <si>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</si>
  <si>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</si>
  <si>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</si>
  <si>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</si>
  <si>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</si>
  <si>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</si>
  <si>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</si>
  <si>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</si>
  <si>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</si>
  <si>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</si>
  <si>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</si>
  <si>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</si>
  <si>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</si>
  <si>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</si>
  <si>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</si>
  <si>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</si>
  <si>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</si>
  <si>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</si>
  <si>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</si>
  <si>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</si>
  <si>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</si>
  <si>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</si>
  <si>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</si>
  <si>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</si>
  <si>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</si>
  <si>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</si>
  <si>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</si>
  <si>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</si>
  <si>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</si>
  <si>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</si>
  <si>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</si>
  <si>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</si>
  <si>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</si>
  <si>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</si>
  <si>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</si>
  <si>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</si>
  <si>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</si>
  <si>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</si>
  <si>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</si>
  <si>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</si>
  <si>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</si>
  <si>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</si>
  <si>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</si>
  <si>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</si>
  <si>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</si>
  <si>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</si>
  <si>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</si>
  <si>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</si>
  <si>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</si>
  <si>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</si>
  <si>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</si>
  <si>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</si>
  <si>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</si>
  <si>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</si>
  <si>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</si>
  <si>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</si>
  <si>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</si>
  <si>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</si>
  <si>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</si>
  <si>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</si>
  <si>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</si>
  <si>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</si>
  <si>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</si>
  <si>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</si>
  <si>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</si>
  <si>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</si>
  <si>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</si>
  <si>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</si>
  <si>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</si>
  <si>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</si>
  <si>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</si>
  <si>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</si>
  <si>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</si>
  <si>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</si>
  <si>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</si>
  <si>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</si>
  <si>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</si>
  <si>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</si>
  <si>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</si>
  <si>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</si>
  <si>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</si>
  <si>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</si>
  <si>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</si>
  <si>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</si>
  <si>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</si>
  <si>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</si>
  <si>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</si>
  <si>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</si>
  <si>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</si>
  <si>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</si>
  <si>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</si>
  <si>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</si>
  <si>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</si>
  <si>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</si>
  <si>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</si>
  <si>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</si>
  <si>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</si>
  <si>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</si>
  <si>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</si>
  <si>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</si>
  <si>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</si>
  <si>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</si>
  <si>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</si>
  <si>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</si>
  <si>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</si>
  <si>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</si>
  <si>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</si>
  <si>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</si>
  <si>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</si>
  <si>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</si>
  <si>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</si>
  <si>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</si>
  <si>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</si>
  <si>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</si>
  <si>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</si>
  <si>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</si>
  <si>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</si>
  <si>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</si>
  <si>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</si>
  <si>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</si>
  <si>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</si>
  <si>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</si>
  <si>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</si>
  <si>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</si>
  <si>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</si>
  <si>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</si>
  <si>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</si>
  <si>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</si>
  <si>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</si>
  <si>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</si>
  <si>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</si>
  <si>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</si>
  <si>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</si>
  <si>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</si>
  <si>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</si>
  <si>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</si>
  <si>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</si>
  <si>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</si>
  <si>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</si>
  <si>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</si>
  <si>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</si>
  <si>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</si>
  <si>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</si>
  <si>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</si>
  <si>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</si>
  <si>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</si>
  <si>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</si>
  <si>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</si>
  <si>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</si>
  <si>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</si>
  <si>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</si>
  <si>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</si>
  <si>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</si>
  <si>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</si>
  <si>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</si>
  <si>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</si>
  <si>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</si>
  <si>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</si>
  <si>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</si>
  <si>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</si>
  <si>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</si>
  <si>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</si>
  <si>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</si>
  <si>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</si>
  <si>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</si>
  <si>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</si>
  <si>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</si>
  <si>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</si>
  <si>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</si>
  <si>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</si>
  <si>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</si>
  <si>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</si>
  <si>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</si>
  <si>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</si>
  <si>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</si>
  <si>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</si>
  <si>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</si>
  <si>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</si>
  <si>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</si>
  <si>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</si>
  <si>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</si>
  <si>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</si>
  <si>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</si>
  <si>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</si>
  <si>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</si>
  <si>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</si>
  <si>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</si>
  <si>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</si>
  <si>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</si>
  <si>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</si>
  <si>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</si>
  <si>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</si>
  <si>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</si>
  <si>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</si>
  <si>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</si>
  <si>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</si>
  <si>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</si>
  <si>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</si>
  <si>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</si>
  <si>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</si>
  <si>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</si>
  <si>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</si>
  <si>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</si>
  <si>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</si>
  <si>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</si>
  <si>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</si>
  <si>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</si>
  <si>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</si>
  <si>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</si>
  <si>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</si>
  <si>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</si>
  <si>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</si>
  <si>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</si>
  <si>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</si>
  <si>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</si>
  <si>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</si>
  <si>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</si>
  <si>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</si>
  <si>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</si>
  <si>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</si>
  <si>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</si>
  <si>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</si>
  <si>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</si>
  <si>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</si>
  <si>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</si>
  <si>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</si>
  <si>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</si>
  <si>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</si>
  <si>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</si>
  <si>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</si>
  <si>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</si>
  <si>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</si>
  <si>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</si>
  <si>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</si>
  <si>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</si>
  <si>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</si>
  <si>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</si>
  <si>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</si>
  <si>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</si>
  <si>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</si>
  <si>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</si>
  <si>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</si>
  <si>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</si>
  <si>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</si>
  <si>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</si>
  <si>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</si>
  <si>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</si>
  <si>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</si>
  <si>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</si>
  <si>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</si>
  <si>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</si>
  <si>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</si>
  <si>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</si>
  <si>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</si>
  <si>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</si>
  <si>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</si>
  <si>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</si>
  <si>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</si>
  <si>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</si>
  <si>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</si>
  <si>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</si>
  <si>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</si>
  <si>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</si>
  <si>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</si>
  <si>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</si>
  <si>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</si>
  <si>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</si>
  <si>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</si>
  <si>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</si>
  <si>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</si>
  <si>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</si>
  <si>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</si>
  <si>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</si>
  <si>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</si>
  <si>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</si>
  <si>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</si>
  <si>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</si>
  <si>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</si>
  <si>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</si>
  <si>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</si>
  <si>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</si>
  <si>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</si>
  <si>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</si>
  <si>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</si>
  <si>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</si>
  <si>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</si>
  <si>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</si>
  <si>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</si>
  <si>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</si>
  <si>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</si>
  <si>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</si>
  <si>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</si>
  <si>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</si>
  <si>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</si>
  <si>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</si>
  <si>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</si>
  <si>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</si>
  <si>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</si>
  <si>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</si>
  <si>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</si>
  <si>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</si>
  <si>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</si>
  <si>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</si>
  <si>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</si>
  <si>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</si>
  <si>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</si>
  <si>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</si>
  <si>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</si>
  <si>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</si>
  <si>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</si>
  <si>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</si>
  <si>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</si>
  <si>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</si>
  <si>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</si>
  <si>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</si>
  <si>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</si>
  <si>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</si>
  <si>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</si>
  <si>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</si>
  <si>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</si>
  <si>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</si>
  <si>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</si>
  <si>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</si>
  <si>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</si>
  <si>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</si>
  <si>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</si>
  <si>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</si>
  <si>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</si>
  <si>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</si>
  <si>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</si>
  <si>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</si>
  <si>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</si>
  <si>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</si>
  <si>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</si>
  <si>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</si>
  <si>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</si>
  <si>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</si>
  <si>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</si>
  <si>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</si>
  <si>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</si>
  <si>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</si>
  <si>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</si>
  <si>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</si>
  <si>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</si>
  <si>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</si>
  <si>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</si>
  <si>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</si>
  <si>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</si>
  <si>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</si>
  <si>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</si>
  <si>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</si>
  <si>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</si>
  <si>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</si>
  <si>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</si>
  <si>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</si>
  <si>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</si>
  <si>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</si>
  <si>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</si>
  <si>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</si>
  <si>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</si>
  <si>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</si>
  <si>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</si>
  <si>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</si>
  <si>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</si>
  <si>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</si>
  <si>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</si>
  <si>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</si>
  <si>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</si>
  <si>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</si>
  <si>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</si>
  <si>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</si>
  <si>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</si>
  <si>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</si>
  <si>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</si>
  <si>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</si>
  <si>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</si>
  <si>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</si>
  <si>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</si>
  <si>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</si>
  <si>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</si>
  <si>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</si>
  <si>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</si>
  <si>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</si>
  <si>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</si>
  <si>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</si>
  <si>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</si>
  <si>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</si>
  <si>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</si>
  <si>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</si>
  <si>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</si>
  <si>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</si>
  <si>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</si>
  <si>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</si>
  <si>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</si>
  <si>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</si>
  <si>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</si>
  <si>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</si>
  <si>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</si>
  <si>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</si>
  <si>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</si>
  <si>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</si>
  <si>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</si>
  <si>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</si>
  <si>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</si>
  <si>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</si>
  <si>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</si>
  <si>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</si>
  <si>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</si>
  <si>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</si>
  <si>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</si>
  <si>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</si>
  <si>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</si>
  <si>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</si>
  <si>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</si>
  <si>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</si>
  <si>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</si>
  <si>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</si>
  <si>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</si>
  <si>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</si>
  <si>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</si>
  <si>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</si>
  <si>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</si>
  <si>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</si>
  <si>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</si>
  <si>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</si>
  <si>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</si>
  <si>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</si>
  <si>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</si>
  <si>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</si>
  <si>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</si>
  <si>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</si>
  <si>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</si>
  <si>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</si>
  <si>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</si>
  <si>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</si>
  <si>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</si>
  <si>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</si>
  <si>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</si>
  <si>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</si>
  <si>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</si>
  <si>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</si>
  <si>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</si>
  <si>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</si>
  <si>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</si>
  <si>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</si>
  <si>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</si>
  <si>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</si>
  <si>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</si>
  <si>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</si>
  <si>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</si>
  <si>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</si>
  <si>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</si>
  <si>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</si>
  <si>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</si>
  <si>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</si>
  <si>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</si>
  <si>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</si>
  <si>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</si>
  <si>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</si>
  <si>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</si>
  <si>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</si>
  <si>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</si>
  <si>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</si>
  <si>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</si>
  <si>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</si>
  <si>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</si>
  <si>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</si>
  <si>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</si>
  <si>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</si>
  <si>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</si>
  <si>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</si>
  <si>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</si>
  <si>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</si>
  <si>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</si>
  <si>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</si>
  <si>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</si>
  <si>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</si>
  <si>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</si>
  <si>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</si>
  <si>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</si>
  <si>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</si>
  <si>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</si>
  <si>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</si>
  <si>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</si>
  <si>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</si>
  <si>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</si>
  <si>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</si>
  <si>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</si>
  <si>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</si>
  <si>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</si>
  <si>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</si>
  <si>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</si>
  <si>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</si>
  <si>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</si>
  <si>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</si>
  <si>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</si>
  <si>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</si>
  <si>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</si>
  <si>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</si>
  <si>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</si>
  <si>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</si>
  <si>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</si>
  <si>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</si>
  <si>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</si>
  <si>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</si>
  <si>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</si>
  <si>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</si>
  <si>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</si>
  <si>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</si>
  <si>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</si>
  <si>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</si>
  <si>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</si>
  <si>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</si>
  <si>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</si>
  <si>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</si>
  <si>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</si>
  <si>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</si>
  <si>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</si>
  <si>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</si>
  <si>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</si>
  <si>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</si>
  <si>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</si>
  <si>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</si>
  <si>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</si>
  <si>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</si>
  <si>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</si>
  <si>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</si>
  <si>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</si>
  <si>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</si>
  <si>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</si>
  <si>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</si>
  <si>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</si>
  <si>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</si>
  <si>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</si>
  <si>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</si>
  <si>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</si>
  <si>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</si>
  <si>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</si>
  <si>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</si>
  <si>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</si>
  <si>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</si>
  <si>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</si>
  <si>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</si>
  <si>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</si>
  <si>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</si>
  <si>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</si>
  <si>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</si>
  <si>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</si>
  <si>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</si>
  <si>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</si>
  <si>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</si>
  <si>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</si>
  <si>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</si>
  <si>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</si>
  <si>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</si>
  <si>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</si>
  <si>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</si>
  <si>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</si>
  <si>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</si>
  <si>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</si>
  <si>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</si>
  <si>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</si>
  <si>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</si>
  <si>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</si>
  <si>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</si>
  <si>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</si>
  <si>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</si>
  <si>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</si>
  <si>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</si>
  <si>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</si>
  <si>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</si>
  <si>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</si>
  <si>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</si>
  <si>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</si>
  <si>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</si>
  <si>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</si>
  <si>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</si>
  <si>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</si>
  <si>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</si>
  <si>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</si>
  <si>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</si>
  <si>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</si>
  <si>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</si>
  <si>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</si>
  <si>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</si>
  <si>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</si>
  <si>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</si>
  <si>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</si>
  <si>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</si>
  <si>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</si>
  <si>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</si>
  <si>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</si>
  <si>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</si>
  <si>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</si>
  <si>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</si>
  <si>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</si>
  <si>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</si>
  <si>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</si>
  <si>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</si>
  <si>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</si>
  <si>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</si>
  <si>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</si>
  <si>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</si>
  <si>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</si>
  <si>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</si>
  <si>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</si>
  <si>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</si>
  <si>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</si>
  <si>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</si>
  <si>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</si>
  <si>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</si>
  <si>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</si>
  <si>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</si>
  <si>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</si>
  <si>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</si>
  <si>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</si>
  <si>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</si>
  <si>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</si>
  <si>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</si>
  <si>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</si>
  <si>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</si>
  <si>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</si>
  <si>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</si>
  <si>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</si>
  <si>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</si>
  <si>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</si>
  <si>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</si>
  <si>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</si>
  <si>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</si>
  <si>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</si>
  <si>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</si>
  <si>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</si>
  <si>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</si>
  <si>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</si>
  <si>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</si>
  <si>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</si>
  <si>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</si>
  <si>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</si>
  <si>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</si>
  <si>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</si>
  <si>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</si>
  <si>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</si>
  <si>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</si>
  <si>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</si>
  <si>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</si>
  <si>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</si>
  <si>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</si>
  <si>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</si>
  <si>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</si>
  <si>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</si>
  <si>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</si>
  <si>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</si>
  <si>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</si>
  <si>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</si>
  <si>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</si>
  <si>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</si>
  <si>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</si>
  <si>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</si>
  <si>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</si>
  <si>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</si>
  <si>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</si>
  <si>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</si>
  <si>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</si>
  <si>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</si>
  <si>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</si>
  <si>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</si>
  <si>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</si>
  <si>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</si>
  <si>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</si>
  <si>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</si>
  <si>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</si>
  <si>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</si>
  <si>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</si>
  <si>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</si>
  <si>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</si>
  <si>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</si>
  <si>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</si>
  <si>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</si>
  <si>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</si>
  <si>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</si>
  <si>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</si>
  <si>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</si>
  <si>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</si>
  <si>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</si>
  <si>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</si>
  <si>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</si>
  <si>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</si>
  <si>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</si>
  <si>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</si>
  <si>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</si>
  <si>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</si>
  <si>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</si>
  <si>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</si>
  <si>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</si>
  <si>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</si>
  <si>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</si>
  <si>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</si>
  <si>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</si>
  <si>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</si>
  <si>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</si>
  <si>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</si>
  <si>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</si>
  <si>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</si>
  <si>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</si>
  <si>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</si>
  <si>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</si>
  <si>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</si>
  <si>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</si>
  <si>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</si>
  <si>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</si>
  <si>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</si>
  <si>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</si>
  <si>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</si>
  <si>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</si>
  <si>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</si>
  <si>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</si>
  <si>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</si>
  <si>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</si>
  <si>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</si>
  <si>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</si>
  <si>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</si>
  <si>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</si>
  <si>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</si>
  <si>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</si>
  <si>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</si>
  <si>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</si>
  <si>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</si>
  <si>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</si>
  <si>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</si>
  <si>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</si>
  <si>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</si>
  <si>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</si>
  <si>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</si>
  <si>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</si>
  <si>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</si>
  <si>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</si>
  <si>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</si>
  <si>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</si>
  <si>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</si>
  <si>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</si>
  <si>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</si>
  <si>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</si>
  <si>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</si>
  <si>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</si>
  <si>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</si>
  <si>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</si>
  <si>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</si>
  <si>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</si>
  <si>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</si>
  <si>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</si>
  <si>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</si>
  <si>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</si>
  <si>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</si>
  <si>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</si>
  <si>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</si>
  <si>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</si>
  <si>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</si>
  <si>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</si>
  <si>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</si>
  <si>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</si>
  <si>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</si>
  <si>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</si>
  <si>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</si>
  <si>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</si>
  <si>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</si>
  <si>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</si>
  <si>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</si>
  <si>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</si>
  <si>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</si>
  <si>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</si>
  <si>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</si>
  <si>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</si>
  <si>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</si>
  <si>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</si>
  <si>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</si>
  <si>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</si>
  <si>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</si>
  <si>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</si>
  <si>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</si>
  <si>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</si>
  <si>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</si>
  <si>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</si>
  <si>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</si>
  <si>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</si>
  <si>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</si>
  <si>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</si>
  <si>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</si>
  <si>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</si>
  <si>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</si>
  <si>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</si>
  <si>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</si>
  <si>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</si>
  <si>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</si>
  <si>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</si>
  <si>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</si>
  <si>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</si>
  <si>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</si>
  <si>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</si>
  <si>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</si>
  <si>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</si>
  <si>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</si>
  <si>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</si>
  <si>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</si>
  <si>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</si>
  <si>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</si>
  <si>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</si>
  <si>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</si>
  <si>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</si>
  <si>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</si>
  <si>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</si>
  <si>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</si>
  <si>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</si>
  <si>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</si>
  <si>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</si>
  <si>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</si>
  <si>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</si>
  <si>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</si>
  <si>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</si>
  <si>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</si>
  <si>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</si>
  <si>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</si>
  <si>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</si>
  <si>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</si>
  <si>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</si>
  <si>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</si>
  <si>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</si>
  <si>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</si>
  <si>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</si>
  <si>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</si>
  <si>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</si>
  <si>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</si>
  <si>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</si>
  <si>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</si>
  <si>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</si>
  <si>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</si>
  <si>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</si>
  <si>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</si>
  <si>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</si>
  <si>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</si>
  <si>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</si>
  <si>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</si>
  <si>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</si>
  <si>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</si>
  <si>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</si>
  <si>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</si>
  <si>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</si>
  <si>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</si>
  <si>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</si>
  <si>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</si>
  <si>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</si>
  <si>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</si>
  <si>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</si>
  <si>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</si>
  <si>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</si>
  <si>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</si>
  <si>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</si>
  <si>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</si>
  <si>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</si>
  <si>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</si>
  <si>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</si>
  <si>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</si>
  <si>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</si>
  <si>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</si>
  <si>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</si>
  <si>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</si>
  <si>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</si>
  <si>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</si>
  <si>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</si>
  <si>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</si>
  <si>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</si>
  <si>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</si>
  <si>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</si>
  <si>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</si>
  <si>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</si>
  <si>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</si>
  <si>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</si>
  <si>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</si>
  <si>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</si>
  <si>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</si>
  <si>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</si>
  <si>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</si>
  <si>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</si>
  <si>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</si>
  <si>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</si>
  <si>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</si>
  <si>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</si>
  <si>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</si>
  <si>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</si>
  <si>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</si>
  <si>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</si>
  <si>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</si>
  <si>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</si>
  <si>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</si>
  <si>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</si>
  <si>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</si>
  <si>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</si>
  <si>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</si>
  <si>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</si>
  <si>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</si>
  <si>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</si>
  <si>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</si>
  <si>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</si>
  <si>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</si>
  <si>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</si>
  <si>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</si>
  <si>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</si>
  <si>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</si>
  <si>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</si>
  <si>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</si>
  <si>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</si>
  <si>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</si>
  <si>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</si>
  <si>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</si>
  <si>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</si>
  <si>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</si>
  <si>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</si>
  <si>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</si>
  <si>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</si>
  <si>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</si>
  <si>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</si>
  <si>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</si>
  <si>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</si>
  <si>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</si>
  <si>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</si>
  <si>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</si>
  <si>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</si>
  <si>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</si>
  <si>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</si>
  <si>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</si>
  <si>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</si>
  <si>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</si>
  <si>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</si>
  <si>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</si>
  <si>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</si>
  <si>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</si>
  <si>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</si>
  <si>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</si>
  <si>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</si>
  <si>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</si>
  <si>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</si>
  <si>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</si>
  <si>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</si>
  <si>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</si>
  <si>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</si>
  <si>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</si>
  <si>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</si>
  <si>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</si>
  <si>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</si>
  <si>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</si>
  <si>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</si>
  <si>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</si>
  <si>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</si>
  <si>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</si>
  <si>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</si>
  <si>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</si>
  <si>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</si>
  <si>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</si>
  <si>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</si>
  <si>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</si>
  <si>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</si>
  <si>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</si>
  <si>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</si>
  <si>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</si>
  <si>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</si>
  <si>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</si>
  <si>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</si>
  <si>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</si>
  <si>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</si>
  <si>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</si>
  <si>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</si>
  <si>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</si>
  <si>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</si>
  <si>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</si>
  <si>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</si>
  <si>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</si>
  <si>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</si>
  <si>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</si>
  <si>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</si>
  <si>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</si>
  <si>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</si>
  <si>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</si>
  <si>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</si>
  <si>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</si>
  <si>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</si>
  <si>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</si>
  <si>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</si>
  <si>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</si>
  <si>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</si>
  <si>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</si>
  <si>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</si>
  <si>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</si>
  <si>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</si>
  <si>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</si>
  <si>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</si>
  <si>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</si>
  <si>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</si>
  <si>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</si>
  <si>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</si>
  <si>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</si>
  <si>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</si>
  <si>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</si>
  <si>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</si>
  <si>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</si>
  <si>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</si>
  <si>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</si>
  <si>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</si>
  <si>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</si>
  <si>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</si>
  <si>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</si>
  <si>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</si>
  <si>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</si>
  <si>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</si>
  <si>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</si>
  <si>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</si>
  <si>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</si>
  <si>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</si>
  <si>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</si>
  <si>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</si>
  <si>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</si>
  <si>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</si>
  <si>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</si>
  <si>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</si>
  <si>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</si>
  <si>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</si>
  <si>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</si>
  <si>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</si>
  <si>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</si>
  <si>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</si>
  <si>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</si>
  <si>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</si>
  <si>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</si>
  <si>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</si>
  <si>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</si>
  <si>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</si>
  <si>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</si>
  <si>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</si>
  <si>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</si>
  <si>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</si>
  <si>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</si>
  <si>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</si>
  <si>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</si>
  <si>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</si>
  <si>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</si>
  <si>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</si>
  <si>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</si>
  <si>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</si>
  <si>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</si>
  <si>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</si>
  <si>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</si>
  <si>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</si>
  <si>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</si>
  <si>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</si>
  <si>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</si>
  <si>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</si>
  <si>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</si>
  <si>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</si>
  <si>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</si>
  <si>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</si>
  <si>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</si>
  <si>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</si>
  <si>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</si>
  <si>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</si>
  <si>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</si>
  <si>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</si>
  <si>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</si>
  <si>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</si>
  <si>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</si>
  <si>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</si>
  <si>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</si>
  <si>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</si>
  <si>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</si>
  <si>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</si>
  <si>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</si>
  <si>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</si>
  <si>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</si>
  <si>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</si>
  <si>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</si>
  <si>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</si>
  <si>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</si>
  <si>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</si>
  <si>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</si>
  <si>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</si>
  <si>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</si>
  <si>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</si>
  <si>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</si>
  <si>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</si>
  <si>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</si>
  <si>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</si>
  <si>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</si>
  <si>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</si>
  <si>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</si>
  <si>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</si>
  <si>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</si>
  <si>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</si>
  <si>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</si>
  <si>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</si>
  <si>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</si>
  <si>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</si>
  <si>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</si>
  <si>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</si>
  <si>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</si>
  <si>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</si>
  <si>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</si>
  <si>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</si>
  <si>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</si>
  <si>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</si>
  <si>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</si>
  <si>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</si>
  <si>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</si>
  <si>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</si>
  <si>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</si>
  <si>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</si>
  <si>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</si>
  <si>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</si>
  <si>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</si>
  <si>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</si>
  <si>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</si>
  <si>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</si>
  <si>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</si>
  <si>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</si>
  <si>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</si>
  <si>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</si>
  <si>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</si>
  <si>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</si>
  <si>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</si>
  <si>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</si>
  <si>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</si>
  <si>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</si>
  <si>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</si>
  <si>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</si>
  <si>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</si>
  <si>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</si>
  <si>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</si>
  <si>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</si>
  <si>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</si>
  <si>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</si>
  <si>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</si>
  <si>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</si>
  <si>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</si>
  <si>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</si>
  <si>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</si>
  <si>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</si>
  <si>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</si>
  <si>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</si>
  <si>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</si>
  <si>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</si>
  <si>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</si>
  <si>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</si>
  <si>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</si>
  <si>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</si>
  <si>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</si>
  <si>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</si>
  <si>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</si>
  <si>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</si>
  <si>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</si>
  <si>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</si>
  <si>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</si>
  <si>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</si>
  <si>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</si>
  <si>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</si>
  <si>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</si>
  <si>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</si>
  <si>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</si>
  <si>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</si>
  <si>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</si>
  <si>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</si>
  <si>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</si>
  <si>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</si>
  <si>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</si>
  <si>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</si>
  <si>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</si>
  <si>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</si>
  <si>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</si>
  <si>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</si>
  <si>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</si>
  <si>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</si>
  <si>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</si>
  <si>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</si>
  <si>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</si>
  <si>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</si>
  <si>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</si>
  <si>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</si>
  <si>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</si>
  <si>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</si>
  <si>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</si>
  <si>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</si>
  <si>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</si>
  <si>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</si>
  <si>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</si>
  <si>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</si>
  <si>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</si>
  <si>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</si>
  <si>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</si>
  <si>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</si>
  <si>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</si>
  <si>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</si>
  <si>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</si>
  <si>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</si>
  <si>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</si>
  <si>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</si>
  <si>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</si>
  <si>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</si>
  <si>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</si>
  <si>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</si>
  <si>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</si>
  <si>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</si>
  <si>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</si>
  <si>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</si>
  <si>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</si>
  <si>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</si>
  <si>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</si>
  <si>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</si>
  <si>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</si>
  <si>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</si>
  <si>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</si>
  <si>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</si>
  <si>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</si>
  <si>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</si>
  <si>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</si>
  <si>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</si>
  <si>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</si>
  <si>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</si>
  <si>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</si>
  <si>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</si>
  <si>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</si>
  <si>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</si>
  <si>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</si>
  <si>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</si>
  <si>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</si>
  <si>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</si>
  <si>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</si>
  <si>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</si>
  <si>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</si>
  <si>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</si>
  <si>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</si>
  <si>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</si>
  <si>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</si>
  <si>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</si>
  <si>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</si>
  <si>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</si>
  <si>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</si>
  <si>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</si>
  <si>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</si>
  <si>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</si>
  <si>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</si>
  <si>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</si>
  <si>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</si>
  <si>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</si>
  <si>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</si>
  <si>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</si>
  <si>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</si>
  <si>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</si>
  <si>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</si>
  <si>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</si>
  <si>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</si>
  <si>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</si>
  <si>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</si>
  <si>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</si>
  <si>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</si>
  <si>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</si>
  <si>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</si>
  <si>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</si>
  <si>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</si>
  <si>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</si>
  <si>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</si>
  <si>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</si>
  <si>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</si>
  <si>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</si>
  <si>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</si>
  <si>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</si>
  <si>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</si>
  <si>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</si>
  <si>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</si>
  <si>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</si>
  <si>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</si>
  <si>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</si>
  <si>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</si>
  <si>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</si>
  <si>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</si>
  <si>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</si>
  <si>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</si>
  <si>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</si>
  <si>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</si>
  <si>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</si>
  <si>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</si>
  <si>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</si>
  <si>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</si>
  <si>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</si>
  <si>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</si>
  <si>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</si>
  <si>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</si>
  <si>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</si>
  <si>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</si>
  <si>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</si>
  <si>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</si>
  <si>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</si>
  <si>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</si>
  <si>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</si>
  <si>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</si>
  <si>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</si>
  <si>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</si>
  <si>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</si>
  <si>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</si>
  <si>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</si>
  <si>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</si>
  <si>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</si>
  <si>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</si>
  <si>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</si>
  <si>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</si>
  <si>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</si>
  <si>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</si>
  <si>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</si>
  <si>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</si>
  <si>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</si>
  <si>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</si>
  <si>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</si>
  <si>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</si>
  <si>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</si>
  <si>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</si>
  <si>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</si>
  <si>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</si>
  <si>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</si>
  <si>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</si>
  <si>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</si>
  <si>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</si>
  <si>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</si>
  <si>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</si>
  <si>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</si>
  <si>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</si>
  <si>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</si>
  <si>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</si>
  <si>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</si>
  <si>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</si>
  <si>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</si>
  <si>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</si>
  <si>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</si>
  <si>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</si>
  <si>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</si>
  <si>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</si>
  <si>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</si>
  <si>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</si>
  <si>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</si>
  <si>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</si>
  <si>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</si>
  <si>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</si>
  <si>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</si>
  <si>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</si>
  <si>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</si>
  <si>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</si>
  <si>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</si>
  <si>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</si>
  <si>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</si>
  <si>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</si>
  <si>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</si>
  <si>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</si>
  <si>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</si>
  <si>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</si>
  <si>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</si>
  <si>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</si>
  <si>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</si>
  <si>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</si>
  <si>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</si>
  <si>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</si>
  <si>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</si>
  <si>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</si>
  <si>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</si>
  <si>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</si>
  <si>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</si>
  <si>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</si>
  <si>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</si>
  <si>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</si>
  <si>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</si>
  <si>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</si>
  <si>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</si>
  <si>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</si>
  <si>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</si>
  <si>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</si>
  <si>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</si>
  <si>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</si>
  <si>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</si>
  <si>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</si>
  <si>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</si>
  <si>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</si>
  <si>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</si>
  <si>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</si>
  <si>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</si>
  <si>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</si>
  <si>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</si>
  <si>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</si>
  <si>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</si>
  <si>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</si>
  <si>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</si>
  <si>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</si>
  <si>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</si>
  <si>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</si>
  <si>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</si>
  <si>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</si>
  <si>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</si>
  <si>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</si>
  <si>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</si>
  <si>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</si>
  <si>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</si>
  <si>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</si>
  <si>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</si>
  <si>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</si>
  <si>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</si>
  <si>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</si>
  <si>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</si>
  <si>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</si>
  <si>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</si>
  <si>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</si>
  <si>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</si>
  <si>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</si>
  <si>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</si>
  <si>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</si>
  <si>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</si>
  <si>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</si>
  <si>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</si>
  <si>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</si>
  <si>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</si>
  <si>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</si>
  <si>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</si>
  <si>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</si>
  <si>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</si>
  <si>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</si>
  <si>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</si>
  <si>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</si>
  <si>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</si>
  <si>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</si>
  <si>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</si>
  <si>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</si>
  <si>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</si>
  <si>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</si>
  <si>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</si>
  <si>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</si>
  <si>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</si>
  <si>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</si>
  <si>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</si>
  <si>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</si>
  <si>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</si>
  <si>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</si>
  <si>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</si>
  <si>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</si>
  <si>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</si>
  <si>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</si>
  <si>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</si>
  <si>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</si>
  <si>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</si>
  <si>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</si>
  <si>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</si>
  <si>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</si>
  <si>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</si>
  <si>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</si>
  <si>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</si>
  <si>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</si>
  <si>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</si>
  <si>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</si>
  <si>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</si>
  <si>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</si>
  <si>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</si>
  <si>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</si>
  <si>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</si>
  <si>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</si>
  <si>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</si>
  <si>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</si>
  <si>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</si>
  <si>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</si>
  <si>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</si>
  <si>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</si>
  <si>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商务金融用地（办公类）</t>
  </si>
  <si>
    <t>抵押</t>
  </si>
  <si>
    <t>房地产抵押价值</t>
  </si>
  <si>
    <t>北京市</t>
  </si>
  <si>
    <t>企业</t>
  </si>
  <si>
    <t>出让</t>
  </si>
  <si>
    <t>3-2008</t>
    <phoneticPr fontId="3" type="noConversion"/>
  </si>
  <si>
    <t>其他</t>
    <phoneticPr fontId="3" type="noConversion"/>
  </si>
  <si>
    <t>是</t>
  </si>
  <si>
    <t>是</t>
    <phoneticPr fontId="3" type="noConversion"/>
  </si>
  <si>
    <t>是</t>
    <phoneticPr fontId="3" type="noConversion"/>
  </si>
  <si>
    <t>地上</t>
  </si>
  <si>
    <t>3-2008</t>
    <phoneticPr fontId="7" type="noConversion"/>
  </si>
  <si>
    <t>办公</t>
    <phoneticPr fontId="7" type="noConversion"/>
  </si>
  <si>
    <t>成新度</t>
  </si>
  <si>
    <t>权重</t>
    <phoneticPr fontId="3" type="noConversion"/>
  </si>
  <si>
    <t>收益法 (元)</t>
  </si>
  <si>
    <t>利息：取LPR加浮动点数</t>
  </si>
  <si>
    <t>容积率修正</t>
  </si>
  <si>
    <t>按公示增长率计算</t>
  </si>
  <si>
    <t>与级别开发程度不一致</t>
  </si>
  <si>
    <t>通路</t>
  </si>
  <si>
    <t>通电</t>
  </si>
  <si>
    <t>通讯</t>
  </si>
  <si>
    <t>通上水</t>
  </si>
  <si>
    <t>通下水</t>
  </si>
  <si>
    <t>燃气</t>
  </si>
  <si>
    <t>平整</t>
  </si>
  <si>
    <t>一般</t>
  </si>
  <si>
    <t>较好</t>
  </si>
  <si>
    <t>好</t>
  </si>
  <si>
    <t>未包含在土地购买价格中</t>
  </si>
  <si>
    <t>已包含在土地取得成本中</t>
  </si>
  <si>
    <t>押一</t>
  </si>
  <si>
    <t>按租金收入计税</t>
  </si>
  <si>
    <t>钢混</t>
  </si>
  <si>
    <t>非生产用房</t>
  </si>
  <si>
    <t>售价</t>
  </si>
  <si>
    <t>正常</t>
    <phoneticPr fontId="32" type="noConversion"/>
  </si>
  <si>
    <t>正常</t>
    <phoneticPr fontId="32" type="noConversion"/>
  </si>
  <si>
    <t>天元港中心</t>
    <phoneticPr fontId="3" type="noConversion"/>
  </si>
  <si>
    <t>南银大厦</t>
    <phoneticPr fontId="3" type="noConversion"/>
  </si>
  <si>
    <t>网信大厦</t>
    <phoneticPr fontId="3" type="noConversion"/>
  </si>
  <si>
    <t>中区</t>
    <phoneticPr fontId="32" type="noConversion"/>
  </si>
  <si>
    <t>低区</t>
    <phoneticPr fontId="32" type="noConversion"/>
  </si>
  <si>
    <t>高区</t>
    <phoneticPr fontId="32" type="noConversion"/>
  </si>
  <si>
    <t>中区</t>
    <phoneticPr fontId="32" type="noConversion"/>
  </si>
  <si>
    <t>高区</t>
    <phoneticPr fontId="32" type="noConversion"/>
  </si>
  <si>
    <t>中区</t>
    <phoneticPr fontId="32" type="noConversion"/>
  </si>
  <si>
    <t>比较法-办公</t>
  </si>
  <si>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</si>
  <si>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</si>
  <si>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</si>
  <si>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</si>
  <si>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</si>
  <si>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</si>
  <si>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总价</t>
  </si>
  <si>
    <t>收益比率</t>
  </si>
  <si>
    <t>（分摊）土地面积</t>
  </si>
  <si>
    <t>分摊土地面积</t>
    <phoneticPr fontId="140" type="noConversion"/>
  </si>
  <si>
    <t>建筑面积</t>
    <phoneticPr fontId="140" type="noConversion"/>
  </si>
  <si>
    <t>土地价值</t>
    <phoneticPr fontId="140" type="noConversion"/>
  </si>
  <si>
    <t>单价</t>
    <phoneticPr fontId="140" type="noConversion"/>
  </si>
  <si>
    <t>建筑物价值</t>
    <phoneticPr fontId="140" type="noConversion"/>
  </si>
  <si>
    <t>单价</t>
    <phoneticPr fontId="140" type="noConversion"/>
  </si>
  <si>
    <t>总价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</si>
</sst>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254" fillId="0" borderId="82" xfId="0" applyFont="1" applyBorder="1" applyAlignment="1">
      <alignment horizontal="center" vertical="center"/>
    </xf>
    <xf numFmtId="0" fontId="254" fillId="0" borderId="65" xfId="0" applyFont="1" applyBorder="1" applyAlignment="1">
      <alignment horizontal="center" vertical="center"/>
    </xf>
    <xf numFmtId="0" fontId="254" fillId="0" borderId="43" xfId="0" applyFont="1" applyBorder="1" applyAlignment="1">
      <alignment horizontal="center" vertical="center"/>
    </xf>
    <xf numFmtId="0" fontId="254" fillId="0" borderId="43" xfId="0" applyFont="1" applyBorder="1" applyAlignment="1">
      <alignment horizontal="center" vertical="center" wrapText="1"/>
    </xf>
    <xf numFmtId="0" fontId="254" fillId="0" borderId="81" xfId="0" applyFont="1" applyBorder="1" applyAlignment="1">
      <alignment horizontal="center" vertical="center"/>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8" fillId="2" borderId="1" xfId="0" applyFont="1" applyFill="1" applyBorder="1" applyAlignment="1" applyProtection="1">
      <alignment horizontal="center" vertical="center"/>
      <protection locked="0"/>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42" xfId="0" applyFont="1" applyBorder="1" applyAlignment="1">
      <alignment horizontal="center" vertical="center"/>
    </xf>
    <xf numFmtId="0" fontId="254" fillId="0" borderId="47" xfId="0" applyFont="1" applyBorder="1" applyAlignment="1">
      <alignment horizontal="center" vertical="center"/>
    </xf>
    <xf numFmtId="0" fontId="254" fillId="0" borderId="43" xfId="0" applyFont="1" applyBorder="1" applyAlignment="1">
      <alignment horizontal="center" vertical="center"/>
    </xf>
    <xf numFmtId="0" fontId="254" fillId="0" borderId="158" xfId="0" applyFont="1" applyBorder="1" applyAlignment="1">
      <alignment horizontal="center" vertical="center"/>
    </xf>
    <xf numFmtId="0" fontId="254" fillId="0" borderId="27" xfId="0" applyFont="1" applyBorder="1" applyAlignment="1">
      <alignment horizontal="center" vertical="center"/>
    </xf>
    <xf numFmtId="0" fontId="254" fillId="0" borderId="80" xfId="0" applyFont="1" applyBorder="1" applyAlignment="1">
      <alignment horizontal="center" vertical="center"/>
    </xf>
    <xf numFmtId="0" fontId="254" fillId="0" borderId="81" xfId="0" applyFont="1" applyBorder="1" applyAlignment="1">
      <alignment horizontal="center"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59"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274905</xdr:colOff>
      <xdr:row>30</xdr:row>
      <xdr:rowOff>56500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61905" cy="5200000"/>
        </a:xfrm>
        <a:prstGeom prst="rect">
          <a:avLst/>
        </a:prstGeom>
      </xdr:spPr>
    </xdr:pic>
    <xdr:clientData/>
  </xdr:twoCellAnchor>
  <xdr:twoCellAnchor editAs="oneCell">
    <xdr:from>
      <xdr:col>0</xdr:col>
      <xdr:colOff>0</xdr:colOff>
      <xdr:row>30</xdr:row>
      <xdr:rowOff>0</xdr:rowOff>
    </xdr:from>
    <xdr:to>
      <xdr:col>16</xdr:col>
      <xdr:colOff>303391</xdr:colOff>
      <xdr:row>59</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1276191" cy="5085715"/>
        </a:xfrm>
        <a:prstGeom prst="rect">
          <a:avLst/>
        </a:prstGeom>
      </xdr:spPr>
    </xdr:pic>
    <xdr:clientData/>
  </xdr:twoCellAnchor>
  <xdr:twoCellAnchor editAs="oneCell">
    <xdr:from>
      <xdr:col>0</xdr:col>
      <xdr:colOff>0</xdr:colOff>
      <xdr:row>60</xdr:row>
      <xdr:rowOff>0</xdr:rowOff>
    </xdr:from>
    <xdr:to>
      <xdr:col>16</xdr:col>
      <xdr:colOff>522439</xdr:colOff>
      <xdr:row>91</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1495239" cy="5342858"/>
        </a:xfrm>
        <a:prstGeom prst="rect">
          <a:avLst/>
        </a:prstGeom>
      </xdr:spPr>
    </xdr:pic>
    <xdr:clientData/>
  </xdr:twoCellAnchor>
  <xdr:twoCellAnchor editAs="oneCell">
    <xdr:from>
      <xdr:col>6</xdr:col>
      <xdr:colOff>285750</xdr:colOff>
      <xdr:row>12</xdr:row>
      <xdr:rowOff>123825</xdr:rowOff>
    </xdr:from>
    <xdr:to>
      <xdr:col>18</xdr:col>
      <xdr:colOff>227579</xdr:colOff>
      <xdr:row>30</xdr:row>
      <xdr:rowOff>28201</xdr:rowOff>
    </xdr:to>
    <xdr:pic>
      <xdr:nvPicPr>
        <xdr:cNvPr id="5" name="图片 4"/>
        <xdr:cNvPicPr>
          <a:picLocks noChangeAspect="1"/>
        </xdr:cNvPicPr>
      </xdr:nvPicPr>
      <xdr:blipFill>
        <a:blip xmlns:r="http://schemas.openxmlformats.org/officeDocument/2006/relationships" r:embed="rId4"/>
        <a:stretch>
          <a:fillRect/>
        </a:stretch>
      </xdr:blipFill>
      <xdr:spPr>
        <a:xfrm>
          <a:off x="4400550" y="2181225"/>
          <a:ext cx="8171429" cy="2990476"/>
        </a:xfrm>
        <a:prstGeom prst="rect">
          <a:avLst/>
        </a:prstGeom>
      </xdr:spPr>
    </xdr:pic>
    <xdr:clientData/>
  </xdr:twoCellAnchor>
  <xdr:twoCellAnchor editAs="oneCell">
    <xdr:from>
      <xdr:col>6</xdr:col>
      <xdr:colOff>552450</xdr:colOff>
      <xdr:row>43</xdr:row>
      <xdr:rowOff>66675</xdr:rowOff>
    </xdr:from>
    <xdr:to>
      <xdr:col>19</xdr:col>
      <xdr:colOff>646574</xdr:colOff>
      <xdr:row>62</xdr:row>
      <xdr:rowOff>56744</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0" y="7439025"/>
          <a:ext cx="9009524" cy="3247619"/>
        </a:xfrm>
        <a:prstGeom prst="rect">
          <a:avLst/>
        </a:prstGeom>
      </xdr:spPr>
    </xdr:pic>
    <xdr:clientData/>
  </xdr:twoCellAnchor>
  <xdr:twoCellAnchor editAs="oneCell">
    <xdr:from>
      <xdr:col>6</xdr:col>
      <xdr:colOff>571500</xdr:colOff>
      <xdr:row>71</xdr:row>
      <xdr:rowOff>152400</xdr:rowOff>
    </xdr:from>
    <xdr:to>
      <xdr:col>19</xdr:col>
      <xdr:colOff>198958</xdr:colOff>
      <xdr:row>90</xdr:row>
      <xdr:rowOff>28184</xdr:rowOff>
    </xdr:to>
    <xdr:pic>
      <xdr:nvPicPr>
        <xdr:cNvPr id="7" name="图片 6"/>
        <xdr:cNvPicPr>
          <a:picLocks noChangeAspect="1"/>
        </xdr:cNvPicPr>
      </xdr:nvPicPr>
      <xdr:blipFill>
        <a:blip xmlns:r="http://schemas.openxmlformats.org/officeDocument/2006/relationships" r:embed="rId6"/>
        <a:stretch>
          <a:fillRect/>
        </a:stretch>
      </xdr:blipFill>
      <xdr:spPr>
        <a:xfrm>
          <a:off x="4686300" y="12325350"/>
          <a:ext cx="8542858" cy="3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估价对象为北京市房地产，为所有。根据《国有土地使用证》[]，估价对象（分摊）出让国有建设用地使用权面积为1574.14平方米，建筑面积为32481.79平方米。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估价对象为北京市房地产,属开发建设的，该项目尚在开发建设中。根据《国有土地使用证》[]，估价对象（分摊）出让国有建设用地使用权面积为1574.14平方米，规划建筑面积为32481.79平方米。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2021年8月3日</v>
      </c>
    </row>
    <row r="13" spans="1:2" s="1363" customFormat="1">
      <c r="A13" s="1361" t="s">
        <v>1194</v>
      </c>
      <c r="B13" s="1362" t="str">
        <f>'预评函-1'!A18</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本次评估采用的主估价方法为基准地价系数修正法和基准地价系数修正法。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164793</v>
      </c>
    </row>
    <row r="21" spans="1:2" s="1363" customFormat="1">
      <c r="A21" s="1361" t="s">
        <v>1202</v>
      </c>
      <c r="B21" s="1362">
        <f ca="1">'预评函-2'!D7</f>
        <v>50734</v>
      </c>
    </row>
    <row r="22" spans="1:2" s="1363" customFormat="1">
      <c r="A22" s="1361" t="s">
        <v>1203</v>
      </c>
      <c r="B22" s="1362" t="str">
        <f ca="1">'预评函-2'!D6</f>
        <v>壹拾陆亿肆仟柒佰玖拾叁万元整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164793</v>
      </c>
    </row>
    <row r="31" spans="1:2" s="1363" customFormat="1">
      <c r="A31" s="1361" t="s">
        <v>1241</v>
      </c>
      <c r="B31" s="1362">
        <f ca="1">'预评函-2'!D15</f>
        <v>50734</v>
      </c>
    </row>
    <row r="32" spans="1:2" s="1363" customFormat="1">
      <c r="A32" s="1361" t="s">
        <v>1208</v>
      </c>
      <c r="B32" s="1362" t="str">
        <f ca="1">'预评函-2'!D14</f>
        <v>壹拾陆亿肆仟柒佰玖拾叁万元整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32481.79</v>
      </c>
    </row>
    <row r="44" spans="1:2" s="1363" customFormat="1">
      <c r="A44" s="1361" t="s">
        <v>1240</v>
      </c>
      <c r="B44" s="1362" t="str">
        <f>'预评函-3'!C2</f>
        <v>(分摊)土地面积</v>
      </c>
    </row>
    <row r="45" spans="1:2" s="1363" customFormat="1">
      <c r="A45" s="1361" t="s">
        <v>1212</v>
      </c>
      <c r="B45" s="1362">
        <f>'预评函-3'!C4</f>
        <v>1574.14</v>
      </c>
    </row>
    <row r="46" spans="1:2" s="1363" customFormat="1">
      <c r="A46" s="1361" t="s">
        <v>1238</v>
      </c>
      <c r="B46" s="1362" t="str">
        <f>'预评函-3'!D2</f>
        <v>出让国有建设用地使用权价值</v>
      </c>
    </row>
    <row r="47" spans="1:2" s="1363" customFormat="1">
      <c r="A47" s="1361" t="s">
        <v>1213</v>
      </c>
      <c r="B47" s="1362">
        <f ca="1">'预评函-3'!D4</f>
        <v>142711</v>
      </c>
    </row>
    <row r="48" spans="1:2" s="1363" customFormat="1">
      <c r="A48" s="1361" t="s">
        <v>1214</v>
      </c>
      <c r="B48" s="1362">
        <f ca="1">'预评函-3'!E4</f>
        <v>43936</v>
      </c>
    </row>
    <row r="49" spans="1:2" s="1363" customFormat="1">
      <c r="A49" s="1361" t="s">
        <v>1215</v>
      </c>
      <c r="B49" s="1362" t="str">
        <f ca="1">'预评函-3'!D5</f>
        <v>壹拾肆亿贰仟柒佰壹拾壹万元整</v>
      </c>
    </row>
    <row r="50" spans="1:2" s="1363" customFormat="1">
      <c r="A50" s="1361" t="s">
        <v>1239</v>
      </c>
      <c r="B50" s="1362" t="str">
        <f>'预评函-3'!F2</f>
        <v>在建建筑物价值</v>
      </c>
    </row>
    <row r="51" spans="1:2" s="1363" customFormat="1">
      <c r="A51" s="1361" t="s">
        <v>1216</v>
      </c>
      <c r="B51" s="1362">
        <f ca="1">'预评函-3'!F4</f>
        <v>22082</v>
      </c>
    </row>
    <row r="52" spans="1:2" s="1363" customFormat="1">
      <c r="A52" s="1361" t="s">
        <v>1217</v>
      </c>
      <c r="B52" s="1362">
        <f ca="1">'预评函-3'!G4</f>
        <v>6798</v>
      </c>
    </row>
    <row r="53" spans="1:2" s="1363" customFormat="1">
      <c r="A53" s="1361" t="s">
        <v>1245</v>
      </c>
      <c r="B53" s="1362" t="str">
        <f ca="1">'预评函-3'!F5</f>
        <v>贰亿贰仟零捌拾贰万元整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3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37" t="s">
        <v>832</v>
      </c>
      <c r="C54" s="1734" t="s">
        <v>1248</v>
      </c>
    </row>
    <row r="55" spans="1:4">
      <c r="A55" s="3137"/>
      <c r="B55" s="1737" t="s">
        <v>833</v>
      </c>
      <c r="C55" s="1734" t="s">
        <v>1249</v>
      </c>
    </row>
    <row r="56" spans="1:4">
      <c r="A56" s="3137"/>
      <c r="B56" s="1737" t="s">
        <v>834</v>
      </c>
      <c r="C56" s="1734" t="s">
        <v>1253</v>
      </c>
    </row>
    <row r="57" spans="1:4">
      <c r="A57" s="313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4" sqref="N2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38" t="str">
        <f>IF(B10="北京市","北京市",C10)&amp;F10&amp;IF(结果表!G1="在建","出让国有建设用地使用权及在建建筑物",IF(结果表!G1="土地","出让国有建设用地使用权",))&amp;B9&amp;"预评估"</f>
        <v>北京市房地产抵押价值预评估</v>
      </c>
      <c r="C1" s="3139"/>
      <c r="D1" s="3139"/>
      <c r="E1" s="3139"/>
      <c r="F1" s="3139"/>
      <c r="G1" s="3139"/>
      <c r="H1" s="3139"/>
      <c r="I1" s="3140"/>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44411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3157</v>
      </c>
      <c r="C8" s="2612"/>
      <c r="D8" s="3141" t="s">
        <v>2922</v>
      </c>
      <c r="E8" s="2613" t="s">
        <v>3158</v>
      </c>
      <c r="F8" s="2614"/>
      <c r="G8" s="2888"/>
      <c r="H8" s="2888"/>
      <c r="I8" s="2888"/>
      <c r="J8" s="2663"/>
      <c r="K8" s="2838"/>
      <c r="L8" s="2837"/>
      <c r="M8" s="2837"/>
      <c r="N8" s="2663"/>
      <c r="O8" s="2674"/>
      <c r="P8" s="2663"/>
      <c r="Q8" s="2663"/>
      <c r="R8" s="2663"/>
    </row>
    <row r="9" spans="1:28" ht="13.5" thickBot="1">
      <c r="A9" s="2615" t="s">
        <v>2923</v>
      </c>
      <c r="B9" s="2616" t="s">
        <v>3158</v>
      </c>
      <c r="C9" s="2617"/>
      <c r="D9" s="3142"/>
      <c r="E9" s="2616"/>
      <c r="F9" s="2618"/>
      <c r="G9" s="2890"/>
      <c r="H9" s="2890"/>
      <c r="I9" s="2890"/>
      <c r="J9" s="2663"/>
      <c r="K9" s="2840"/>
      <c r="L9" s="2837"/>
      <c r="M9" s="2837"/>
      <c r="N9" s="2663"/>
      <c r="O9" s="2674"/>
      <c r="P9" s="2663"/>
      <c r="Q9" s="2663"/>
      <c r="R9" s="2663"/>
    </row>
    <row r="10" spans="1:28" ht="13.5" thickTop="1">
      <c r="A10" s="2619" t="s">
        <v>2924</v>
      </c>
      <c r="B10" s="2620" t="s">
        <v>3159</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3160</v>
      </c>
      <c r="C11" s="2625"/>
      <c r="D11" s="2626"/>
      <c r="E11" s="2592"/>
      <c r="F11" s="2592"/>
      <c r="G11" s="2592"/>
      <c r="H11" s="2592"/>
      <c r="I11" s="2592"/>
      <c r="J11" s="2663"/>
      <c r="K11" s="2840"/>
      <c r="L11" s="2837"/>
      <c r="M11" s="2837"/>
      <c r="N11" s="2663"/>
      <c r="O11" s="2674"/>
      <c r="P11" s="2663"/>
      <c r="Q11" s="2663"/>
      <c r="R11" s="2663"/>
    </row>
    <row r="12" spans="1:28">
      <c r="A12" s="2627" t="s">
        <v>2927</v>
      </c>
      <c r="B12" s="2624" t="s">
        <v>3161</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39"/>
      <c r="B13" s="2629"/>
      <c r="C13" s="2630" t="s">
        <v>2935</v>
      </c>
      <c r="D13" s="964"/>
      <c r="E13" s="964"/>
      <c r="F13" s="964">
        <v>54798</v>
      </c>
      <c r="G13" s="964"/>
      <c r="H13" s="964"/>
      <c r="I13" s="964"/>
      <c r="J13" s="2663"/>
      <c r="K13" s="2840"/>
      <c r="L13" s="2837"/>
      <c r="M13" s="2837"/>
      <c r="N13" s="2663"/>
      <c r="O13" s="2674"/>
      <c r="P13" s="2663"/>
      <c r="Q13" s="2663"/>
      <c r="R13" s="2663"/>
    </row>
    <row r="14" spans="1:28">
      <c r="A14" s="1239"/>
      <c r="B14" s="2629"/>
      <c r="C14" s="2630" t="s">
        <v>2936</v>
      </c>
      <c r="D14" s="2631"/>
      <c r="E14" s="2631"/>
      <c r="F14" s="2631">
        <v>50</v>
      </c>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f>IF(B12="出让",IF(F13="","",ROUNDDOWN(MIN((F13-$D$3)/365,F14),2)),F14)</f>
        <v>28.45</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8"/>
      <c r="C16" s="3149"/>
      <c r="D16" s="3150"/>
      <c r="E16" s="2637" t="s">
        <v>2939</v>
      </c>
      <c r="F16" s="3151"/>
      <c r="G16" s="3152"/>
      <c r="H16" s="3152"/>
      <c r="I16" s="3153"/>
      <c r="J16" s="2663"/>
      <c r="K16" s="2842"/>
      <c r="L16" s="2675"/>
      <c r="M16" s="2675"/>
      <c r="N16" s="2733"/>
      <c r="O16" s="2675"/>
      <c r="P16" s="2733"/>
      <c r="Q16" s="2663"/>
      <c r="R16" s="2663"/>
    </row>
    <row r="17" spans="1:28">
      <c r="A17" s="319" t="s">
        <v>2940</v>
      </c>
      <c r="B17" s="308" t="s">
        <v>2941</v>
      </c>
      <c r="C17" s="11">
        <f>'数据-汇总表'!E3</f>
        <v>32481.79</v>
      </c>
      <c r="D17" s="2543" t="s">
        <v>2942</v>
      </c>
      <c r="E17" s="3154" t="s">
        <v>2943</v>
      </c>
      <c r="F17" s="3155"/>
      <c r="G17" s="3155"/>
      <c r="H17" s="3155"/>
      <c r="I17" s="3156"/>
      <c r="J17" s="2663"/>
      <c r="K17" s="2843"/>
      <c r="L17" s="2675"/>
      <c r="M17" s="2675"/>
      <c r="N17" s="2733"/>
      <c r="O17" s="2675"/>
      <c r="P17" s="2733"/>
      <c r="Q17" s="2663"/>
      <c r="R17" s="2663"/>
      <c r="S17" s="2663"/>
      <c r="T17" s="2663"/>
      <c r="U17" s="2663"/>
      <c r="V17" s="2663"/>
    </row>
    <row r="18" spans="1:28" ht="24.75" thickBot="1">
      <c r="A18" s="2638" t="s">
        <v>2944</v>
      </c>
      <c r="B18" s="1248" t="s">
        <v>2945</v>
      </c>
      <c r="C18" s="2639">
        <f>'数据-汇总表'!D3</f>
        <v>1574.14</v>
      </c>
      <c r="D18" s="1250" t="s">
        <v>2946</v>
      </c>
      <c r="E18" s="3157" t="s">
        <v>2947</v>
      </c>
      <c r="F18" s="3158"/>
      <c r="G18" s="3158"/>
      <c r="H18" s="3158"/>
      <c r="I18" s="3159"/>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4" t="s">
        <v>2951</v>
      </c>
      <c r="C20" s="3145"/>
      <c r="D20" s="3146" t="s">
        <v>2952</v>
      </c>
      <c r="E20" s="3147"/>
      <c r="F20" s="2872" t="s">
        <v>1742</v>
      </c>
      <c r="G20" s="2889"/>
      <c r="H20" s="2889"/>
      <c r="I20" s="2889"/>
      <c r="J20" s="2663"/>
      <c r="K20" s="3143"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4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4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61"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61"/>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61"/>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62"/>
      <c r="B30" s="308" t="s">
        <v>2963</v>
      </c>
      <c r="C30" s="3163"/>
      <c r="D30" s="3164"/>
      <c r="E30" s="2889"/>
      <c r="F30" s="2889"/>
      <c r="G30" s="2889"/>
      <c r="H30" s="2889"/>
      <c r="I30" s="2889"/>
      <c r="J30" s="2663"/>
      <c r="K30" s="2840"/>
      <c r="L30" s="2837"/>
      <c r="M30" s="2837"/>
      <c r="N30" s="2663"/>
      <c r="O30" s="2674"/>
      <c r="P30" s="2663"/>
      <c r="Q30" s="2663"/>
      <c r="R30" s="2663"/>
      <c r="S30" s="2663"/>
      <c r="T30" s="2663"/>
      <c r="U30" s="2663"/>
      <c r="V30" s="2663"/>
    </row>
    <row r="31" spans="1:28">
      <c r="A31" s="3165"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66"/>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66"/>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60" t="s">
        <v>2973</v>
      </c>
      <c r="T34" s="2652" t="str">
        <f>NUMBERSTRING(7-K34,1)&amp;"通"</f>
        <v>七通</v>
      </c>
      <c r="U34" s="2663"/>
      <c r="V34" s="2663"/>
    </row>
    <row r="35" spans="1:30">
      <c r="A35" s="2653"/>
      <c r="B35" s="3167" t="s">
        <v>2974</v>
      </c>
      <c r="C35" s="3167"/>
      <c r="D35" s="3167"/>
      <c r="E35" s="3167"/>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0"/>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1574.14</v>
      </c>
      <c r="B3" s="14">
        <f>IF(C3="否",G5-AT5,G5)</f>
        <v>32481.79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32481.79</v>
      </c>
      <c r="H5" s="16">
        <f t="shared" ref="H5:AT5" si="0">SUM(H13:H656)</f>
        <v>32481.79</v>
      </c>
      <c r="I5" s="16">
        <f t="shared" si="0"/>
        <v>32481.79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32481.79</v>
      </c>
      <c r="BA5" s="18">
        <f t="shared" si="1"/>
        <v>32481.79</v>
      </c>
      <c r="BB5" s="18">
        <f t="shared" si="1"/>
        <v>32481.79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3167</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27</v>
      </c>
      <c r="J10" s="917"/>
      <c r="K10" s="1792"/>
      <c r="L10" s="917"/>
      <c r="M10" s="1792"/>
      <c r="N10" s="917"/>
      <c r="O10" s="1792"/>
      <c r="P10" s="917"/>
      <c r="Q10" s="1792"/>
      <c r="R10" s="917"/>
      <c r="S10" s="1792"/>
      <c r="T10" s="917"/>
      <c r="U10" s="1792"/>
      <c r="V10" s="917"/>
      <c r="W10" s="1792"/>
      <c r="X10" s="917"/>
      <c r="Y10" s="1792"/>
      <c r="Z10" s="917"/>
      <c r="AA10" s="1792"/>
      <c r="AB10" s="917"/>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t="s">
        <v>3162</v>
      </c>
      <c r="D13" s="3082" t="s">
        <v>3165</v>
      </c>
      <c r="E13" s="16">
        <f>IF($C$3="是",ROUND($A$3*G13/$B$3,2),ROUND($A$3*(G13-AT13)/$B$3,2))</f>
        <v>21.35</v>
      </c>
      <c r="F13" s="32"/>
      <c r="G13" s="33">
        <f>H13+AC13+AT13</f>
        <v>440.53</v>
      </c>
      <c r="H13" s="20">
        <f>SUMIF(I$12:AB$12,"总值",I13:AB13)</f>
        <v>440.53</v>
      </c>
      <c r="I13" s="1809">
        <f>Sheet1!H41</f>
        <v>440.53</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3-2008</v>
      </c>
      <c r="AY13" s="1531">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081" t="s">
        <v>3163</v>
      </c>
      <c r="D14" s="3082" t="s">
        <v>3166</v>
      </c>
      <c r="E14" s="16">
        <f>IF($C$3="是",ROUND($A$3*G14/$B$3,2),ROUND($A$3*(G14-AT14)/$B$3,2))</f>
        <v>1552.79</v>
      </c>
      <c r="F14" s="32"/>
      <c r="G14" s="33">
        <f>H14+AC14+AT14</f>
        <v>32041.260000000002</v>
      </c>
      <c r="H14" s="20">
        <f>SUMIF(I$12:AB$12,"总值",I14:AB14)</f>
        <v>32041.260000000002</v>
      </c>
      <c r="I14" s="1809">
        <f>Sheet1!H83-I13</f>
        <v>32041.260000000002</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其他</v>
      </c>
      <c r="AY14" s="1531">
        <f>ROUND($AY$6*AZ14/$AZ$5,2)</f>
        <v>1552.79</v>
      </c>
      <c r="AZ14" s="16">
        <f>BA14+BL14</f>
        <v>32041.260000000002</v>
      </c>
      <c r="BA14" s="16">
        <f>SUM(BB14:BK14)</f>
        <v>32041.260000000002</v>
      </c>
      <c r="BB14" s="16">
        <f>IF($D14="是",I14-J14,0)</f>
        <v>32041.260000000002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79" t="s">
        <v>1817</v>
      </c>
      <c r="B2" s="3179"/>
      <c r="C2" s="3179"/>
      <c r="D2" s="903" t="s">
        <v>1793</v>
      </c>
      <c r="E2" s="1822" t="s">
        <v>1794</v>
      </c>
      <c r="F2" s="2884"/>
      <c r="G2" s="2875"/>
      <c r="H2" s="2876"/>
      <c r="I2" s="2546" t="s">
        <v>1818</v>
      </c>
      <c r="J2" s="2884"/>
      <c r="K2" s="2884"/>
      <c r="L2" s="2884"/>
      <c r="M2" s="2884"/>
      <c r="N2" s="2886"/>
      <c r="O2" s="2884"/>
      <c r="P2" s="2884"/>
    </row>
    <row r="3" spans="1:16" ht="15.75" thickBot="1">
      <c r="A3" s="3180" t="s">
        <v>1791</v>
      </c>
      <c r="B3" s="3180"/>
      <c r="C3" s="3180"/>
      <c r="D3" s="46">
        <f>'数据-基础表'!AY6</f>
        <v>1574.14</v>
      </c>
      <c r="E3" s="46">
        <f>'数据-基础表'!AZ5</f>
        <v>32481.79</v>
      </c>
      <c r="F3" s="2884"/>
      <c r="G3" s="1305"/>
      <c r="H3" s="1155" t="s">
        <v>1792</v>
      </c>
      <c r="I3" s="963">
        <f>ROUND('数据-基础表'!B3/'数据-基础表'!A3,2)</f>
        <v>20.63</v>
      </c>
      <c r="J3" s="2884"/>
      <c r="K3" s="2884"/>
      <c r="L3" s="2884"/>
      <c r="M3" s="2884"/>
      <c r="N3" s="2886"/>
      <c r="O3" s="2884"/>
      <c r="P3" s="2884"/>
    </row>
    <row r="4" spans="1:16" ht="15">
      <c r="A4" s="3181"/>
      <c r="B4" s="3182"/>
      <c r="C4" s="3183"/>
      <c r="D4" s="1824" t="s">
        <v>1793</v>
      </c>
      <c r="E4" s="1825" t="s">
        <v>1794</v>
      </c>
      <c r="F4" s="2884"/>
      <c r="G4" s="2877" t="s">
        <v>1819</v>
      </c>
      <c r="H4" s="1155" t="s">
        <v>1799</v>
      </c>
      <c r="I4" s="963">
        <f>ROUND(SUMIF('数据-基础表'!I9:AS9,"地上",'数据-基础表'!I5:AS5)/'数据-基础表'!A3,2)</f>
        <v>20.63</v>
      </c>
      <c r="J4" s="2884"/>
      <c r="K4" s="2884"/>
      <c r="L4" s="2884"/>
      <c r="M4" s="2884"/>
      <c r="N4" s="2886"/>
      <c r="O4" s="2884"/>
      <c r="P4" s="2884"/>
    </row>
    <row r="5" spans="1:16">
      <c r="A5" s="47" t="s">
        <v>1795</v>
      </c>
      <c r="B5" s="3184" t="s">
        <v>1796</v>
      </c>
      <c r="C5" s="3184"/>
      <c r="D5" s="48">
        <f>ROUND($D$3*E5/$E$3,2)</f>
        <v>0</v>
      </c>
      <c r="E5" s="49">
        <f>SUMIF('数据-基础表'!$11:$11,"住宅",'数据-基础表'!$5:$5)</f>
        <v>0</v>
      </c>
      <c r="F5" s="2884"/>
      <c r="G5" s="1305"/>
      <c r="H5" s="1155" t="s">
        <v>1792</v>
      </c>
      <c r="I5" s="963">
        <f>ROUND(E31/D31,2)</f>
        <v>20.63</v>
      </c>
      <c r="J5" s="2884"/>
      <c r="K5" s="2884"/>
      <c r="L5" s="2884"/>
      <c r="M5" s="2884"/>
      <c r="N5" s="2884"/>
      <c r="O5" s="2884"/>
      <c r="P5" s="2884"/>
    </row>
    <row r="6" spans="1:16" ht="15" thickBot="1">
      <c r="A6" s="1827"/>
      <c r="B6" s="3184" t="s">
        <v>1797</v>
      </c>
      <c r="C6" s="3184"/>
      <c r="D6" s="48">
        <f>ROUND($D$3*E6/$E$3,2)</f>
        <v>1574.14</v>
      </c>
      <c r="E6" s="49">
        <f>E3-E5</f>
        <v>32481.79</v>
      </c>
      <c r="F6" s="2884"/>
      <c r="G6" s="2878" t="s">
        <v>1798</v>
      </c>
      <c r="H6" s="1306" t="s">
        <v>1799</v>
      </c>
      <c r="I6" s="2879">
        <f>ROUND(F31/D31,2)</f>
        <v>20.63</v>
      </c>
      <c r="J6" s="2884"/>
      <c r="K6" s="2884"/>
      <c r="L6" s="2884"/>
      <c r="M6" s="2884"/>
      <c r="N6" s="2884"/>
      <c r="O6" s="2884"/>
      <c r="P6" s="2884"/>
    </row>
    <row r="7" spans="1:16" ht="15.75" thickBot="1">
      <c r="A7" s="3176"/>
      <c r="B7" s="3177"/>
      <c r="C7" s="3178"/>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1574.14</v>
      </c>
      <c r="E8" s="51">
        <f>SUMIF('数据-基础表'!BB10:BK10,"地上",'数据-基础表'!BB5:BK5)</f>
        <v>32481.79</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1574.14</v>
      </c>
      <c r="E16" s="53">
        <f>SUM(E8:E15)</f>
        <v>32481.79</v>
      </c>
      <c r="F16" s="2884"/>
      <c r="G16" s="2885"/>
      <c r="H16" s="1831" t="s">
        <v>1821</v>
      </c>
      <c r="I16" s="1832"/>
      <c r="J16" s="1299"/>
      <c r="K16" s="3173" t="s">
        <v>1821</v>
      </c>
      <c r="L16" s="3174"/>
      <c r="M16" s="3174"/>
      <c r="N16" s="3174"/>
      <c r="O16" s="3174"/>
      <c r="P16" s="3175"/>
    </row>
    <row r="17" spans="1:19" ht="15">
      <c r="A17" s="1833" t="s">
        <v>1822</v>
      </c>
      <c r="B17" s="1834" t="s">
        <v>1823</v>
      </c>
      <c r="C17" s="1835" t="s">
        <v>1824</v>
      </c>
      <c r="D17" s="1836" t="s">
        <v>1812</v>
      </c>
      <c r="E17" s="1837" t="s">
        <v>1813</v>
      </c>
      <c r="F17" s="1838"/>
      <c r="G17" s="1839"/>
      <c r="H17" s="1840" t="s">
        <v>1825</v>
      </c>
      <c r="I17" s="1841" t="s">
        <v>1810</v>
      </c>
      <c r="J17" s="1299"/>
      <c r="K17" s="3170" t="s">
        <v>1826</v>
      </c>
      <c r="L17" s="3171"/>
      <c r="M17" s="3172"/>
      <c r="N17" s="3170" t="s">
        <v>1827</v>
      </c>
      <c r="O17" s="3171"/>
      <c r="P17" s="3172"/>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3" t="s">
        <v>1836</v>
      </c>
      <c r="N18" s="1170" t="s">
        <v>1834</v>
      </c>
      <c r="O18" s="1849" t="s">
        <v>1835</v>
      </c>
      <c r="P18" s="963" t="s">
        <v>1836</v>
      </c>
      <c r="R18" s="1155" t="s">
        <v>1837</v>
      </c>
      <c r="S18" s="1155" t="s">
        <v>1838</v>
      </c>
    </row>
    <row r="19" spans="1:19">
      <c r="A19" s="1850"/>
      <c r="B19" s="50" t="s">
        <v>1811</v>
      </c>
      <c r="C19" s="1851" t="s">
        <v>3168</v>
      </c>
      <c r="D19" s="48">
        <f>ROUND($D$3*E19/$E$3,2)</f>
        <v>21.35</v>
      </c>
      <c r="E19" s="56">
        <f t="shared" ref="E19:E26" si="1">SUM(F19:G19)</f>
        <v>440.53</v>
      </c>
      <c r="F19" s="3024">
        <f>'数据-基础表'!I13</f>
        <v>440.53</v>
      </c>
      <c r="G19" s="3025"/>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21.35</v>
      </c>
      <c r="S19" s="1156">
        <f t="shared" si="5"/>
        <v>440.53</v>
      </c>
    </row>
    <row r="20" spans="1:19">
      <c r="A20" s="1854"/>
      <c r="B20" s="50" t="s">
        <v>1839</v>
      </c>
      <c r="C20" s="3083" t="s">
        <v>3169</v>
      </c>
      <c r="D20" s="48">
        <f t="shared" ref="D20:D26" si="6">ROUND($D$3*E20/$E$3,2)</f>
        <v>1552.79</v>
      </c>
      <c r="E20" s="56">
        <f t="shared" si="1"/>
        <v>32041.260000000002</v>
      </c>
      <c r="F20" s="3024">
        <f>'数据-基础表'!I14</f>
        <v>32041.260000000002</v>
      </c>
      <c r="G20" s="3025"/>
      <c r="H20" s="678">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1552.79</v>
      </c>
      <c r="S20" s="1156">
        <f t="shared" si="5"/>
        <v>32041.260000000002</v>
      </c>
    </row>
    <row r="21" spans="1:19">
      <c r="A21" s="1854"/>
      <c r="B21" s="50" t="s">
        <v>1839</v>
      </c>
      <c r="C21" s="1851"/>
      <c r="D21" s="48">
        <f t="shared" si="6"/>
        <v>0</v>
      </c>
      <c r="E21" s="56">
        <f t="shared" si="1"/>
        <v>0</v>
      </c>
      <c r="F21" s="3024"/>
      <c r="G21" s="3025"/>
      <c r="H21" s="678">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8">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8">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8">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1574.1399999999999</v>
      </c>
      <c r="E27" s="1301">
        <f>IF(SUM(E19:E26)='数据-基础表'!BA5,SUM(E19:E26),IF(F27="地上面积有误","面积有误","地下面积有误"))</f>
        <v>32481.79</v>
      </c>
      <c r="F27" s="1300">
        <f>IF(SUM(F19:F26)=E8,SUM(F19:F26),"地上面积有误")</f>
        <v>32481.79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1574.1399999999999</v>
      </c>
      <c r="S27" s="1155">
        <f>IF(SUM(S19:S26)=$E$3,SUM(S19:S26),SUM(S19:S26)&amp;"误差"&amp;ROUND(SUM(S19:S26)-E3,2))</f>
        <v>32481.79</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1574.1399999999999</v>
      </c>
      <c r="E31" s="684">
        <f>E27+E30</f>
        <v>32481.79</v>
      </c>
      <c r="F31" s="685">
        <f>F27+F30</f>
        <v>32481.79</v>
      </c>
      <c r="G31" s="686">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T22" sqref="T22"/>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44411</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3170</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3-2008</v>
      </c>
      <c r="B6" s="1897" t="str">
        <f>IF(A6=0,"","经营性")</f>
        <v>经营性</v>
      </c>
      <c r="C6" s="1898" t="s">
        <v>27</v>
      </c>
      <c r="D6" s="966">
        <f>SUMIF(项目基本情况!D$12:I$12,C6,项目基本情况!D$14:I$14)</f>
        <v>50</v>
      </c>
      <c r="E6" s="965">
        <f>IF(B6="","",SUMIF(项目基本情况!D$12:I$12,C6,项目基本情况!D$13:I$13))</f>
        <v>54798</v>
      </c>
      <c r="F6" s="68">
        <f>SUMIF(项目基本情况!D$12:I$12,C6,项目基本情况!D$15:I$15)</f>
        <v>28.45</v>
      </c>
      <c r="G6" s="69">
        <f>IF(ISERROR(ROUND(POWER(1+H6,D6-F6)*(POWER(1+H6,F6)-1)/(POWER(1+H6,D6)-1),3)),0,ROUND(POWER(1+H6,D6-F6)*(POWER(1+H6,F6)-1)/(POWER(1+H6,D6)-1),3))</f>
        <v>0.80300000000000005</v>
      </c>
      <c r="H6" s="740">
        <v>4.4999999999999998E-2</v>
      </c>
      <c r="I6" s="740">
        <v>5.5E-2</v>
      </c>
      <c r="J6" s="70">
        <v>8.5000000000000006E-2</v>
      </c>
      <c r="K6" s="1159">
        <f>SUMIF('数据-汇总表'!C$19:C$33,A6,'数据-汇总表'!E$19:E$33)</f>
        <v>440.53</v>
      </c>
      <c r="L6" s="741">
        <v>3800</v>
      </c>
      <c r="M6" s="71">
        <f t="shared" ref="M6:M14" si="0">ROUND(K6*L6/10000,0)</f>
        <v>167</v>
      </c>
      <c r="N6" s="739">
        <f>O23</f>
        <v>0.77</v>
      </c>
      <c r="O6" s="71" t="str">
        <f>IF($N$5="成新度","——",ROUND(M6*N6,0))</f>
        <v>——</v>
      </c>
      <c r="P6" s="72" t="str">
        <f>IF($N$5="成新度","——",M6-O6)</f>
        <v>——</v>
      </c>
      <c r="Q6" s="742">
        <v>0.15</v>
      </c>
      <c r="R6" s="73">
        <f ca="1">SUMIF('数据-汇总表'!C$19:C$33,A6,'数据-汇总表'!R$19:R$27)</f>
        <v>21.35</v>
      </c>
      <c r="S6" s="54">
        <f>IF('数据-汇总表'!$I$17="按面积比例",SUMIF('数据-汇总表'!C$19:C$33,A6,'数据-汇总表'!K$19:K$33),SUMIF('数据-汇总表'!C$19:C$33,A6,'数据-汇总表'!N$19:N$33))</f>
        <v>0</v>
      </c>
      <c r="T6" s="1332">
        <f>ROUND($L$14*S6/10000,0)</f>
        <v>0</v>
      </c>
      <c r="U6" s="74">
        <v>10.5</v>
      </c>
      <c r="V6" s="75">
        <v>3.5000000000000003E-2</v>
      </c>
      <c r="W6" s="75">
        <v>0.1</v>
      </c>
      <c r="X6" s="1169"/>
      <c r="Y6" s="76">
        <f>N6</f>
        <v>0.77</v>
      </c>
      <c r="Z6" s="77"/>
      <c r="AA6" s="70"/>
      <c r="AB6" s="70"/>
      <c r="AC6" s="1169"/>
      <c r="AD6" s="78"/>
      <c r="AE6" s="1170">
        <f ca="1">IF(AN6="",0,SUMIF(INDIRECT("'"&amp;AN6&amp;"'"&amp;"!E:E"),$AE$5,INDIRECT("'"&amp;AN6&amp;"'"&amp;"!F:F")))</f>
        <v>28.45</v>
      </c>
      <c r="AF6" s="1530"/>
      <c r="AG6" s="143">
        <f>IF(AF6="",0,AE6-AF6)</f>
        <v>0</v>
      </c>
      <c r="AH6" s="79"/>
      <c r="AI6" s="81">
        <v>365</v>
      </c>
      <c r="AJ6" s="82"/>
      <c r="AK6" s="83">
        <v>1.4999999999999999E-2</v>
      </c>
      <c r="AL6" s="84">
        <v>1.5E-3</v>
      </c>
      <c r="AM6" s="85">
        <v>1.4999999999999999E-2</v>
      </c>
      <c r="AN6" s="1899" t="s">
        <v>3172</v>
      </c>
      <c r="AO6" s="55">
        <f ca="1">SUMIF(INDIRECT("'"&amp;AN6&amp;"'"&amp;"!A:A"),"总价",INDIRECT("'"&amp;AN6&amp;"'"&amp;"!B:B"))</f>
        <v>2527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办公</v>
      </c>
      <c r="B7" s="1897" t="str">
        <f t="shared" ref="B7:B13" si="1">IF(A7=0,"","经营性")</f>
        <v>经营性</v>
      </c>
      <c r="C7" s="1898"/>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32041.260000000002</v>
      </c>
      <c r="L7" s="741"/>
      <c r="M7" s="71">
        <f t="shared" si="0"/>
        <v>0</v>
      </c>
      <c r="N7" s="739"/>
      <c r="O7" s="71" t="str">
        <f t="shared" ref="O7:O14" si="3">IF($N$5="成新度","——",ROUND(M7*N7,0))</f>
        <v>——</v>
      </c>
      <c r="P7" s="72" t="str">
        <f t="shared" ref="P7:P14" si="4">IF($N$5="成新度","——",M7-O7)</f>
        <v>——</v>
      </c>
      <c r="Q7" s="742"/>
      <c r="R7" s="73">
        <f ca="1">SUMIF('数据-汇总表'!C$19:C$33,A7,'数据-汇总表'!R$19:R$27)</f>
        <v>1552.79</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69"/>
      <c r="Y8" s="745"/>
      <c r="Z8" s="77"/>
      <c r="AA8" s="70"/>
      <c r="AB8" s="70"/>
      <c r="AC8" s="1169"/>
      <c r="AD8" s="78"/>
      <c r="AE8" s="1170">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8"/>
      <c r="V14" s="1164"/>
      <c r="W14" s="1164"/>
      <c r="X14" s="1165"/>
      <c r="Y14" s="1166"/>
      <c r="Z14" s="1167"/>
      <c r="AA14" s="1168"/>
      <c r="AB14" s="1168"/>
      <c r="AC14" s="1169"/>
      <c r="AD14" s="1165"/>
      <c r="AE14" s="1170"/>
      <c r="AF14" s="55"/>
      <c r="AG14" s="143"/>
      <c r="AH14" s="1170"/>
      <c r="AI14" s="1539"/>
      <c r="AJ14" s="712"/>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3"/>
      <c r="AH15" s="1170"/>
      <c r="AI15" s="1539"/>
      <c r="AJ15" s="712"/>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0.80300000000000005</v>
      </c>
      <c r="H16" s="95">
        <f>ROUND(SUMPRODUCT(H6:H13,K6:K13)/SUMPRODUCT((H6:H13&gt;0)*(K6:K13)),3)</f>
        <v>4.4999999999999998E-2</v>
      </c>
      <c r="I16" s="96"/>
      <c r="J16" s="96"/>
      <c r="K16" s="97">
        <f>SUM(K6:K15)</f>
        <v>32481.79</v>
      </c>
      <c r="L16" s="98">
        <f>ROUND(M16*10000/SUM(K6:K14),0)</f>
        <v>51</v>
      </c>
      <c r="M16" s="98">
        <f>SUM(M6:M14)</f>
        <v>167</v>
      </c>
      <c r="N16" s="99">
        <f>ROUND(SUMPRODUCT(M6:M14,N6:N14)/M16,3)</f>
        <v>0.77</v>
      </c>
      <c r="O16" s="98">
        <f>SUM(O6:O14)</f>
        <v>0</v>
      </c>
      <c r="P16" s="98">
        <f>SUM(P6:P14)</f>
        <v>0</v>
      </c>
      <c r="Q16" s="100">
        <f>ROUND(SUMPRODUCT(Q6:Q13,K6:K13)/SUMPRODUCT((Q6:Q13&gt;0)*(K6:K13)),2)</f>
        <v>0.15</v>
      </c>
      <c r="R16" s="1163">
        <f ca="1">SUM(R6:R13)</f>
        <v>1574.1399999999999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3048</v>
      </c>
      <c r="D20" s="2903"/>
      <c r="E20" s="2900"/>
      <c r="F20" s="2900"/>
      <c r="G20" s="2900"/>
      <c r="H20" s="2900"/>
      <c r="I20" s="2900"/>
      <c r="J20" s="2900"/>
      <c r="K20" s="2899"/>
      <c r="L20" s="2899"/>
      <c r="M20" s="2898"/>
      <c r="N20" s="2898"/>
      <c r="O20" s="3084" t="s">
        <v>3171</v>
      </c>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3</v>
      </c>
      <c r="C21" s="2900"/>
      <c r="D21" s="2903"/>
      <c r="E21" s="2900"/>
      <c r="F21" s="2900"/>
      <c r="G21" s="2900"/>
      <c r="H21" s="2900"/>
      <c r="I21" s="2900"/>
      <c r="J21" s="2900"/>
      <c r="K21" s="2899"/>
      <c r="L21" s="2899"/>
      <c r="M21" s="2898"/>
      <c r="N21" s="2898">
        <f>ROUND(1-(2021-2000)/60,2)</f>
        <v>0.65</v>
      </c>
      <c r="O21" s="2898">
        <v>0.4</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v>0.85</v>
      </c>
      <c r="O22" s="2898">
        <v>0.6</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3</v>
      </c>
      <c r="C23" s="2900"/>
      <c r="D23" s="2903"/>
      <c r="E23" s="2900"/>
      <c r="F23" s="2900"/>
      <c r="G23" s="2900"/>
      <c r="H23" s="2900"/>
      <c r="I23" s="2900"/>
      <c r="J23" s="2900"/>
      <c r="K23" s="2899"/>
      <c r="L23" s="2899"/>
      <c r="M23" s="2898"/>
      <c r="N23" s="2898">
        <f>ROUND((N21+N22)/2,2)</f>
        <v>0.75</v>
      </c>
      <c r="O23" s="3085">
        <f>ROUND(N21*O21+N22*O22,2)</f>
        <v>0.77</v>
      </c>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3173</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85" t="s">
        <v>3031</v>
      </c>
      <c r="B1" s="3186"/>
      <c r="C1" s="3186"/>
      <c r="D1" s="3186"/>
      <c r="E1" s="3186"/>
      <c r="F1" s="3186"/>
      <c r="G1" s="318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32481.79</v>
      </c>
      <c r="C1" s="2913"/>
      <c r="D1" s="2913"/>
      <c r="E1" s="2913"/>
      <c r="F1" s="2913"/>
      <c r="G1" s="2914"/>
      <c r="H1" s="2915"/>
      <c r="I1" s="2915"/>
      <c r="J1" s="2915"/>
      <c r="K1" s="2915"/>
    </row>
    <row r="2" spans="1:11" ht="16.5">
      <c r="A2" s="2736" t="s">
        <v>1319</v>
      </c>
      <c r="B2" s="2736">
        <f>SUM(C14:C23)</f>
        <v>1574.14</v>
      </c>
      <c r="C2" s="2913"/>
      <c r="D2" s="2913"/>
      <c r="E2" s="2913"/>
      <c r="F2" s="2913"/>
      <c r="G2" s="2914"/>
      <c r="H2" s="2915"/>
      <c r="I2" s="2915"/>
      <c r="J2" s="2915"/>
      <c r="K2" s="2915"/>
    </row>
    <row r="3" spans="1:11" ht="16.5">
      <c r="A3" s="2736" t="s">
        <v>1328</v>
      </c>
      <c r="B3" s="2738">
        <f>项目基本情况!D3</f>
        <v>44411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164793</v>
      </c>
      <c r="C5" s="2736">
        <f ca="1">ROUND(B5*10000/$B$1,0)</f>
        <v>50734</v>
      </c>
      <c r="D5" s="2736">
        <f ca="1">ROUND(B5*10000/$B$2,0)</f>
        <v>1046876</v>
      </c>
      <c r="E5" s="2913"/>
      <c r="F5" s="2914"/>
      <c r="G5" s="2914"/>
      <c r="H5" s="2915"/>
      <c r="I5" s="2915"/>
      <c r="J5" s="2915"/>
      <c r="K5" s="2915"/>
    </row>
    <row r="6" spans="1:11" ht="16.5">
      <c r="A6" s="2736" t="s">
        <v>1322</v>
      </c>
      <c r="B6" s="2736">
        <f ca="1">SUM(G14:G23)</f>
        <v>164793</v>
      </c>
      <c r="C6" s="2736">
        <f ca="1">ROUND(B6*10000/$B$1,0)</f>
        <v>50734</v>
      </c>
      <c r="D6" s="2736">
        <f ca="1">ROUND(B6*10000/$B$2,0)</f>
        <v>1046876</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32481.79</v>
      </c>
      <c r="C14" s="2742">
        <f>结果表!C118</f>
        <v>1574.14</v>
      </c>
      <c r="D14" s="2742">
        <f ca="1">结果表!H118</f>
        <v>164793</v>
      </c>
      <c r="E14" s="2742">
        <f ca="1">ROUND(D14*10000/B14,0)</f>
        <v>50734</v>
      </c>
      <c r="F14" s="2742">
        <f ca="1">ROUND(D14*10000/C14,0)</f>
        <v>1046876</v>
      </c>
      <c r="G14" s="2742">
        <f ca="1">结果表!D122</f>
        <v>164793</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G37" sqref="G3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8" t="s">
        <v>1951</v>
      </c>
      <c r="B4" s="1939" t="s">
        <v>1952</v>
      </c>
      <c r="C4" s="1940" t="s">
        <v>3211</v>
      </c>
      <c r="D4" s="1940" t="s">
        <v>3211</v>
      </c>
      <c r="E4" s="3266" t="s">
        <v>1953</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2" t="s">
        <v>1954</v>
      </c>
      <c r="B5" s="3260">
        <v>25</v>
      </c>
      <c r="C5" s="3263"/>
      <c r="D5" s="3251"/>
      <c r="E5" s="136" t="s">
        <v>1955</v>
      </c>
      <c r="F5" s="1941"/>
      <c r="G5" s="1941"/>
      <c r="H5" s="1941"/>
      <c r="I5" s="1555"/>
    </row>
    <row r="6" spans="1:12" ht="12.75">
      <c r="A6" s="3202"/>
      <c r="B6" s="3260"/>
      <c r="C6" s="3265"/>
      <c r="D6" s="3251"/>
      <c r="E6" s="136" t="s">
        <v>1956</v>
      </c>
      <c r="F6" s="1941"/>
      <c r="G6" s="1941"/>
      <c r="H6" s="1941"/>
      <c r="I6" s="1555"/>
    </row>
    <row r="7" spans="1:12" ht="12.75">
      <c r="A7" s="3202"/>
      <c r="B7" s="3260"/>
      <c r="C7" s="3264"/>
      <c r="D7" s="3251"/>
      <c r="E7" s="136" t="s">
        <v>1957</v>
      </c>
      <c r="F7" s="1941"/>
      <c r="G7" s="1941"/>
      <c r="H7" s="1941"/>
      <c r="I7" s="1555"/>
    </row>
    <row r="8" spans="1:12" ht="12.75">
      <c r="A8" s="3202" t="s">
        <v>1958</v>
      </c>
      <c r="B8" s="3260">
        <v>15</v>
      </c>
      <c r="C8" s="3263"/>
      <c r="D8" s="3251"/>
      <c r="E8" s="136" t="s">
        <v>1959</v>
      </c>
      <c r="F8" s="1941"/>
      <c r="G8" s="1941"/>
      <c r="H8" s="1941"/>
      <c r="I8" s="1555"/>
    </row>
    <row r="9" spans="1:12" ht="12.75">
      <c r="A9" s="3202"/>
      <c r="B9" s="3260"/>
      <c r="C9" s="3264"/>
      <c r="D9" s="3251"/>
      <c r="E9" s="136" t="s">
        <v>1960</v>
      </c>
      <c r="F9" s="1941"/>
      <c r="G9" s="1941"/>
      <c r="H9" s="1941"/>
      <c r="I9" s="1555"/>
    </row>
    <row r="10" spans="1:12" ht="12.75">
      <c r="A10" s="3202" t="s">
        <v>1961</v>
      </c>
      <c r="B10" s="3260">
        <v>15</v>
      </c>
      <c r="C10" s="3263"/>
      <c r="D10" s="3251"/>
      <c r="E10" s="136" t="s">
        <v>1962</v>
      </c>
      <c r="F10" s="1941"/>
      <c r="G10" s="1941"/>
      <c r="H10" s="1941"/>
      <c r="I10" s="1555"/>
    </row>
    <row r="11" spans="1:12" ht="12.75">
      <c r="A11" s="3202"/>
      <c r="B11" s="3260"/>
      <c r="C11" s="3264"/>
      <c r="D11" s="3251"/>
      <c r="E11" s="136" t="s">
        <v>1963</v>
      </c>
      <c r="F11" s="1941"/>
      <c r="G11" s="1941"/>
      <c r="H11" s="1941"/>
      <c r="I11" s="1555"/>
    </row>
    <row r="12" spans="1:12" ht="12.75">
      <c r="A12" s="3202" t="s">
        <v>1964</v>
      </c>
      <c r="B12" s="3260">
        <v>15</v>
      </c>
      <c r="C12" s="3263"/>
      <c r="D12" s="3251"/>
      <c r="E12" s="136" t="s">
        <v>1965</v>
      </c>
      <c r="F12" s="1941"/>
      <c r="G12" s="1941"/>
      <c r="H12" s="1941"/>
      <c r="I12" s="1555"/>
    </row>
    <row r="13" spans="1:12" ht="12.75">
      <c r="A13" s="3202"/>
      <c r="B13" s="3260"/>
      <c r="C13" s="3264"/>
      <c r="D13" s="3251"/>
      <c r="E13" s="136" t="s">
        <v>1966</v>
      </c>
      <c r="F13" s="1941"/>
      <c r="G13" s="1941"/>
      <c r="H13" s="1941"/>
      <c r="I13" s="1555"/>
    </row>
    <row r="14" spans="1:12" ht="12.75">
      <c r="A14" s="3202" t="s">
        <v>1967</v>
      </c>
      <c r="B14" s="3260">
        <v>30</v>
      </c>
      <c r="C14" s="3263">
        <v>1</v>
      </c>
      <c r="D14" s="3251">
        <v>1</v>
      </c>
      <c r="E14" s="136" t="s">
        <v>1968</v>
      </c>
      <c r="F14" s="1941"/>
      <c r="G14" s="1941"/>
      <c r="H14" s="1941"/>
      <c r="I14" s="1555"/>
    </row>
    <row r="15" spans="1:12" ht="12.75">
      <c r="A15" s="3202"/>
      <c r="B15" s="3260"/>
      <c r="C15" s="3265"/>
      <c r="D15" s="3251"/>
      <c r="E15" s="136" t="s">
        <v>1969</v>
      </c>
      <c r="F15" s="1941"/>
      <c r="G15" s="1941"/>
      <c r="H15" s="1941"/>
      <c r="I15" s="1555"/>
    </row>
    <row r="16" spans="1:12" ht="12.75">
      <c r="A16" s="3202"/>
      <c r="B16" s="3260"/>
      <c r="C16" s="3264"/>
      <c r="D16" s="3251"/>
      <c r="E16" s="136" t="s">
        <v>1970</v>
      </c>
      <c r="F16" s="1941"/>
      <c r="G16" s="1941"/>
      <c r="H16" s="1941"/>
      <c r="I16" s="1555"/>
    </row>
    <row r="17" spans="1:36" ht="15">
      <c r="A17" s="1942" t="s">
        <v>1971</v>
      </c>
      <c r="B17" s="60"/>
      <c r="C17" s="137">
        <f>SUM(C5:C16)</f>
        <v>1</v>
      </c>
      <c r="D17" s="137">
        <f>SUM(D5:D16)</f>
        <v>1</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82" t="s">
        <v>2872</v>
      </c>
      <c r="F18" s="3283"/>
      <c r="G18" s="3283"/>
      <c r="H18" s="3283"/>
      <c r="I18" s="3283"/>
      <c r="K18" s="308" t="s">
        <v>1975</v>
      </c>
      <c r="L18" s="308">
        <f>IF(C1="",'数据-汇总表'!E3,SUMIF(项目类型,C1,'数据-汇总表'!E17:E26)+SUMIF(项目类型,C1,'数据-汇总表'!I17:I26))</f>
        <v>32481.79</v>
      </c>
      <c r="M18" s="308">
        <f>IF(C1="",'数据-汇总表'!E3,SUMIF(项目类型,C1,'数据-汇总表'!E17:E26))</f>
        <v>32481.79</v>
      </c>
    </row>
    <row r="19" spans="1:36" ht="15">
      <c r="A19" s="1945" t="s">
        <v>1976</v>
      </c>
      <c r="B19" s="1946" t="s">
        <v>1977</v>
      </c>
      <c r="C19" s="139">
        <f ca="1">SUMIF(INDIRECT("'"&amp;C4&amp;"'"&amp;"!A:A"),结果表!B19,INDIRECT("'"&amp;C4&amp;"'"&amp;"!B:B"))</f>
        <v>164793</v>
      </c>
      <c r="D19" s="140">
        <f ca="1">SUMIF(INDIRECT("'"&amp;D4&amp;"'"&amp;"!A:A"),结果表!B19,INDIRECT("'"&amp;D4&amp;"'"&amp;"!B:B"))</f>
        <v>164793</v>
      </c>
      <c r="E19" s="1945" t="s">
        <v>1978</v>
      </c>
      <c r="F19" s="1946" t="s">
        <v>1977</v>
      </c>
      <c r="G19" s="141">
        <f ca="1">ROUND(C19*$C$18+D19*$D$18,0)</f>
        <v>164793</v>
      </c>
      <c r="H19" s="1947" t="s">
        <v>1979</v>
      </c>
      <c r="I19" s="134"/>
      <c r="J19" s="733">
        <v>164996</v>
      </c>
      <c r="K19" s="308" t="s">
        <v>1980</v>
      </c>
      <c r="L19" s="308">
        <f>IF(C1="",'数据-汇总表'!D3,SUMIF(项目类型,C1,'数据-汇总表'!D17:D26)+SUMIF(项目类型,C1,'数据-汇总表'!H17:H27))</f>
        <v>1574.14</v>
      </c>
      <c r="M19" s="308">
        <f>IF(C1="",'数据-汇总表'!D3,SUMIF(项目类型,C1,'数据-汇总表'!D17:D26))</f>
        <v>1574.14</v>
      </c>
    </row>
    <row r="20" spans="1:36" ht="15">
      <c r="A20" s="1948"/>
      <c r="B20" s="1155" t="s">
        <v>1981</v>
      </c>
      <c r="C20" s="142">
        <f ca="1">SUMIF(INDIRECT("'"&amp;C4&amp;"'"&amp;"!A:A"),结果表!B20,INDIRECT("'"&amp;C4&amp;"'"&amp;"!B:B"))</f>
        <v>50734</v>
      </c>
      <c r="D20" s="143">
        <f ca="1">SUMIF(INDIRECT("'"&amp;D4&amp;"'"&amp;"!A:A"),结果表!B20,INDIRECT("'"&amp;D4&amp;"'"&amp;"!B:B"))</f>
        <v>50734</v>
      </c>
      <c r="E20" s="1948"/>
      <c r="F20" s="1155" t="s">
        <v>1981</v>
      </c>
      <c r="G20" s="144">
        <f ca="1">ROUND(C20*$C$18+D20*$D$18,0)</f>
        <v>50734</v>
      </c>
      <c r="H20" s="916" t="s">
        <v>1982</v>
      </c>
      <c r="I20" s="134"/>
      <c r="J20" s="733">
        <f ca="1">G19-J19</f>
        <v>-203</v>
      </c>
    </row>
    <row r="21" spans="1:36" ht="15" customHeight="1" thickBot="1">
      <c r="A21" s="936"/>
      <c r="B21" s="1949" t="s">
        <v>1983</v>
      </c>
      <c r="C21" s="727">
        <f ca="1">ROUND(C19*10000/L19,0)</f>
        <v>1046876</v>
      </c>
      <c r="D21" s="728">
        <f ca="1">ROUND(D19*10000/L19,0)</f>
        <v>1046876</v>
      </c>
      <c r="E21" s="936"/>
      <c r="F21" s="1949" t="s">
        <v>1983</v>
      </c>
      <c r="G21" s="145">
        <f ca="1">ROUND(G19*10000/L19,0)</f>
        <v>1046876</v>
      </c>
      <c r="H21" s="1950" t="s">
        <v>1982</v>
      </c>
      <c r="I21" s="134"/>
    </row>
    <row r="22" spans="1:36" ht="15" thickBot="1">
      <c r="A22" s="1872" t="s">
        <v>1984</v>
      </c>
      <c r="B22" s="1951"/>
      <c r="C22" s="1952"/>
      <c r="D22" s="729">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75" t="s">
        <v>1985</v>
      </c>
      <c r="B24" s="1946" t="s">
        <v>1977</v>
      </c>
      <c r="C24" s="141">
        <f>IF(B30=0,0,D30)</f>
        <v>0</v>
      </c>
      <c r="D24" s="1953"/>
      <c r="E24" s="134"/>
      <c r="F24" s="134"/>
      <c r="G24" s="134"/>
      <c r="H24" s="134"/>
      <c r="I24" s="134"/>
    </row>
    <row r="25" spans="1:36" ht="14.25">
      <c r="A25" s="3276"/>
      <c r="B25" s="1155"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164793</v>
      </c>
      <c r="D32" s="1959" t="s">
        <v>3212</v>
      </c>
      <c r="E32" s="134"/>
      <c r="F32" s="134"/>
      <c r="G32" s="134"/>
      <c r="H32" s="134"/>
      <c r="I32" s="134"/>
    </row>
    <row r="33" spans="1:15" ht="15">
      <c r="A33" s="893" t="s">
        <v>1992</v>
      </c>
      <c r="B33" s="1960"/>
      <c r="C33" s="1961" t="s">
        <v>3213</v>
      </c>
      <c r="D33" s="1962" t="s">
        <v>3172</v>
      </c>
      <c r="E33" s="1963" t="s">
        <v>1993</v>
      </c>
      <c r="F33" s="1964" t="str">
        <f>IF(D32="楼面单价","取值（单价）","取值（总价）")</f>
        <v>取值（总价）</v>
      </c>
      <c r="G33" s="134"/>
      <c r="H33" s="134"/>
      <c r="I33" s="134"/>
    </row>
    <row r="34" spans="1:15" ht="15">
      <c r="A34" s="1965"/>
      <c r="B34" s="1966" t="s">
        <v>1994</v>
      </c>
      <c r="C34" s="153">
        <f ca="1">IF(C33="自定义",F34,C32-C35)</f>
        <v>142711</v>
      </c>
      <c r="D34" s="969">
        <f ca="1">IF(C33="自定义",ROUND(C34/C32,3),IF(C33="收益比率",SUMIF(INDIRECT("'"&amp;D33&amp;"'"&amp;"!b:b"),"土地收益比率",INDIRECT("'"&amp;D33&amp;"'"&amp;"!c:c")),SUMIF(INDIRECT("'"&amp;D33&amp;"'"&amp;"!b:b"),"土地成本比率",INDIRECT("'"&amp;D33&amp;"'"&amp;"!c:c"))))</f>
        <v>0.86599999999999999</v>
      </c>
      <c r="E34" s="1967" t="s">
        <v>1995</v>
      </c>
      <c r="F34" s="1496"/>
      <c r="G34" s="134"/>
      <c r="H34" s="134"/>
      <c r="I34" s="134"/>
    </row>
    <row r="35" spans="1:15" ht="15.75" thickBot="1">
      <c r="A35" s="1968"/>
      <c r="B35" s="1969" t="s">
        <v>1996</v>
      </c>
      <c r="C35" s="1330">
        <f ca="1">IF(C33="自定义",F35,ROUND(C32*D35,0))</f>
        <v>22082</v>
      </c>
      <c r="D35" s="1331">
        <f ca="1">IF(C33="自定义",ROUND(C35/C32,3),IF(C33="收益比率",SUMIF(INDIRECT("'"&amp;D33&amp;"'"&amp;"!b:b"),"建筑物收益比率",INDIRECT("'"&amp;D33&amp;"'"&amp;"!c:c")),SUMIF(INDIRECT("'"&amp;D33&amp;"'"&amp;"!b:b"),"建筑物成本比率",INDIRECT("'"&amp;D33&amp;"'"&amp;"!c:c"))))</f>
        <v>0.13400000000000001</v>
      </c>
      <c r="E35" s="1970" t="s">
        <v>1997</v>
      </c>
      <c r="F35" s="159"/>
      <c r="G35" s="134"/>
      <c r="H35" s="134"/>
      <c r="I35" s="134"/>
    </row>
    <row r="36" spans="1:15" ht="15.75" thickBot="1">
      <c r="A36" s="3252" t="s">
        <v>1998</v>
      </c>
      <c r="B36" s="1971" t="s">
        <v>1999</v>
      </c>
      <c r="C36" s="150"/>
      <c r="D36" s="1972"/>
      <c r="E36" s="1973"/>
      <c r="F36" s="1974"/>
      <c r="G36" s="134"/>
      <c r="H36" s="134"/>
      <c r="I36" s="134"/>
    </row>
    <row r="37" spans="1:15" ht="15.75" thickBot="1">
      <c r="A37" s="3253"/>
      <c r="B37" s="1858" t="s">
        <v>2000</v>
      </c>
      <c r="C37" s="152"/>
      <c r="D37" s="1299"/>
      <c r="E37" s="1299"/>
      <c r="F37" s="1974"/>
      <c r="G37" s="134"/>
      <c r="H37" s="134"/>
      <c r="I37" s="134"/>
    </row>
    <row r="38" spans="1:15" ht="15.75" thickBot="1">
      <c r="A38" s="3254"/>
      <c r="B38" s="1975" t="s">
        <v>2001</v>
      </c>
      <c r="C38" s="682"/>
      <c r="D38" s="1976" t="s">
        <v>2002</v>
      </c>
      <c r="E38" s="1299"/>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72" t="s">
        <v>2012</v>
      </c>
      <c r="B45" s="3273"/>
      <c r="C45" s="3274"/>
      <c r="D45" s="160">
        <f ca="1">ROUND(H101*F45,0)</f>
        <v>164793</v>
      </c>
      <c r="E45" s="161" t="s">
        <v>2013</v>
      </c>
      <c r="F45" s="162">
        <v>1</v>
      </c>
      <c r="G45" s="163" t="s">
        <v>2014</v>
      </c>
      <c r="H45" s="134"/>
      <c r="I45" s="134"/>
      <c r="J45" s="3189" t="s">
        <v>2015</v>
      </c>
      <c r="K45" s="3189"/>
      <c r="L45" s="3189"/>
      <c r="M45" s="3189"/>
      <c r="N45" s="3189"/>
      <c r="O45" s="3189"/>
    </row>
    <row r="46" spans="1:15" ht="14.25" customHeight="1">
      <c r="A46" s="3269" t="s">
        <v>2016</v>
      </c>
      <c r="B46" s="3270"/>
      <c r="C46" s="3270"/>
      <c r="D46" s="3270"/>
      <c r="E46" s="3270"/>
      <c r="F46" s="3270"/>
      <c r="G46" s="3271"/>
      <c r="H46" s="1990"/>
      <c r="I46" s="164"/>
      <c r="J46" s="2747">
        <v>1</v>
      </c>
      <c r="K46" s="3190" t="s">
        <v>2017</v>
      </c>
      <c r="L46" s="3190"/>
      <c r="M46" s="3191"/>
      <c r="N46" s="3191"/>
      <c r="O46" s="3191"/>
    </row>
    <row r="47" spans="1:15" ht="12" customHeight="1">
      <c r="A47" s="165" t="s">
        <v>2018</v>
      </c>
      <c r="B47" s="166"/>
      <c r="C47" s="167"/>
      <c r="D47" s="1245" t="s">
        <v>2019</v>
      </c>
      <c r="E47" s="308" t="s">
        <v>2020</v>
      </c>
      <c r="F47" s="168" t="s">
        <v>2021</v>
      </c>
      <c r="G47" s="2770" t="s">
        <v>2022</v>
      </c>
      <c r="H47" s="2771"/>
      <c r="I47" s="164"/>
      <c r="J47" s="2747">
        <v>2</v>
      </c>
      <c r="K47" s="3190" t="s">
        <v>2023</v>
      </c>
      <c r="L47" s="3190"/>
      <c r="M47" s="3192">
        <f>'数据-取费表'!B2</f>
        <v>44411</v>
      </c>
      <c r="N47" s="3192"/>
      <c r="O47" s="3192"/>
    </row>
    <row r="48" spans="1:15" ht="25.5">
      <c r="A48" s="3255" t="s">
        <v>2024</v>
      </c>
      <c r="B48" s="3256"/>
      <c r="C48" s="3256"/>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90" t="s">
        <v>2026</v>
      </c>
      <c r="L48" s="3190"/>
      <c r="M48" s="3193">
        <f ca="1">H101</f>
        <v>164793</v>
      </c>
      <c r="N48" s="3193"/>
      <c r="O48" s="3193"/>
    </row>
    <row r="49" spans="1:35" ht="25.5" customHeight="1">
      <c r="A49" s="2554" t="s">
        <v>2027</v>
      </c>
      <c r="B49" s="3238" t="s">
        <v>2028</v>
      </c>
      <c r="C49" s="3238"/>
      <c r="D49" s="1773">
        <v>0</v>
      </c>
      <c r="E49" s="330" t="s">
        <v>2029</v>
      </c>
      <c r="F49" s="2648" t="s">
        <v>34</v>
      </c>
      <c r="G49" s="3221"/>
      <c r="H49" s="2526" t="s">
        <v>2875</v>
      </c>
      <c r="I49" s="2527"/>
      <c r="J49" s="2747">
        <v>4</v>
      </c>
      <c r="K49" s="3190" t="str">
        <f>IF(项目基本情况!E8="房地产抵押价值","房地产抵押价值","抵押担保权已注销时的房地产抵押价值")</f>
        <v>房地产抵押价值</v>
      </c>
      <c r="L49" s="3190"/>
      <c r="M49" s="3193">
        <f ca="1">IF(项目基本情况!E8="房地产抵押价值",H107,H109)</f>
        <v>164793</v>
      </c>
      <c r="N49" s="3193"/>
      <c r="O49" s="3193"/>
    </row>
    <row r="50" spans="1:35" ht="25.5" customHeight="1">
      <c r="A50" s="2775"/>
      <c r="B50" s="3238" t="s">
        <v>2030</v>
      </c>
      <c r="C50" s="3238"/>
      <c r="D50" s="2776"/>
      <c r="E50" s="338"/>
      <c r="F50" s="2648"/>
      <c r="G50" s="3222"/>
      <c r="H50" s="2528" t="s">
        <v>2876</v>
      </c>
      <c r="I50" s="2527"/>
      <c r="J50" s="3189" t="s">
        <v>2031</v>
      </c>
      <c r="K50" s="3189"/>
      <c r="L50" s="3189"/>
      <c r="M50" s="3189"/>
      <c r="N50" s="3189"/>
      <c r="O50" s="3189"/>
    </row>
    <row r="51" spans="1:35" ht="20.45" customHeight="1">
      <c r="A51" s="2777"/>
      <c r="B51" s="3238" t="s">
        <v>2032</v>
      </c>
      <c r="C51" s="3238"/>
      <c r="D51" s="1245"/>
      <c r="E51" s="333"/>
      <c r="F51" s="2648"/>
      <c r="G51" s="3223"/>
      <c r="H51" s="2528" t="s">
        <v>2877</v>
      </c>
      <c r="I51" s="2527"/>
      <c r="J51" s="2748" t="s">
        <v>2033</v>
      </c>
      <c r="K51" s="3190" t="s">
        <v>2034</v>
      </c>
      <c r="L51" s="3190"/>
      <c r="M51" s="2748" t="s">
        <v>2035</v>
      </c>
      <c r="N51" s="2748" t="s">
        <v>2036</v>
      </c>
      <c r="O51" s="2748" t="s">
        <v>2037</v>
      </c>
    </row>
    <row r="52" spans="1:35" ht="24" customHeight="1">
      <c r="A52" s="2556" t="s">
        <v>2038</v>
      </c>
      <c r="B52" s="3238" t="s">
        <v>2039</v>
      </c>
      <c r="C52" s="3238"/>
      <c r="D52" s="1245">
        <f ca="1">ROUND(D45*'数据-取费表'!B41/(1+'数据-取费表'!C42),0)</f>
        <v>8789</v>
      </c>
      <c r="E52" s="2555" t="s">
        <v>2040</v>
      </c>
      <c r="F52" s="2778">
        <f>'数据-取费表'!B41</f>
        <v>5.6000000000000001E-2</v>
      </c>
      <c r="G52" s="2779"/>
      <c r="H52" s="2768"/>
      <c r="I52" s="1991"/>
      <c r="J52" s="2747">
        <v>1</v>
      </c>
      <c r="K52" s="3215" t="s">
        <v>2041</v>
      </c>
      <c r="L52" s="3215"/>
      <c r="M52" s="2749" t="b">
        <f>D48</f>
        <v>0</v>
      </c>
      <c r="N52" s="2747" t="str">
        <f>E48</f>
        <v>销售额×税（费）率</v>
      </c>
      <c r="O52" s="2750">
        <f>F48</f>
        <v>5.6000000000000001E-2</v>
      </c>
    </row>
    <row r="53" spans="1:35" ht="12" customHeight="1">
      <c r="A53" s="2556" t="s">
        <v>2042</v>
      </c>
      <c r="B53" s="3239" t="s">
        <v>3036</v>
      </c>
      <c r="C53" s="3240"/>
      <c r="D53" s="1245">
        <f ca="1">ROUND(D45*'数据-取费表'!B41/(1+'数据-取费表'!C42),0)</f>
        <v>8789</v>
      </c>
      <c r="E53" s="2555" t="s">
        <v>2040</v>
      </c>
      <c r="F53" s="2778">
        <f>'数据-取费表'!B41</f>
        <v>5.6000000000000001E-2</v>
      </c>
      <c r="G53" s="2779"/>
      <c r="H53" s="2768"/>
      <c r="I53" s="1991"/>
      <c r="J53" s="2747">
        <v>2</v>
      </c>
      <c r="K53" s="3215" t="s">
        <v>2043</v>
      </c>
      <c r="L53" s="3215"/>
      <c r="M53" s="2749">
        <f t="shared" ref="M53:O54" ca="1" si="0">D55</f>
        <v>82</v>
      </c>
      <c r="N53" s="2747" t="str">
        <f t="shared" si="0"/>
        <v>销售额×税（费）率</v>
      </c>
      <c r="O53" s="2750" t="str">
        <f t="shared" si="0"/>
        <v>免征</v>
      </c>
    </row>
    <row r="54" spans="1:35" ht="12" customHeight="1">
      <c r="A54" s="2556" t="s">
        <v>2044</v>
      </c>
      <c r="B54" s="3239" t="s">
        <v>3037</v>
      </c>
      <c r="C54" s="3240"/>
      <c r="D54" s="1245">
        <f ca="1">C68</f>
        <v>8789</v>
      </c>
      <c r="E54" s="333" t="s">
        <v>2045</v>
      </c>
      <c r="F54" s="2778">
        <f>'数据-取费表'!B41</f>
        <v>5.6000000000000001E-2</v>
      </c>
      <c r="G54" s="2779"/>
      <c r="H54" s="2780"/>
      <c r="I54" s="1991"/>
      <c r="J54" s="2747">
        <v>3</v>
      </c>
      <c r="K54" s="3215" t="s">
        <v>2046</v>
      </c>
      <c r="L54" s="3215"/>
      <c r="M54" s="2749">
        <f t="shared" ca="1" si="0"/>
        <v>93273</v>
      </c>
      <c r="N54" s="2747" t="str">
        <f t="shared" si="0"/>
        <v>增值额×税（费）率</v>
      </c>
      <c r="O54" s="2751" t="str">
        <f t="shared" si="0"/>
        <v>免征</v>
      </c>
    </row>
    <row r="55" spans="1:35" ht="24" customHeight="1">
      <c r="A55" s="3278" t="s">
        <v>2047</v>
      </c>
      <c r="B55" s="3256"/>
      <c r="C55" s="3256"/>
      <c r="D55" s="2545">
        <f ca="1">IF(H55="个人住宅",0,ROUND(D45*I55,0))</f>
        <v>82</v>
      </c>
      <c r="E55" s="2555" t="s">
        <v>2048</v>
      </c>
      <c r="F55" s="2778" t="str">
        <f>IF(H55="正常",I55,"免征")</f>
        <v>免征</v>
      </c>
      <c r="G55" s="2779"/>
      <c r="H55" s="2774"/>
      <c r="I55" s="170">
        <f>'数据-取费表'!B49</f>
        <v>5.0000000000000001E-4</v>
      </c>
      <c r="J55" s="2747">
        <f>IF(H59="非个人房产","",4)</f>
        <v>4</v>
      </c>
      <c r="K55" s="3215" t="str">
        <f>IF(H59="非个人房产","——","个人所得税")</f>
        <v>个人所得税</v>
      </c>
      <c r="L55" s="3215"/>
      <c r="M55" s="2752">
        <f ca="1">D59</f>
        <v>1569</v>
      </c>
      <c r="N55" s="2226" t="str">
        <f>E59</f>
        <v>差额计税</v>
      </c>
      <c r="O55" s="2753">
        <f>F59</f>
        <v>0.01</v>
      </c>
    </row>
    <row r="56" spans="1:35" ht="24.75">
      <c r="A56" s="3278" t="s">
        <v>2049</v>
      </c>
      <c r="B56" s="3256"/>
      <c r="C56" s="3256"/>
      <c r="D56" s="2545">
        <f ca="1">IF(H56="个人住宅",D57,D58)</f>
        <v>93273</v>
      </c>
      <c r="E56" s="2555" t="s">
        <v>2050</v>
      </c>
      <c r="F56" s="2778" t="str">
        <f>IF(H56="正常",F58,"免征")</f>
        <v>免征</v>
      </c>
      <c r="G56" s="2781" t="s">
        <v>2051</v>
      </c>
      <c r="H56" s="2782"/>
      <c r="I56" s="1992"/>
      <c r="J56" s="2747"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2556" t="s">
        <v>2027</v>
      </c>
      <c r="B57" s="3239" t="s">
        <v>2052</v>
      </c>
      <c r="C57" s="3240"/>
      <c r="D57" s="1773">
        <v>0</v>
      </c>
      <c r="E57" s="330" t="s">
        <v>2029</v>
      </c>
      <c r="F57" s="308"/>
      <c r="G57" s="2779"/>
      <c r="H57" s="2783"/>
      <c r="I57" s="1992"/>
      <c r="J57" s="3215">
        <f>IF(AND(J55="",J56=""),4,IF(项目基本情况!K6="上海银行",结果表!J56+1,结果表!J55+1))</f>
        <v>5</v>
      </c>
      <c r="K57" s="3215" t="s">
        <v>2053</v>
      </c>
      <c r="L57" s="2754" t="s">
        <v>2054</v>
      </c>
      <c r="M57" s="2755"/>
      <c r="N57" s="2756">
        <f ca="1">SUMIF(M52:M56,"&lt;9e307")</f>
        <v>94924</v>
      </c>
      <c r="O57" s="2757"/>
      <c r="P57" s="2917">
        <f ca="1">N57/M49</f>
        <v>0.57601961248353994</v>
      </c>
    </row>
    <row r="58" spans="1:35" ht="24.75">
      <c r="A58" s="2556" t="s">
        <v>2038</v>
      </c>
      <c r="B58" s="3239" t="s">
        <v>2055</v>
      </c>
      <c r="C58" s="3238"/>
      <c r="D58" s="2545">
        <f ca="1">IF(H58="转让取得",C81,C97)</f>
        <v>93273</v>
      </c>
      <c r="E58" s="2555" t="s">
        <v>2050</v>
      </c>
      <c r="F58" s="308" t="s">
        <v>34</v>
      </c>
      <c r="G58" s="2779"/>
      <c r="H58" s="2782"/>
      <c r="I58" s="1992"/>
      <c r="J58" s="3215"/>
      <c r="K58" s="3215"/>
      <c r="L58" s="2754" t="s">
        <v>2056</v>
      </c>
      <c r="M58" s="2758"/>
      <c r="N58" s="2759" t="str">
        <f ca="1">NUMBERSTRING(INT(N57*10000),2)&amp;"元整"</f>
        <v>玖亿肆仟玖佰贰拾肆万元整</v>
      </c>
      <c r="O58" s="2760"/>
    </row>
    <row r="59" spans="1:35" ht="24.75" thickBot="1">
      <c r="A59" s="3219" t="s">
        <v>2057</v>
      </c>
      <c r="B59" s="3220"/>
      <c r="C59" s="3220"/>
      <c r="D59" s="2784">
        <f ca="1">IF(H59="非个人房产","——",IF(H59="个人住宅（满五唯一有凭证）",0,IF(H59="个人其他（无凭证）",ROUND(D45*F59,0),ROUND(C67*F59,0))))</f>
        <v>1569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17">
        <f>J57+1</f>
        <v>6</v>
      </c>
      <c r="K59" s="3215" t="s">
        <v>2058</v>
      </c>
      <c r="L59" s="2747" t="s">
        <v>2054</v>
      </c>
      <c r="M59" s="2761"/>
      <c r="N59" s="2762">
        <f ca="1">M49-N57</f>
        <v>69869</v>
      </c>
      <c r="O59" s="2763"/>
    </row>
    <row r="60" spans="1:35" ht="12" customHeight="1">
      <c r="A60" s="1993"/>
      <c r="B60" s="1931"/>
      <c r="C60" s="1931"/>
      <c r="D60" s="1931"/>
      <c r="E60" s="1761"/>
      <c r="F60" s="1992"/>
      <c r="G60" s="1992"/>
      <c r="H60" s="1994"/>
      <c r="I60" s="134"/>
      <c r="J60" s="3218"/>
      <c r="K60" s="3215"/>
      <c r="L60" s="2754" t="s">
        <v>2056</v>
      </c>
      <c r="M60" s="2758"/>
      <c r="N60" s="2759" t="str">
        <f ca="1">NUMBERSTRING(INT(N59*10000),2)&amp;"元整"</f>
        <v>陆亿玖仟捌佰陆拾玖万元整</v>
      </c>
      <c r="O60" s="2760"/>
    </row>
    <row r="61" spans="1:35" ht="13.5" thickBot="1">
      <c r="A61" s="3277" t="s">
        <v>2059</v>
      </c>
      <c r="B61" s="3277"/>
      <c r="C61" s="3277"/>
      <c r="D61" s="3277"/>
      <c r="E61" s="3277"/>
      <c r="F61" s="1992"/>
      <c r="G61" s="1992"/>
      <c r="H61" s="1994"/>
      <c r="I61" s="134"/>
      <c r="J61" s="2747">
        <f>J59+1</f>
        <v>7</v>
      </c>
      <c r="K61" s="3215" t="s">
        <v>2060</v>
      </c>
      <c r="L61" s="3215"/>
      <c r="M61" s="2764"/>
      <c r="N61" s="2765">
        <f ca="1">ROUND(N59*10000/'数据-汇总表'!E3,0)</f>
        <v>21510</v>
      </c>
      <c r="O61" s="2766"/>
    </row>
    <row r="62" spans="1:35" ht="12.75">
      <c r="A62" s="3234" t="s">
        <v>2061</v>
      </c>
      <c r="B62" s="3235"/>
      <c r="C62" s="2207"/>
      <c r="D62" s="2207" t="s">
        <v>2062</v>
      </c>
      <c r="E62" s="171" t="s">
        <v>2063</v>
      </c>
      <c r="F62" s="1992"/>
      <c r="G62" s="1992"/>
      <c r="H62" s="1994"/>
      <c r="I62" s="134"/>
    </row>
    <row r="63" spans="1:35" ht="12.75">
      <c r="A63" s="178" t="s">
        <v>775</v>
      </c>
      <c r="B63" s="172" t="s">
        <v>2064</v>
      </c>
      <c r="C63" s="2788">
        <f ca="1">ROUND((C64+C65)/(1+'数据-取费表'!C42),0)</f>
        <v>156946</v>
      </c>
      <c r="D63" s="172"/>
      <c r="E63" s="173"/>
      <c r="F63" s="1992"/>
      <c r="G63" s="1992"/>
      <c r="H63" s="1994"/>
      <c r="I63" s="134"/>
      <c r="J63" s="3198" t="s">
        <v>2065</v>
      </c>
      <c r="K63" s="1499" t="s">
        <v>2066</v>
      </c>
      <c r="L63" s="1499">
        <f ca="1">IF(M49&gt;10000,M49*0.5%,IF(AND(M49&gt;1000,M49&lt;=10000),M49*1%,IF(AND(M49&gt;100,M49&lt;=1000),M49*3%,IF(AND(M49&gt;10,M49&lt;=100),M49*5%,M49*8%))))</f>
        <v>823.96500000000003</v>
      </c>
      <c r="M63" s="308">
        <f ca="1">ROUND(L63,1)</f>
        <v>824</v>
      </c>
      <c r="N63" s="2767"/>
      <c r="Z63" s="1936"/>
      <c r="AI63" s="1937"/>
    </row>
    <row r="64" spans="1:35" ht="14.25" customHeight="1">
      <c r="A64" s="174" t="s">
        <v>770</v>
      </c>
      <c r="B64" s="175" t="s">
        <v>2067</v>
      </c>
      <c r="C64" s="2789">
        <f ca="1">D45</f>
        <v>164793</v>
      </c>
      <c r="D64" s="175" t="s">
        <v>32</v>
      </c>
      <c r="E64" s="177"/>
      <c r="F64" s="1992"/>
      <c r="G64" s="1992"/>
      <c r="H64" s="1994"/>
      <c r="I64" s="134"/>
      <c r="J64" s="3198"/>
      <c r="K64" s="1499" t="s">
        <v>2068</v>
      </c>
      <c r="L64" s="1499">
        <f ca="1">IF(M49&gt;2000,M49*0.5%,IF(AND(M49&gt;1000,M49&lt;=2000),M49*0.6%,IF(AND(M49&gt;500,M49&lt;=1000),M49*0.7%,IF(AND(M49&gt;200,M49&lt;=500),M49*0.8%,IF(AND(M49&gt;100,M49&lt;=200),M49*0.9%,IF(AND(M49&gt;50,M49&lt;=100),M49*1%,IF(AND(M49&gt;20,M49&lt;=50),M49*1.5%,IF(AND(M49&gt;10,M49&lt;=20),M49*2%,IF(AND(M49&gt;1,M49&lt;=10),M49*2.5%)))))))))</f>
        <v>823.96500000000003</v>
      </c>
      <c r="M64" s="308">
        <f t="shared" ref="M64:M65" ca="1" si="1">ROUND(L64,1)</f>
        <v>824</v>
      </c>
      <c r="N64" s="2768" t="s">
        <v>2069</v>
      </c>
      <c r="Z64" s="1936"/>
      <c r="AI64" s="1937"/>
    </row>
    <row r="65" spans="1:35" ht="14.25" customHeight="1">
      <c r="A65" s="174" t="s">
        <v>771</v>
      </c>
      <c r="B65" s="175" t="s">
        <v>2070</v>
      </c>
      <c r="C65" s="2790"/>
      <c r="D65" s="175"/>
      <c r="E65" s="177"/>
      <c r="F65" s="1992"/>
      <c r="G65" s="1992"/>
      <c r="H65" s="1994"/>
      <c r="I65" s="134"/>
      <c r="J65" s="3198"/>
      <c r="K65" s="1499" t="s">
        <v>2071</v>
      </c>
      <c r="L65" s="1499">
        <f ca="1">IF(M49&gt;1000,M49*0.1%,IF(AND(M49&gt;500,M49&lt;=1000),M49*0.5%,IF(AND(M49&gt;50,M49&lt;=500),M49*1%,IF(AND(M49&gt;1,M49&lt;=50),M49*1.5%))))</f>
        <v>164.79300000000001</v>
      </c>
      <c r="M65" s="308">
        <f t="shared" ca="1" si="1"/>
        <v>164.8</v>
      </c>
      <c r="N65" s="2768" t="s">
        <v>2069</v>
      </c>
      <c r="Z65" s="1936"/>
      <c r="AI65" s="1937"/>
    </row>
    <row r="66" spans="1:35" ht="14.25" customHeight="1">
      <c r="A66" s="178" t="s">
        <v>772</v>
      </c>
      <c r="B66" s="179" t="s">
        <v>2072</v>
      </c>
      <c r="C66" s="2791"/>
      <c r="D66" s="179" t="s">
        <v>32</v>
      </c>
      <c r="E66" s="1507" t="s">
        <v>1337</v>
      </c>
      <c r="F66" s="1992"/>
      <c r="G66" s="1992"/>
      <c r="H66" s="1994"/>
      <c r="I66" s="134"/>
      <c r="J66" s="3198"/>
      <c r="K66" s="1499" t="s">
        <v>2073</v>
      </c>
      <c r="L66" s="1499">
        <f ca="1">M49*0.5%</f>
        <v>823.96500000000003</v>
      </c>
      <c r="M66" s="308">
        <f ca="1">IF(L66&gt;0.5,0.5,ROUND(L66,0))</f>
        <v>0.5</v>
      </c>
      <c r="N66" s="2768" t="s">
        <v>2074</v>
      </c>
      <c r="Z66" s="1936"/>
      <c r="AI66" s="1937"/>
    </row>
    <row r="67" spans="1:35" ht="14.25" customHeight="1">
      <c r="A67" s="178" t="s">
        <v>773</v>
      </c>
      <c r="B67" s="179" t="s">
        <v>2075</v>
      </c>
      <c r="C67" s="2792">
        <f ca="1">C63-C66</f>
        <v>156946</v>
      </c>
      <c r="D67" s="175" t="s">
        <v>32</v>
      </c>
      <c r="E67" s="177"/>
      <c r="F67" s="1992"/>
      <c r="G67" s="1992"/>
      <c r="H67" s="1994"/>
      <c r="I67" s="134"/>
      <c r="J67" s="3198"/>
      <c r="K67" s="1499" t="s">
        <v>2076</v>
      </c>
      <c r="L67" s="1499">
        <f ca="1">IF(M49&gt;=10000,(8.25+(M49-10000)*0.01%),IF(AND(M49&gt;=8000,M49&lt;10000),(7.85+(M49-8000)*0.02%),IF(AND(M49&gt;=5000,M49&lt;8000),(6.65+(M49-5000)*0.04%),IF(AND(M49&gt;=2000,M49&lt;5000),(4.25+(PM49-2000)*0.08%),IF(AND(M49&gt;=1000,M49&lt;2000),(2.75+(M49-1000)*0.15%),IF(AND(M49&gt;=100,M49&lt;1000),(0.5+(M49-100)*0.25%),IF(AND(M49&gt;0,M49&lt;100),M49*0.5%)))))))</f>
        <v>23.729300000000002</v>
      </c>
      <c r="M67" s="308">
        <f ca="1">ROUND(L67*0.9,1)</f>
        <v>21.4</v>
      </c>
      <c r="N67" s="2767"/>
      <c r="Z67" s="1936"/>
      <c r="AI67" s="1937"/>
    </row>
    <row r="68" spans="1:35" ht="14.25" customHeight="1" thickBot="1">
      <c r="A68" s="181" t="s">
        <v>774</v>
      </c>
      <c r="B68" s="182" t="s">
        <v>2077</v>
      </c>
      <c r="C68" s="2793">
        <f ca="1">IF(C67&lt;=0,0,ROUND(C67*D68,0))</f>
        <v>8789</v>
      </c>
      <c r="D68" s="2794">
        <f>'数据-取费表'!B41</f>
        <v>5.6000000000000001E-2</v>
      </c>
      <c r="E68" s="184"/>
      <c r="F68" s="1992"/>
      <c r="G68" s="1992"/>
      <c r="H68" s="1994"/>
      <c r="I68" s="134"/>
      <c r="J68" s="3198"/>
      <c r="K68" s="1499" t="s">
        <v>2078</v>
      </c>
      <c r="L68" s="1499">
        <f ca="1">IF(M49&gt;10000,M49*0.5%,IF(AND(M49&gt;5000,M49&lt;=10000),M49*1%,IF(AND(M49&gt;1000,M49&lt;=5000),M49*2%,IF(AND(M49&gt;200,M49&lt;=1000),M49*3%,M49*5%))))</f>
        <v>823.96500000000003</v>
      </c>
      <c r="M68" s="308">
        <f ca="1">ROUND(L68,1)</f>
        <v>824</v>
      </c>
      <c r="N68" s="2767"/>
      <c r="Z68" s="1936"/>
      <c r="AI68" s="1937"/>
    </row>
    <row r="69" spans="1:35" s="1956" customFormat="1" ht="16.5" customHeight="1">
      <c r="A69" s="1995"/>
      <c r="B69" s="1996"/>
      <c r="C69" s="1997"/>
      <c r="D69" s="1998"/>
      <c r="E69" s="1999"/>
      <c r="F69" s="1761"/>
      <c r="G69" s="1761"/>
      <c r="H69" s="1760"/>
      <c r="I69" s="1931"/>
      <c r="J69" s="3198"/>
      <c r="K69" s="1499" t="s">
        <v>2079</v>
      </c>
      <c r="L69" s="1499"/>
      <c r="M69" s="308">
        <f ca="1">ROUND(SUM(M63:M68),0)</f>
        <v>2659</v>
      </c>
      <c r="N69" s="2769">
        <f ca="1">M69/M49</f>
        <v>1.6135394100477568E-2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42" t="s">
        <v>2080</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2061</v>
      </c>
      <c r="B71" s="3235"/>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156946</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942</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9" t="s">
        <v>2088</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942</v>
      </c>
      <c r="D78" s="2801">
        <f>'数据-取费表'!B43</f>
        <v>6.000000000000001E-3</v>
      </c>
      <c r="E78" s="3231" t="s">
        <v>2092</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156004</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165.60934182590233</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93273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2096</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2061</v>
      </c>
      <c r="B84" s="3235"/>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156946</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942</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00" t="s">
        <v>2870</v>
      </c>
      <c r="H90" s="3201"/>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31" t="s">
        <v>2105</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31" t="s">
        <v>2108</v>
      </c>
      <c r="F92" s="3232"/>
      <c r="G92" s="3232"/>
      <c r="H92" s="3233"/>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942</v>
      </c>
      <c r="D93" s="2801">
        <f>'数据-取费表'!B43</f>
        <v>6.000000000000001E-3</v>
      </c>
      <c r="E93" s="3231" t="s">
        <v>2092</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9" t="s">
        <v>2112</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156004</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165.60934182590233</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93273</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81" t="s">
        <v>2114</v>
      </c>
      <c r="B100" s="3182"/>
      <c r="C100" s="3182"/>
      <c r="D100" s="3216"/>
      <c r="E100" s="3182" t="s">
        <v>2115</v>
      </c>
      <c r="F100" s="3182"/>
      <c r="G100" s="3182"/>
      <c r="H100" s="3216"/>
      <c r="I100" s="134"/>
    </row>
    <row r="101" spans="1:35" ht="18.75" customHeight="1">
      <c r="A101" s="3224" t="s">
        <v>2116</v>
      </c>
      <c r="B101" s="3225"/>
      <c r="C101" s="2809" t="str">
        <f>C4</f>
        <v>典型户型修正</v>
      </c>
      <c r="D101" s="2810" t="str">
        <f>D4</f>
        <v>典型户型修正</v>
      </c>
      <c r="E101" s="3194" t="s">
        <v>2117</v>
      </c>
      <c r="F101" s="3195"/>
      <c r="G101" s="2011" t="s">
        <v>2118</v>
      </c>
      <c r="H101" s="2819">
        <f ca="1">H118</f>
        <v>164793</v>
      </c>
      <c r="I101" s="134"/>
    </row>
    <row r="102" spans="1:35" ht="18.75" customHeight="1">
      <c r="A102" s="3226" t="s">
        <v>2119</v>
      </c>
      <c r="B102" s="2808" t="s">
        <v>2118</v>
      </c>
      <c r="C102" s="2809">
        <f ca="1">C19</f>
        <v>164793</v>
      </c>
      <c r="D102" s="2810">
        <f ca="1">D19</f>
        <v>164793</v>
      </c>
      <c r="E102" s="3194"/>
      <c r="F102" s="3195"/>
      <c r="G102" s="2011" t="s">
        <v>2120</v>
      </c>
      <c r="H102" s="2779">
        <f ca="1">I118</f>
        <v>50734</v>
      </c>
      <c r="I102" s="134"/>
    </row>
    <row r="103" spans="1:35" ht="42.75" customHeight="1">
      <c r="A103" s="3226"/>
      <c r="B103" s="2808" t="s">
        <v>2120</v>
      </c>
      <c r="C103" s="2811">
        <f ca="1">C20</f>
        <v>50734</v>
      </c>
      <c r="D103" s="2812">
        <f ca="1">D20</f>
        <v>50734</v>
      </c>
      <c r="E103" s="3187" t="s">
        <v>2121</v>
      </c>
      <c r="F103" s="3188"/>
      <c r="G103" s="2012" t="s">
        <v>2122</v>
      </c>
      <c r="H103" s="2819">
        <f>IF(D36="正常操作",H104+H105+H106,H105+H106)</f>
        <v>0</v>
      </c>
      <c r="I103" s="134"/>
    </row>
    <row r="104" spans="1:35" ht="18.75" customHeight="1">
      <c r="A104" s="3226" t="s">
        <v>2123</v>
      </c>
      <c r="B104" s="2813" t="s">
        <v>2118</v>
      </c>
      <c r="C104" s="2814">
        <f ca="1">H118</f>
        <v>164793</v>
      </c>
      <c r="D104" s="2815"/>
      <c r="E104" s="1858" t="s">
        <v>2124</v>
      </c>
      <c r="F104" s="1849"/>
      <c r="G104" s="2012" t="s">
        <v>2122</v>
      </c>
      <c r="H104" s="2820">
        <f>IF(D36="同一抵押权人同一抵押物续贷",C36&amp;"（续贷，未扣减，详见特别提示）",C36)</f>
        <v>0</v>
      </c>
      <c r="I104" s="134"/>
    </row>
    <row r="105" spans="1:35" ht="18.75" customHeight="1" thickBot="1">
      <c r="A105" s="3236"/>
      <c r="B105" s="2816" t="s">
        <v>2120</v>
      </c>
      <c r="C105" s="2817">
        <f ca="1">I118</f>
        <v>50734</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7" t="str">
        <f>IF(项目基本情况!E8="已注销","——","3.房地产抵押价值")</f>
        <v>3.房地产抵押价值</v>
      </c>
      <c r="F107" s="3195"/>
      <c r="G107" s="2011" t="s">
        <v>2118</v>
      </c>
      <c r="H107" s="2819">
        <f ca="1">IF(E107="——","——",H101-H103)</f>
        <v>164793</v>
      </c>
      <c r="I107" s="134"/>
    </row>
    <row r="108" spans="1:35" ht="18.75" customHeight="1">
      <c r="A108" s="134"/>
      <c r="B108" s="134"/>
      <c r="C108" s="134"/>
      <c r="D108" s="134"/>
      <c r="E108" s="3227"/>
      <c r="F108" s="3195"/>
      <c r="G108" s="2011" t="s">
        <v>2120</v>
      </c>
      <c r="H108" s="2779">
        <f ca="1">ROUND(H107*10000/'数据-汇总表'!E3,0)</f>
        <v>50734</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2118</v>
      </c>
      <c r="H109" s="2822" t="str">
        <f>IF(E109="——","——",H101-H105-H106)</f>
        <v>——</v>
      </c>
      <c r="I109" s="134"/>
    </row>
    <row r="110" spans="1:35" ht="18.75" customHeight="1">
      <c r="A110" s="134"/>
      <c r="B110" s="134"/>
      <c r="C110" s="134"/>
      <c r="D110" s="134"/>
      <c r="E110" s="3227"/>
      <c r="F110" s="3195"/>
      <c r="G110" s="2011" t="s">
        <v>2120</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2118</v>
      </c>
      <c r="H111" s="2819" t="str">
        <f>IF(E111="——","——",N59)</f>
        <v>——</v>
      </c>
      <c r="I111" s="134"/>
    </row>
    <row r="112" spans="1:35" ht="18.75" customHeight="1" thickBot="1">
      <c r="A112" s="134"/>
      <c r="B112" s="134"/>
      <c r="C112" s="134"/>
      <c r="D112" s="134"/>
      <c r="E112" s="3229"/>
      <c r="F112" s="3230"/>
      <c r="G112" s="2014" t="s">
        <v>2120</v>
      </c>
      <c r="H112" s="2823" t="str">
        <f>IF(E111="——","——",N61)</f>
        <v>——</v>
      </c>
      <c r="I112" s="134"/>
    </row>
    <row r="113" spans="1:27" ht="18.75" customHeight="1">
      <c r="A113" s="134"/>
      <c r="B113" s="134"/>
      <c r="C113" s="134"/>
      <c r="D113" s="134"/>
      <c r="E113" s="3237" t="s">
        <v>2126</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32481.79</v>
      </c>
      <c r="C118" s="2550">
        <f>M19</f>
        <v>1574.14</v>
      </c>
      <c r="D118" s="2550">
        <f ca="1">ROUND(IF(D32="总价",C34,E118*B118/10000),0)</f>
        <v>142711</v>
      </c>
      <c r="E118" s="2550">
        <f ca="1">ROUND(IF(C33="自定义",IF(D32="楼面单价",C34,D118*10000/B118),I118-G118),0)</f>
        <v>43936</v>
      </c>
      <c r="F118" s="2550">
        <f ca="1">ROUND(IF(D32="总价",C35,G118*B118/10000),0)</f>
        <v>22082</v>
      </c>
      <c r="G118" s="2550">
        <f ca="1">ROUND(IF(D32="楼面单价",C35,F118*10000/B118),0)</f>
        <v>6798</v>
      </c>
      <c r="H118" s="2550">
        <f ca="1">ROUND(IF(D32="总价",C32,I118*B118/10000),0)</f>
        <v>164793</v>
      </c>
      <c r="I118" s="2550">
        <f ca="1">ROUND(IF(D32="楼面单价",C32,H118*10000/B118),0)</f>
        <v>50734</v>
      </c>
    </row>
    <row r="119" spans="1:27" ht="18.75" customHeight="1">
      <c r="A119" s="3202" t="s">
        <v>2138</v>
      </c>
      <c r="B119" s="3202"/>
      <c r="C119" s="3202"/>
      <c r="D119" s="3208" t="str">
        <f ca="1">NUMBERSTRING(INT(D118*10000),2)&amp;"元整"</f>
        <v>壹拾肆亿贰仟柒佰壹拾壹万元整</v>
      </c>
      <c r="E119" s="3209"/>
      <c r="F119" s="3208" t="str">
        <f ca="1">NUMBERSTRING(INT(F118*10000),2)&amp;"元整"</f>
        <v>贰亿贰仟零捌拾贰万元整</v>
      </c>
      <c r="G119" s="3209"/>
      <c r="H119" s="3208" t="str">
        <f ca="1">NUMBERSTRING(INT(H118*10000),2)&amp;"元整"</f>
        <v>壹拾陆亿肆仟柒佰玖拾叁万元整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164793</v>
      </c>
      <c r="E122" s="3204"/>
      <c r="F122" s="3204"/>
      <c r="G122" s="3204"/>
      <c r="H122" s="3204"/>
      <c r="I122" s="3205"/>
      <c r="AA122" s="733"/>
    </row>
    <row r="123" spans="1:27" ht="18.75" customHeight="1">
      <c r="A123" s="3202" t="s">
        <v>2138</v>
      </c>
      <c r="B123" s="3202"/>
      <c r="C123" s="3202"/>
      <c r="D123" s="3208" t="str">
        <f ca="1">NUMBERSTRING(INT(D122*10000),2)&amp;"元整"</f>
        <v>壹拾陆亿肆仟柒佰玖拾叁万元整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6">
        <f>MATCH(B1,'数据-取费表'!A6:A16,0)+5</f>
        <v>8</v>
      </c>
    </row>
    <row r="2" spans="1:9" s="206" customFormat="1" ht="18" customHeight="1">
      <c r="A2" s="207" t="s">
        <v>2148</v>
      </c>
      <c r="B2" s="208">
        <f ca="1">IF(D2="——",C52,C52-E2)</f>
        <v>1778</v>
      </c>
      <c r="C2" s="205" t="s">
        <v>2149</v>
      </c>
      <c r="D2" s="2037" t="s">
        <v>70</v>
      </c>
      <c r="E2" s="1329"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547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0</v>
      </c>
      <c r="F9" s="227"/>
      <c r="G9" s="2041"/>
      <c r="H9" s="1297"/>
      <c r="I9" s="2042" t="s">
        <v>2165</v>
      </c>
    </row>
    <row r="10" spans="1:9" s="220" customFormat="1" ht="13.5" customHeight="1">
      <c r="A10" s="886" t="s">
        <v>801</v>
      </c>
      <c r="B10" s="230" t="s">
        <v>2166</v>
      </c>
      <c r="C10" s="231">
        <f ca="1">ROUND(D10*E10/10000,0)</f>
        <v>650</v>
      </c>
      <c r="D10" s="953">
        <f ca="1">IF(B1="",'数据-汇总表'!E6,IF(INDIRECT("'数据-取费表'!c"&amp;$G$1)="住宅",INDIRECT("'数据-取费表'!s"&amp;$G$1),INDIRECT("'数据-取费表'!k"&amp;$G$1)+INDIRECT("'数据-取费表'!s"&amp;$G$1)))</f>
        <v>32481.79</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650</v>
      </c>
      <c r="D19" s="957">
        <f ca="1">D9+D10</f>
        <v>32481.79</v>
      </c>
      <c r="E19" s="217">
        <f>'数据-取费表'!B31</f>
        <v>200</v>
      </c>
      <c r="F19" s="237"/>
      <c r="G19" s="2040"/>
    </row>
    <row r="20" spans="1:7" s="220" customFormat="1" ht="13.5" customHeight="1">
      <c r="A20" s="261" t="s">
        <v>2179</v>
      </c>
      <c r="B20" s="216" t="s">
        <v>2180</v>
      </c>
      <c r="C20" s="238">
        <f ca="1">ROUND((C5+C19)*F20,0)</f>
        <v>13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90</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3">
        <f ca="1">ROUND(IF('数据-取费表'!B22&lt;=1,C5*F22*'数据-取费表'!B23,C5*(POWER((1+F22),'数据-取费表'!B23)-1)),0)</f>
        <v>0</v>
      </c>
      <c r="D23" s="244"/>
      <c r="E23" s="244"/>
      <c r="F23" s="245"/>
      <c r="G23" s="246" t="s">
        <v>2190</v>
      </c>
    </row>
    <row r="24" spans="1:7" s="220" customFormat="1" ht="13.5" customHeight="1">
      <c r="A24" s="887" t="s">
        <v>2191</v>
      </c>
      <c r="B24" s="221" t="s">
        <v>2192</v>
      </c>
      <c r="C24" s="1263">
        <f ca="1">ROUND(IF('数据-取费表'!B22&lt;=1,C19*F22*('数据-取费表'!B19/2+'数据-取费表'!B21),C19*(POWER((1+F22),('数据-取费表'!B19/2+'数据-取费表'!B21))-1)),0)</f>
        <v>89</v>
      </c>
      <c r="D24" s="244"/>
      <c r="E24" s="244"/>
      <c r="F24" s="245"/>
      <c r="G24" s="246" t="s">
        <v>2193</v>
      </c>
    </row>
    <row r="25" spans="1:7" s="220" customFormat="1" ht="24">
      <c r="A25" s="887" t="s">
        <v>2194</v>
      </c>
      <c r="B25" s="221" t="s">
        <v>2195</v>
      </c>
      <c r="C25" s="1263">
        <f ca="1">ROUND(IF('数据-取费表'!B22&lt;=1,C20*F22*'数据-取费表'!B23/2,C20*(POWER((1+F22),'数据-取费表'!B23/2)-1)),0)</f>
        <v>1</v>
      </c>
      <c r="D25" s="244"/>
      <c r="E25" s="247"/>
      <c r="F25" s="245"/>
      <c r="G25" s="248" t="s">
        <v>2196</v>
      </c>
    </row>
    <row r="26" spans="1:7" s="220" customFormat="1">
      <c r="A26" s="887"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99</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99</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924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825</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167</v>
      </c>
      <c r="D34" s="223"/>
      <c r="E34" s="226"/>
      <c r="F34" s="263">
        <f ca="1">IF('数据-取费表'!B24=0,1,IF(B1="",'数据-取费表'!N16,INDIRECT("'数据-取费表'!n"&amp;$G$1)))</f>
        <v>1</v>
      </c>
      <c r="G34" s="225" t="s">
        <v>2212</v>
      </c>
    </row>
    <row r="35" spans="1:7" ht="13.5" customHeight="1">
      <c r="A35" s="887" t="s">
        <v>796</v>
      </c>
      <c r="B35" s="221" t="s">
        <v>2213</v>
      </c>
      <c r="C35" s="226">
        <f ca="1">ROUND(C34*F35,0)</f>
        <v>5</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650</v>
      </c>
      <c r="D37" s="223">
        <f ca="1">D19</f>
        <v>32481.79</v>
      </c>
      <c r="E37" s="255">
        <f>'数据-取费表'!B35</f>
        <v>200</v>
      </c>
      <c r="F37" s="265"/>
      <c r="G37" s="267" t="s">
        <v>2218</v>
      </c>
    </row>
    <row r="38" spans="1:7" ht="13.5" customHeight="1">
      <c r="A38" s="887"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17</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55</v>
      </c>
      <c r="D41" s="241">
        <f ca="1">C44</f>
        <v>1.2999999999999999E-3</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54</v>
      </c>
      <c r="D42" s="244"/>
      <c r="E42" s="244"/>
      <c r="F42" s="245"/>
      <c r="G42" s="3284" t="s">
        <v>2230</v>
      </c>
    </row>
    <row r="43" spans="1:7" ht="13.5" customHeight="1">
      <c r="A43" s="887" t="s">
        <v>792</v>
      </c>
      <c r="B43" s="221" t="s">
        <v>2231</v>
      </c>
      <c r="C43" s="244">
        <f ca="1">ROUND(IF('数据-取费表'!B22&lt;=1,C39*F22*'数据-取费表'!B21/2,C39*(POWER((1+F22),'数据-取费表'!B21/2)-1)),0)</f>
        <v>1</v>
      </c>
      <c r="D43" s="244"/>
      <c r="E43" s="244"/>
      <c r="F43" s="245"/>
      <c r="G43" s="3285"/>
    </row>
    <row r="44" spans="1:7" ht="13.5" customHeight="1">
      <c r="A44" s="887" t="s">
        <v>793</v>
      </c>
      <c r="B44" s="221" t="s">
        <v>2232</v>
      </c>
      <c r="C44" s="244">
        <f ca="1">ROUND(IF('数据-取费表'!B22&lt;=1,C40*F22*'数据-取费表'!B21/2,C40*(POWER((1+F22),'数据-取费表'!B21/2)-1)),4)</f>
        <v>1.2999999999999999E-3</v>
      </c>
      <c r="D44" s="244"/>
      <c r="E44" s="244"/>
      <c r="F44" s="245"/>
      <c r="G44" s="3286"/>
    </row>
    <row r="45" spans="1:7" s="220" customFormat="1" ht="13.5" customHeight="1">
      <c r="A45" s="261" t="s">
        <v>2233</v>
      </c>
      <c r="B45" s="250" t="s">
        <v>2199</v>
      </c>
      <c r="C45" s="251">
        <f ca="1">C46</f>
        <v>126</v>
      </c>
      <c r="D45" s="241">
        <f ca="1">C47</f>
        <v>3.0000000000000001E-3</v>
      </c>
      <c r="E45" s="242" t="s">
        <v>2225</v>
      </c>
      <c r="F45" s="2535">
        <f ca="1">F27</f>
        <v>0.15</v>
      </c>
      <c r="G45" s="253" t="s">
        <v>2234</v>
      </c>
    </row>
    <row r="46" spans="1:7" s="220" customFormat="1" ht="13.5" customHeight="1">
      <c r="A46" s="887" t="s">
        <v>791</v>
      </c>
      <c r="B46" s="254" t="s">
        <v>2235</v>
      </c>
      <c r="C46" s="255">
        <f ca="1">ROUND((C33+C39)*F27,0)</f>
        <v>126</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1109</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854</v>
      </c>
      <c r="D51" s="238"/>
      <c r="E51" s="238"/>
      <c r="F51" s="270"/>
      <c r="G51" s="240" t="s">
        <v>2246</v>
      </c>
    </row>
    <row r="52" spans="1:7" s="214" customFormat="1" ht="16.5" thickBot="1">
      <c r="A52" s="271" t="s">
        <v>2247</v>
      </c>
      <c r="B52" s="272"/>
      <c r="C52" s="273">
        <f ca="1">C31+C51</f>
        <v>1778</v>
      </c>
      <c r="D52" s="272"/>
      <c r="E52" s="272"/>
      <c r="F52" s="272"/>
      <c r="G52" s="274"/>
    </row>
    <row r="55" spans="1:7" ht="15">
      <c r="B55" s="276" t="s">
        <v>2248</v>
      </c>
      <c r="C55" s="277"/>
    </row>
    <row r="56" spans="1:7">
      <c r="B56" s="279" t="s">
        <v>1478</v>
      </c>
      <c r="C56" s="281">
        <f ca="1">1-C57</f>
        <v>0.52</v>
      </c>
    </row>
    <row r="57" spans="1:7">
      <c r="B57" s="279" t="s">
        <v>1479</v>
      </c>
      <c r="C57" s="280">
        <f ca="1">ROUND(C51/C52,3)</f>
        <v>0.48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5" t="str">
        <f>项目基本情况!B1</f>
        <v>北京市房地产抵押价值预评估</v>
      </c>
      <c r="C37" s="3095"/>
      <c r="D37" s="3095"/>
      <c r="E37" s="3095"/>
      <c r="F37" s="3095"/>
      <c r="G37" s="3095"/>
      <c r="H37" s="3095"/>
      <c r="I37" s="3095"/>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5" sqref="K2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t="s">
        <v>3114</v>
      </c>
      <c r="C1" s="2043" t="s">
        <v>2249</v>
      </c>
      <c r="D1" s="204"/>
      <c r="E1" s="204"/>
      <c r="F1" s="204"/>
      <c r="G1" s="1286">
        <f>MATCH(B1,'数据-取费表'!A6:A16,0)+5</f>
        <v>6</v>
      </c>
      <c r="H1" s="1190" t="str">
        <f>IF(ISERROR(FIND("住宅",B1)),"非住宅","住宅")</f>
        <v>非住宅</v>
      </c>
    </row>
    <row r="2" spans="1:8" s="206" customFormat="1" ht="18" customHeight="1">
      <c r="A2" s="207" t="s">
        <v>2148</v>
      </c>
      <c r="B2" s="208">
        <f ca="1">ROUND(IF(D2="——",C52/10000,C52/10000-E2),0)</f>
        <v>1483</v>
      </c>
      <c r="C2" s="205" t="s">
        <v>2149</v>
      </c>
      <c r="D2" s="2037" t="s">
        <v>70</v>
      </c>
      <c r="E2" s="1329"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33664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9095702</v>
      </c>
      <c r="D5" s="217" t="s">
        <v>2155</v>
      </c>
      <c r="E5" s="218" t="s">
        <v>2156</v>
      </c>
      <c r="F5" s="218" t="s">
        <v>2157</v>
      </c>
      <c r="G5" s="219"/>
    </row>
    <row r="6" spans="1:8" s="220" customFormat="1" ht="13.5" customHeight="1">
      <c r="A6" s="885" t="s">
        <v>2158</v>
      </c>
      <c r="B6" s="221" t="s">
        <v>2159</v>
      </c>
      <c r="C6" s="222">
        <f>ROUND(基准地价修正!D29*基准地价修正!C29,0)</f>
        <v>8740996</v>
      </c>
      <c r="D6" s="223"/>
      <c r="E6" s="224"/>
      <c r="F6" s="224"/>
      <c r="G6" s="225"/>
    </row>
    <row r="7" spans="1:8" s="220" customFormat="1" ht="13.5" customHeight="1">
      <c r="A7" s="885" t="s">
        <v>2160</v>
      </c>
      <c r="B7" s="221" t="s">
        <v>2161</v>
      </c>
      <c r="C7" s="226">
        <f>ROUND(C6*F7,0)</f>
        <v>266600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88106</v>
      </c>
      <c r="D8" s="228"/>
      <c r="E8" s="226"/>
      <c r="F8" s="227"/>
      <c r="G8" s="2040" t="s">
        <v>3187</v>
      </c>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2166</v>
      </c>
      <c r="C10" s="231">
        <f ca="1">ROUND(D10*E10,0)</f>
        <v>88106</v>
      </c>
      <c r="D10" s="953">
        <f ca="1">IF(B1="",'数据-汇总表'!E6,IF(INDIRECT("'数据-取费表'!c"&amp;$G$1)="住宅",INDIRECT("'数据-取费表'!s"&amp;$G$1),INDIRECT("'数据-取费表'!k"&amp;$G$1)+INDIRECT("'数据-取费表'!s"&amp;$G$1)))</f>
        <v>440.53</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t="str">
        <f>IF(G19="已包含在土地取得成本中","0",ROUND(D19*E19,0))</f>
        <v>0</v>
      </c>
      <c r="D19" s="957">
        <f ca="1">D9+D10</f>
        <v>440.53</v>
      </c>
      <c r="E19" s="217">
        <f>'数据-取费表'!B31</f>
        <v>200</v>
      </c>
      <c r="F19" s="237"/>
      <c r="G19" s="2040" t="s">
        <v>3188</v>
      </c>
    </row>
    <row r="20" spans="1:7" s="220" customFormat="1" ht="13.5" customHeight="1">
      <c r="A20" s="261" t="s">
        <v>2260</v>
      </c>
      <c r="B20" s="216" t="s">
        <v>2261</v>
      </c>
      <c r="C20" s="238">
        <f ca="1">ROUND((C5+C19)*F20,0)</f>
        <v>181914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1251370</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8">
        <f ca="1">ROUND(IF('数据-取费表'!B22&lt;=1,C5*F22*'数据-取费表'!B22,C5*(POWER((1+F22),'数据-取费表'!B22)-1)),0)</f>
        <v>1239372</v>
      </c>
      <c r="D23" s="244"/>
      <c r="E23" s="244"/>
      <c r="F23" s="245"/>
      <c r="G23" s="246" t="s">
        <v>2270</v>
      </c>
    </row>
    <row r="24" spans="1:7" s="220" customFormat="1" ht="13.5" customHeight="1">
      <c r="A24" s="887" t="s">
        <v>2160</v>
      </c>
      <c r="B24" s="221" t="s">
        <v>2271</v>
      </c>
      <c r="C24" s="1288">
        <f ca="1">ROUND(IF('数据-取费表'!B22&lt;=1,C19*F22*('数据-取费表'!B19/2+'数据-取费表'!B20),C19*(POWER((1+F22),('数据-取费表'!B19/2+'数据-取费表'!B20))-1)),0)</f>
        <v>0</v>
      </c>
      <c r="D24" s="244"/>
      <c r="E24" s="244"/>
      <c r="F24" s="245"/>
      <c r="G24" s="246" t="s">
        <v>2272</v>
      </c>
    </row>
    <row r="25" spans="1:7" s="220" customFormat="1" ht="24">
      <c r="A25" s="887" t="s">
        <v>2162</v>
      </c>
      <c r="B25" s="221" t="s">
        <v>2273</v>
      </c>
      <c r="C25" s="1288">
        <f ca="1">ROUND(IF('数据-取费表'!B22&lt;=1,C20*F22*'数据-取费表'!B22/2,C20*(POWER((1+F22),'数据-取费表'!B22/2)-1)),0)</f>
        <v>11998</v>
      </c>
      <c r="D25" s="244"/>
      <c r="E25" s="247"/>
      <c r="F25" s="245"/>
      <c r="G25" s="248" t="s">
        <v>2274</v>
      </c>
    </row>
    <row r="26" spans="1:7" s="220" customFormat="1">
      <c r="A26" s="887"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1391642</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1391642</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12923491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1837450</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1674014</v>
      </c>
      <c r="D34" s="223"/>
      <c r="E34" s="226"/>
      <c r="F34" s="263"/>
      <c r="G34" s="225"/>
    </row>
    <row r="35" spans="1:7" ht="13.5" customHeight="1">
      <c r="A35" s="887" t="s">
        <v>796</v>
      </c>
      <c r="B35" s="221" t="s">
        <v>2213</v>
      </c>
      <c r="C35" s="226">
        <f ca="1">ROUND(C34*F35,0)</f>
        <v>50220</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88106</v>
      </c>
      <c r="D37" s="223">
        <f ca="1">D19</f>
        <v>440.53</v>
      </c>
      <c r="E37" s="255">
        <f>'数据-取费表'!B35</f>
        <v>200</v>
      </c>
      <c r="F37" s="265"/>
      <c r="G37" s="267"/>
    </row>
    <row r="38" spans="1:7" ht="13.5" customHeight="1">
      <c r="A38" s="887" t="s">
        <v>799</v>
      </c>
      <c r="B38" s="221" t="s">
        <v>2219</v>
      </c>
      <c r="C38" s="226">
        <f ca="1">ROUND(C34*F38,0)</f>
        <v>25110</v>
      </c>
      <c r="D38" s="226"/>
      <c r="E38" s="226"/>
      <c r="F38" s="265">
        <f>'数据-取费表'!B36</f>
        <v>1.4999999999999999E-2</v>
      </c>
      <c r="G38" s="225" t="s">
        <v>2214</v>
      </c>
    </row>
    <row r="39" spans="1:7" s="220" customFormat="1" ht="13.5" customHeight="1">
      <c r="A39" s="261" t="s">
        <v>2220</v>
      </c>
      <c r="B39" s="216" t="s">
        <v>2221</v>
      </c>
      <c r="C39" s="238">
        <f ca="1">ROUND(C33*F20,0)</f>
        <v>36749</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123612</v>
      </c>
      <c r="D41" s="241">
        <f ca="1">C44</f>
        <v>1.2999999999999999E-3</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121188</v>
      </c>
      <c r="D42" s="244"/>
      <c r="E42" s="244"/>
      <c r="F42" s="245"/>
      <c r="G42" s="3284" t="s">
        <v>2277</v>
      </c>
    </row>
    <row r="43" spans="1:7" ht="13.5" customHeight="1">
      <c r="A43" s="887" t="s">
        <v>792</v>
      </c>
      <c r="B43" s="221" t="s">
        <v>2231</v>
      </c>
      <c r="C43" s="244">
        <f ca="1">ROUND(IF('数据-取费表'!B22&lt;=1,C39*F22*'数据-取费表'!B20/2,C39*(POWER((1+F22),'数据-取费表'!B20/2)-1)),0)</f>
        <v>2424</v>
      </c>
      <c r="D43" s="244"/>
      <c r="E43" s="244"/>
      <c r="F43" s="245"/>
      <c r="G43" s="3285"/>
    </row>
    <row r="44" spans="1:7" ht="13.5" customHeight="1">
      <c r="A44" s="887" t="s">
        <v>793</v>
      </c>
      <c r="B44" s="221" t="s">
        <v>2232</v>
      </c>
      <c r="C44" s="244">
        <f ca="1">ROUND(IF('数据-取费表'!B22&lt;=1,C40*F22*'数据-取费表'!B20/2,C40*(POWER((1+F22),'数据-取费表'!B20/2)-1)),4)</f>
        <v>1.2999999999999999E-3</v>
      </c>
      <c r="D44" s="244"/>
      <c r="E44" s="244"/>
      <c r="F44" s="245"/>
      <c r="G44" s="3286"/>
    </row>
    <row r="45" spans="1:7" s="220" customFormat="1" ht="13.5" customHeight="1">
      <c r="A45" s="261" t="s">
        <v>2233</v>
      </c>
      <c r="B45" s="250" t="s">
        <v>2199</v>
      </c>
      <c r="C45" s="251">
        <f ca="1">C46</f>
        <v>281130</v>
      </c>
      <c r="D45" s="241">
        <f ca="1">C47</f>
        <v>3.0000000000000001E-3</v>
      </c>
      <c r="E45" s="242" t="s">
        <v>2225</v>
      </c>
      <c r="F45" s="2535">
        <f ca="1">F27</f>
        <v>0.15</v>
      </c>
      <c r="G45" s="253" t="s">
        <v>2234</v>
      </c>
    </row>
    <row r="46" spans="1:7" s="220" customFormat="1" ht="13.5" customHeight="1">
      <c r="A46" s="887" t="s">
        <v>791</v>
      </c>
      <c r="B46" s="254" t="s">
        <v>2235</v>
      </c>
      <c r="C46" s="255">
        <f ca="1">ROUND((C33+C39)*F27,0)</f>
        <v>281130</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2470665</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1902412</v>
      </c>
      <c r="D51" s="238"/>
      <c r="E51" s="238"/>
      <c r="F51" s="270"/>
      <c r="G51" s="240" t="s">
        <v>2246</v>
      </c>
    </row>
    <row r="52" spans="1:7" s="214" customFormat="1" ht="16.5" thickBot="1">
      <c r="A52" s="271" t="s">
        <v>2247</v>
      </c>
      <c r="B52" s="272"/>
      <c r="C52" s="273">
        <f ca="1">C31+C51</f>
        <v>14825903</v>
      </c>
      <c r="D52" s="272"/>
      <c r="E52" s="272"/>
      <c r="F52" s="272"/>
      <c r="G52" s="274"/>
    </row>
    <row r="55" spans="1:7" ht="15">
      <c r="B55" s="276" t="s">
        <v>2248</v>
      </c>
      <c r="C55" s="277"/>
    </row>
    <row r="56" spans="1:7">
      <c r="B56" s="279" t="s">
        <v>1478</v>
      </c>
      <c r="C56" s="281">
        <f ca="1">1-C57</f>
        <v>0.872</v>
      </c>
    </row>
    <row r="57" spans="1:7">
      <c r="B57" s="279" t="s">
        <v>1479</v>
      </c>
      <c r="C57" s="280">
        <f ca="1">ROUND(C51/C52,3)</f>
        <v>0.128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1"/>
      <c r="C1" s="1352"/>
      <c r="D1" s="1350"/>
      <c r="E1" s="3035"/>
      <c r="F1" s="3035"/>
      <c r="G1" s="2898"/>
      <c r="H1" s="3035"/>
      <c r="I1" s="3035"/>
      <c r="J1" s="3035"/>
      <c r="K1" s="3036">
        <f>MATCH(C1,'数据-取费表'!A6:A16,0)+5</f>
        <v>8</v>
      </c>
    </row>
    <row r="2" spans="1:33" ht="18" customHeight="1">
      <c r="A2" s="207" t="s">
        <v>2148</v>
      </c>
      <c r="B2" s="210">
        <f ca="1">C32</f>
        <v>-741</v>
      </c>
      <c r="C2" s="282" t="s">
        <v>2281</v>
      </c>
      <c r="D2" s="282"/>
      <c r="E2" s="3035"/>
      <c r="F2" s="3035"/>
      <c r="G2" s="3035"/>
      <c r="H2" s="3035"/>
      <c r="I2" s="3035"/>
      <c r="J2" s="3035"/>
      <c r="K2" s="3035"/>
    </row>
    <row r="3" spans="1:33" ht="18" customHeight="1" thickBot="1">
      <c r="A3" s="209" t="s">
        <v>2150</v>
      </c>
      <c r="B3" s="210">
        <f ca="1">ROUND(B2*10000/IF(C1="",'数据-汇总表'!E3,INDIRECT("'数据-取费表'!K"&amp;$K$1)),0)</f>
        <v>-228</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32481.79</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32481.79</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650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650</v>
      </c>
      <c r="D20" s="954">
        <f ca="1">IF(C1="",'数据-汇总表'!E6,IF(INDIRECT("'数据-取费表'!c"&amp;$K$1)="住宅",INDIRECT("'数据-取费表'!s"&amp;$K$1),INDIRECT("'数据-取费表'!k"&amp;$K$1)+INDIRECT("'数据-取费表'!s"&amp;$K$1)))</f>
        <v>32481.79</v>
      </c>
      <c r="E20" s="24">
        <f>'数据-取费表'!B28</f>
        <v>200</v>
      </c>
      <c r="F20" s="912"/>
      <c r="G20" s="15"/>
      <c r="H20" s="917"/>
      <c r="I20" s="917"/>
      <c r="J20" s="917"/>
      <c r="K20" s="918"/>
    </row>
    <row r="21" spans="1:33" s="911" customFormat="1" ht="13.5" customHeight="1">
      <c r="A21" s="897" t="s">
        <v>802</v>
      </c>
      <c r="B21" s="921" t="s">
        <v>2317</v>
      </c>
      <c r="C21" s="922">
        <f ca="1">C16+C17+C18</f>
        <v>650</v>
      </c>
      <c r="D21" s="923"/>
      <c r="E21" s="287"/>
      <c r="F21" s="287"/>
      <c r="G21" s="136" t="s">
        <v>2318</v>
      </c>
      <c r="H21" s="915"/>
      <c r="I21" s="915"/>
      <c r="J21" s="915"/>
      <c r="K21" s="916"/>
    </row>
    <row r="22" spans="1:33" s="911" customFormat="1" ht="13.5" customHeight="1">
      <c r="A22" s="897" t="s">
        <v>2290</v>
      </c>
      <c r="B22" s="921" t="s">
        <v>2319</v>
      </c>
      <c r="C22" s="922">
        <f ca="1">ROUND(C21*F22,0)</f>
        <v>13</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99</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99</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-741</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1">
        <f ca="1">J53</f>
        <v>0</v>
      </c>
      <c r="G1" s="1560">
        <f>MATCH(C1,'数据-取费表'!A6:A16,0)+5</f>
        <v>8</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0</v>
      </c>
      <c r="D5" s="1546" t="s">
        <v>1367</v>
      </c>
      <c r="E5" s="1201"/>
      <c r="F5" s="1202"/>
      <c r="G5" s="1566"/>
      <c r="H5" s="305">
        <v>1</v>
      </c>
      <c r="I5" s="306" t="s">
        <v>1366</v>
      </c>
      <c r="J5" s="1200">
        <f ca="1">J6+J10+J12</f>
        <v>0</v>
      </c>
      <c r="K5" s="1546" t="s">
        <v>1367</v>
      </c>
      <c r="L5" s="1201"/>
      <c r="M5" s="1202"/>
    </row>
    <row r="6" spans="1:37" ht="18" customHeight="1">
      <c r="A6" s="1199" t="s">
        <v>1003</v>
      </c>
      <c r="B6" s="3289" t="s">
        <v>1368</v>
      </c>
      <c r="C6" s="1204">
        <f ca="1">ROUND(F6*F8*F7*(1-F9)/10000,0)</f>
        <v>0</v>
      </c>
      <c r="D6" s="160" t="s">
        <v>2849</v>
      </c>
      <c r="E6" s="308" t="s">
        <v>1370</v>
      </c>
      <c r="F6" s="309">
        <f ca="1">INDIRECT("'数据-取费表'!u"&amp;$G$1)</f>
        <v>0</v>
      </c>
      <c r="G6" s="1566"/>
      <c r="H6" s="1199" t="s">
        <v>1003</v>
      </c>
      <c r="I6" s="3289" t="s">
        <v>1368</v>
      </c>
      <c r="J6" s="307">
        <f ca="1">ROUND(M6*M8*M7*(1-M9)/10000,0)</f>
        <v>0</v>
      </c>
      <c r="K6" s="160" t="s">
        <v>2848</v>
      </c>
      <c r="L6" s="308" t="s">
        <v>1370</v>
      </c>
      <c r="M6" s="309">
        <f ca="1">INDIRECT("'数据-取费表'!z"&amp;$G$1)</f>
        <v>0</v>
      </c>
    </row>
    <row r="7" spans="1:37" ht="18" customHeight="1">
      <c r="A7" s="1203"/>
      <c r="B7" s="3290"/>
      <c r="C7" s="1205"/>
      <c r="D7" s="313"/>
      <c r="E7" s="1206" t="s">
        <v>1371</v>
      </c>
      <c r="F7" s="309">
        <f ca="1">IF(INDIRECT("'数据-取费表'!ah"&amp;$G$1)="",INDIRECT("'数据-取费表'!k"&amp;$G$1),INDIRECT("'数据-取费表'!ah"&amp;$G$1))</f>
        <v>0</v>
      </c>
      <c r="G7" s="1566"/>
      <c r="H7" s="310"/>
      <c r="I7" s="3290"/>
      <c r="J7" s="312"/>
      <c r="K7" s="313"/>
      <c r="L7" s="308" t="s">
        <v>1371</v>
      </c>
      <c r="M7" s="309">
        <f ca="1">F7</f>
        <v>0</v>
      </c>
    </row>
    <row r="8" spans="1:37" ht="18" customHeight="1">
      <c r="A8" s="310"/>
      <c r="B8" s="3290"/>
      <c r="C8" s="312"/>
      <c r="D8" s="313"/>
      <c r="E8" s="308" t="s">
        <v>1372</v>
      </c>
      <c r="F8" s="309">
        <f ca="1">INDIRECT("'数据-取费表'!ai"&amp;$G$1)</f>
        <v>0</v>
      </c>
      <c r="G8" s="1566"/>
      <c r="H8" s="310"/>
      <c r="I8" s="3290"/>
      <c r="J8" s="312"/>
      <c r="K8" s="313"/>
      <c r="L8" s="308" t="s">
        <v>1372</v>
      </c>
      <c r="M8" s="309">
        <f ca="1">INDIRECT("'数据-取费表'!ai"&amp;$G$1)</f>
        <v>0</v>
      </c>
    </row>
    <row r="9" spans="1:37" ht="18" customHeight="1">
      <c r="A9" s="310"/>
      <c r="B9" s="3291"/>
      <c r="C9" s="312"/>
      <c r="D9" s="313"/>
      <c r="E9" s="308" t="s">
        <v>1373</v>
      </c>
      <c r="F9" s="318">
        <f ca="1">INDIRECT("'数据-取费表'!w"&amp;$G$1)</f>
        <v>0</v>
      </c>
      <c r="G9" s="1566"/>
      <c r="H9" s="310"/>
      <c r="I9" s="3291"/>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2857</v>
      </c>
      <c r="E10" s="319" t="s">
        <v>1375</v>
      </c>
      <c r="F10" s="1274"/>
      <c r="G10" s="1566"/>
      <c r="H10" s="1199" t="s">
        <v>1007</v>
      </c>
      <c r="I10" s="1547" t="s">
        <v>1374</v>
      </c>
      <c r="J10" s="307">
        <f ca="1">ROUND(IF(M10="押一",J6/12*M11,IF(M10="押二",J6/12*2*M11,IF(M10="押三",J6/12*3*M11,J11*M11))),0)</f>
        <v>0</v>
      </c>
      <c r="K10" s="1548" t="s">
        <v>2856</v>
      </c>
      <c r="L10" s="319" t="s">
        <v>1375</v>
      </c>
      <c r="M10" s="1274" t="s">
        <v>1376</v>
      </c>
    </row>
    <row r="11" spans="1:37" ht="18" customHeight="1">
      <c r="A11" s="314"/>
      <c r="B11" s="1549" t="s">
        <v>1353</v>
      </c>
      <c r="C11" s="1089"/>
      <c r="D11" s="1550"/>
      <c r="E11" s="319" t="s">
        <v>1377</v>
      </c>
      <c r="F11" s="320">
        <f ca="1">'数据-取费表'!B39</f>
        <v>1.4999999999999999E-2</v>
      </c>
      <c r="G11" s="1566"/>
      <c r="H11" s="1207"/>
      <c r="I11" s="1549" t="s">
        <v>1353</v>
      </c>
      <c r="J11" s="1089"/>
      <c r="K11" s="692"/>
      <c r="L11" s="319"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0</v>
      </c>
      <c r="K16" s="1245" t="s">
        <v>1390</v>
      </c>
      <c r="L16" s="1246"/>
      <c r="M16" s="1202"/>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8"/>
      <c r="H24" s="1247" t="s">
        <v>1358</v>
      </c>
      <c r="I24" s="1248" t="s">
        <v>1404</v>
      </c>
      <c r="J24" s="1249">
        <f ca="1">ROUND(J5*M24,1)</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7" t="s">
        <v>999</v>
      </c>
      <c r="I25" s="1252" t="s">
        <v>1428</v>
      </c>
      <c r="J25" s="316">
        <f ca="1">J5-J16</f>
        <v>0</v>
      </c>
      <c r="K25" s="1253" t="s">
        <v>1429</v>
      </c>
      <c r="L25" s="1254"/>
      <c r="M25" s="1255"/>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0</v>
      </c>
      <c r="D30" s="1245" t="s">
        <v>1390</v>
      </c>
      <c r="E30" s="1246"/>
      <c r="F30" s="1202"/>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199"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1"/>
      <c r="B35" s="1259"/>
      <c r="C35" s="29"/>
      <c r="D35" s="333"/>
      <c r="E35" s="308" t="s">
        <v>1412</v>
      </c>
      <c r="F35" s="309">
        <f ca="1">INDIRECT("'数据-取费表'!r"&amp;$G$1)</f>
        <v>0</v>
      </c>
      <c r="G35" s="1566"/>
      <c r="H35" s="2924"/>
      <c r="I35" s="1580"/>
      <c r="J35" s="1581"/>
      <c r="K35" s="2928"/>
      <c r="L35" s="2927"/>
      <c r="M35" s="2927"/>
    </row>
    <row r="36" spans="1:18" ht="18" customHeight="1">
      <c r="A36" s="1260"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6">
        <f ca="1">C5-C30</f>
        <v>0</v>
      </c>
      <c r="D39" s="1253" t="s">
        <v>1449</v>
      </c>
      <c r="E39" s="1254"/>
      <c r="F39" s="1255"/>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8"/>
      <c r="L41" s="1351"/>
      <c r="M41" s="1351"/>
    </row>
    <row r="42" spans="1:18" ht="18" customHeight="1">
      <c r="A42" s="314"/>
      <c r="B42" s="315"/>
      <c r="C42" s="316"/>
      <c r="D42" s="333"/>
      <c r="E42" s="308" t="s">
        <v>1442</v>
      </c>
      <c r="F42" s="318">
        <f ca="1">INDIRECT("'数据-取费表'!v"&amp;$G$1)</f>
        <v>0</v>
      </c>
      <c r="G42" s="1566"/>
      <c r="H42" s="1351"/>
      <c r="I42" s="1580"/>
      <c r="J42" s="1581"/>
      <c r="K42" s="2768"/>
      <c r="L42" s="1351"/>
      <c r="M42" s="1351"/>
    </row>
    <row r="43" spans="1:18" ht="18" customHeight="1" thickBot="1">
      <c r="A43" s="340" t="s">
        <v>1001</v>
      </c>
      <c r="B43" s="341" t="s">
        <v>1452</v>
      </c>
      <c r="C43" s="342" t="e">
        <f ca="1">ROUND(C40*10000/F43,0)</f>
        <v>#DIV/0!</v>
      </c>
      <c r="D43" s="343" t="s">
        <v>1453</v>
      </c>
      <c r="E43" s="344" t="s">
        <v>1454</v>
      </c>
      <c r="F43" s="345">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5" t="s">
        <v>1363</v>
      </c>
      <c r="D47" s="1108" t="s">
        <v>1364</v>
      </c>
      <c r="E47" s="1187" t="s">
        <v>1365</v>
      </c>
      <c r="F47" s="1188"/>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6"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ROUND(F49*F51*F50*(1-F52)/10000,0)</f>
        <v>0</v>
      </c>
      <c r="D49" s="1184" t="s">
        <v>2850</v>
      </c>
      <c r="E49" s="1554" t="s">
        <v>1456</v>
      </c>
      <c r="F49" s="1189"/>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6"/>
      <c r="D50" s="1083"/>
      <c r="E50" s="1185" t="s">
        <v>1371</v>
      </c>
      <c r="F50" s="1186">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3"/>
      <c r="I52" s="1619" t="s">
        <v>1508</v>
      </c>
      <c r="J52" s="1620"/>
      <c r="K52" s="1619" t="s">
        <v>1509</v>
      </c>
      <c r="L52" s="1620"/>
      <c r="O52" s="1610" t="s">
        <v>1013</v>
      </c>
      <c r="P52" s="1601" t="s">
        <v>1510</v>
      </c>
      <c r="Q52" s="1602">
        <f ca="1">J53</f>
        <v>0</v>
      </c>
      <c r="R52" s="1602" t="s">
        <v>1511</v>
      </c>
    </row>
    <row r="53" spans="1:18" s="1566" customFormat="1" ht="24.75" thickBot="1">
      <c r="A53" s="1312" t="s">
        <v>1105</v>
      </c>
      <c r="B53" s="1555" t="s">
        <v>1374</v>
      </c>
      <c r="C53" s="322">
        <f ca="1">ROUND(IF(F53="押一",C49/12*F11,IF(F53="押二",C49/12*2*F11,IF(F53="押三",C49/12*3*F11,C54*F11))),0)</f>
        <v>0</v>
      </c>
      <c r="D53" s="1548" t="s">
        <v>2856</v>
      </c>
      <c r="E53" s="319" t="s">
        <v>1375</v>
      </c>
      <c r="F53" s="1274"/>
      <c r="I53" s="1621" t="s">
        <v>1512</v>
      </c>
      <c r="J53" s="2384">
        <f ca="1">IF(M47="住宅",IF(D1="——",MAX(J51,L48),MAX(J51,L48-'数据-取费表'!B24)),IF(D1="——",MIN(J51,L48),MIN(J51,L48-'数据-取费表'!B24)))</f>
        <v>0</v>
      </c>
      <c r="K53" s="3287" t="s">
        <v>1513</v>
      </c>
      <c r="L53" s="3288"/>
      <c r="O53" s="1600" t="s">
        <v>1014</v>
      </c>
      <c r="P53" s="1601" t="s">
        <v>1514</v>
      </c>
      <c r="Q53" s="1602" t="e">
        <f ca="1">Q47+Q48</f>
        <v>#DIV/0!</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3"/>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66" sqref="F6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2625</v>
      </c>
      <c r="B1" s="203"/>
      <c r="C1" s="207" t="s">
        <v>2626</v>
      </c>
      <c r="D1" s="348">
        <f>SUM(D29:D30,D33:D39)</f>
        <v>440.53</v>
      </c>
      <c r="E1" s="2179"/>
      <c r="F1" s="2179"/>
      <c r="G1" s="2179"/>
      <c r="H1" s="2179"/>
      <c r="I1" s="2179"/>
      <c r="J1" s="2179"/>
      <c r="K1" s="1278"/>
      <c r="L1" s="2180" t="s">
        <v>2627</v>
      </c>
      <c r="M1" s="993">
        <f>SUMPRODUCT((区片价!B5:B9=I2)*(区片价!C3:F3=E2)*(区片价!C5:F9))</f>
        <v>0</v>
      </c>
      <c r="N1" s="996">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f>C26</f>
        <v>874</v>
      </c>
      <c r="C2" s="2183" t="s">
        <v>2634</v>
      </c>
      <c r="D2" s="2184" t="s">
        <v>2635</v>
      </c>
      <c r="E2" s="2185" t="s">
        <v>27</v>
      </c>
      <c r="F2" s="2184" t="s">
        <v>2636</v>
      </c>
      <c r="G2" s="2186" t="str">
        <f>IF(E2="商业",项目基本情况!B37,IF(E2="办公",项目基本情况!C37,IF(E2="住宅",项目基本情况!D37,项目基本情况!E37)))</f>
        <v>二级</v>
      </c>
      <c r="H2" s="2184" t="s">
        <v>2637</v>
      </c>
      <c r="I2" s="2186" t="str">
        <f>IF(E2="商业",项目基本情况!B38,IF(E2="办公",项目基本情况!C38,IF(E2="住宅",项目基本情况!D38,项目基本情况!E38)))</f>
        <v>Ⅱ—17</v>
      </c>
      <c r="J2" s="2187"/>
      <c r="K2" s="1278"/>
      <c r="L2" s="2188" t="s">
        <v>2638</v>
      </c>
      <c r="M2" s="994">
        <f>SUMPRODUCT((区片价!B10:B28=I2)*(区片价!C3:F3=E2)*(区片价!C10:F28))</f>
        <v>23900</v>
      </c>
      <c r="N2" s="996">
        <f>SUMPRODUCT((因素修正幅度!B10:B28=I2)*(因素修正幅度!C3:F3=E2)*(因素修正幅度!C10:F28))</f>
        <v>9.6000000000000002E-2</v>
      </c>
      <c r="O2" s="1278"/>
      <c r="P2" s="1278"/>
      <c r="Q2" s="1278"/>
      <c r="R2" s="1372">
        <v>1</v>
      </c>
      <c r="S2" s="1372">
        <f>ROUND(IF(G3&gt;1,IF(R2&lt;7,SUMPRODUCT((B93:B98=R2)*(C92:N92=G2)*(C93:N98)),SUMIF(C92:N92,G2,C100:N100)),IF(R2&lt;7,SUMPRODUCT((B102:B107=R2)*(C92:N92=G2)*(C102:N107)),SUMIF(C92:N92,G2,C109:N109))),4)</f>
        <v>1.9361999999999999</v>
      </c>
      <c r="T2" s="1372">
        <f>ROUND($C$5*$C$18*$C$19*$C$20*S2*$C$24,0)</f>
        <v>54772</v>
      </c>
      <c r="U2" s="1373"/>
      <c r="V2" s="1372">
        <f>ROUND(T2*U2/10000,0)</f>
        <v>0</v>
      </c>
      <c r="W2" s="1376"/>
      <c r="X2" s="1376"/>
      <c r="Y2" s="1376"/>
      <c r="Z2" s="1376"/>
      <c r="AA2" s="1376"/>
      <c r="AB2" s="1376"/>
      <c r="AC2" s="1377"/>
      <c r="AD2" s="1378"/>
      <c r="AE2" s="1378"/>
      <c r="AF2" s="1378"/>
      <c r="AG2" s="1378"/>
      <c r="AH2" s="1378"/>
      <c r="AI2" s="1378"/>
      <c r="AJ2" s="1379"/>
    </row>
    <row r="3" spans="1:36" ht="25.5">
      <c r="A3" s="209" t="s">
        <v>2639</v>
      </c>
      <c r="B3" s="210">
        <f>ROUND(B2*10000/D1,0)</f>
        <v>19840</v>
      </c>
      <c r="C3" s="2183" t="s">
        <v>2640</v>
      </c>
      <c r="D3" s="2184" t="s">
        <v>2641</v>
      </c>
      <c r="E3" s="2189" t="s">
        <v>3156</v>
      </c>
      <c r="F3" s="2190" t="s">
        <v>2642</v>
      </c>
      <c r="G3" s="854">
        <f>IF(F3="宗地容积率",'数据-汇总表'!I4,IF(F3="估价对象容积率",'数据-汇总表'!I6,'数据-汇总表'!I7))</f>
        <v>20.63</v>
      </c>
      <c r="H3" s="175" t="s">
        <v>2643</v>
      </c>
      <c r="I3" s="880"/>
      <c r="J3" s="2187" t="s">
        <v>2644</v>
      </c>
      <c r="K3" s="1278"/>
      <c r="L3" s="2188" t="s">
        <v>2645</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1.4198</v>
      </c>
      <c r="T3" s="1372">
        <f t="shared" ref="T3:T16" si="0">ROUND($C$5*$C$18*$C$19*$C$20*S3*$C$24,0)</f>
        <v>40164</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311"/>
      <c r="B4" s="3312"/>
      <c r="C4" s="3312"/>
      <c r="D4" s="3313"/>
      <c r="E4" s="3313"/>
      <c r="F4" s="3313"/>
      <c r="G4" s="3313"/>
      <c r="H4" s="3313"/>
      <c r="I4" s="3313"/>
      <c r="J4" s="3314"/>
      <c r="K4" s="1278"/>
      <c r="L4" s="2188" t="s">
        <v>2646</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1.1594</v>
      </c>
      <c r="T4" s="1372">
        <f t="shared" si="0"/>
        <v>32798</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f>ROUND(IF(E2="商业",C6*C7+C16,(IF(E2="住宅",C6*C12+C16,C6+C16))),0)</f>
        <v>23883</v>
      </c>
      <c r="D5" s="1521">
        <f>ROUND(C6+C16,0)</f>
        <v>23883</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0.96220000000000006</v>
      </c>
      <c r="T5" s="1372">
        <f t="shared" si="0"/>
        <v>27219</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23900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0.8417</v>
      </c>
      <c r="T6" s="1372">
        <f t="shared" si="0"/>
        <v>23810</v>
      </c>
      <c r="U6" s="1373"/>
      <c r="V6" s="1372">
        <f t="shared" si="1"/>
        <v>0</v>
      </c>
      <c r="W6" s="1376"/>
      <c r="X6" s="1376"/>
      <c r="Y6" s="1376"/>
      <c r="Z6" s="1376"/>
      <c r="AA6" s="1376"/>
      <c r="AB6" s="1376"/>
      <c r="AC6" s="2197"/>
      <c r="AD6" s="2198"/>
      <c r="AE6" s="2198"/>
      <c r="AF6" s="2198"/>
      <c r="AG6" s="2198"/>
      <c r="AH6" s="2198"/>
      <c r="AI6" s="2198"/>
      <c r="AJ6" s="2199"/>
    </row>
    <row r="7" spans="1:36" ht="24">
      <c r="A7" s="3292"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0.76080000000000003</v>
      </c>
      <c r="T7" s="1372">
        <f t="shared" si="0"/>
        <v>21522</v>
      </c>
      <c r="U7" s="1373"/>
      <c r="V7" s="1372">
        <f t="shared" si="1"/>
        <v>0</v>
      </c>
      <c r="W7" s="1540" t="s">
        <v>2656</v>
      </c>
      <c r="X7" s="1374" t="str">
        <f>G2</f>
        <v>二级</v>
      </c>
      <c r="Y7" s="1374" t="s">
        <v>2657</v>
      </c>
      <c r="Z7" s="1375">
        <f>G3</f>
        <v>20.63</v>
      </c>
      <c r="AA7" s="1376"/>
      <c r="AB7" s="1376"/>
      <c r="AC7" s="1377"/>
      <c r="AD7" s="1378"/>
      <c r="AE7" s="1378"/>
      <c r="AF7" s="1378"/>
      <c r="AG7" s="1378"/>
      <c r="AH7" s="1378"/>
      <c r="AI7" s="1378"/>
      <c r="AJ7" s="1379"/>
    </row>
    <row r="8" spans="1:36" ht="15">
      <c r="A8" s="3315"/>
      <c r="B8" s="175" t="s">
        <v>2658</v>
      </c>
      <c r="C8" s="2212"/>
      <c r="D8" s="858" t="s">
        <v>139</v>
      </c>
      <c r="E8" s="859" t="e">
        <f>ROUND(C11/E7,4)</f>
        <v>#DIV/0!</v>
      </c>
      <c r="F8" s="2213" t="s">
        <v>2659</v>
      </c>
      <c r="G8" s="2214"/>
      <c r="H8" s="2214"/>
      <c r="I8" s="2214"/>
      <c r="J8" s="2215"/>
      <c r="K8" s="1278"/>
      <c r="L8" s="2188"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f t="shared" si="0"/>
        <v>0</v>
      </c>
      <c r="U8" s="1373"/>
      <c r="V8" s="1372">
        <f t="shared" si="1"/>
        <v>0</v>
      </c>
      <c r="W8" s="3308" t="s">
        <v>2661</v>
      </c>
      <c r="X8" s="3309"/>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15"/>
      <c r="B9" s="175" t="s">
        <v>2674</v>
      </c>
      <c r="C9" s="860">
        <f>SUMIF(修正!C59:C119,C8,修正!E59:E119)</f>
        <v>0</v>
      </c>
      <c r="D9" s="176" t="s">
        <v>140</v>
      </c>
      <c r="E9" s="176" t="e">
        <f>ROUND(C11/E7,4)</f>
        <v>#DIV/0!</v>
      </c>
      <c r="F9" s="2213" t="s">
        <v>2675</v>
      </c>
      <c r="G9" s="2214"/>
      <c r="H9" s="2214"/>
      <c r="I9" s="2214"/>
      <c r="J9" s="2215"/>
      <c r="K9" s="1278"/>
      <c r="L9" s="2188"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f t="shared" si="0"/>
        <v>0</v>
      </c>
      <c r="U9" s="1373"/>
      <c r="V9" s="1372">
        <f t="shared" si="1"/>
        <v>0</v>
      </c>
      <c r="W9" s="3310"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15"/>
      <c r="B10" s="175" t="s">
        <v>2679</v>
      </c>
      <c r="C10" s="176">
        <f>SUMIF(修正!C59:C119,C8,修正!F59:F119)</f>
        <v>0</v>
      </c>
      <c r="D10" s="176" t="s">
        <v>141</v>
      </c>
      <c r="E10" s="176" t="e">
        <f>ROUND(C11/E7,4)</f>
        <v>#DIV/0!</v>
      </c>
      <c r="F10" s="2213" t="s">
        <v>2680</v>
      </c>
      <c r="G10" s="2214"/>
      <c r="H10" s="2214"/>
      <c r="I10" s="2214"/>
      <c r="J10" s="2215"/>
      <c r="K10" s="1278"/>
      <c r="L10" s="2188" t="s">
        <v>2681</v>
      </c>
      <c r="M10" s="994">
        <f>SUMPRODUCT((区片价!B290:B316=I2)*(区片价!C3:F3=E2)*(区片价!C290:F316))</f>
        <v>0</v>
      </c>
      <c r="N10" s="996">
        <f>SUMPRODUCT((因素修正幅度!B290:B316=I2)*(因素修正幅度!C3:F3=E2)*(因素修正幅度!C290:F316))</f>
        <v>0</v>
      </c>
      <c r="O10" s="1278"/>
      <c r="P10" s="1278"/>
      <c r="Q10" s="1278"/>
      <c r="R10" s="1372">
        <v>9</v>
      </c>
      <c r="S10" s="1373"/>
      <c r="T10" s="1372">
        <f t="shared" si="0"/>
        <v>0</v>
      </c>
      <c r="U10" s="1373"/>
      <c r="V10" s="1372">
        <f t="shared" si="1"/>
        <v>0</v>
      </c>
      <c r="W10" s="3310"/>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15"/>
      <c r="B11" s="2216" t="s">
        <v>2682</v>
      </c>
      <c r="C11" s="861">
        <f>C10/4</f>
        <v>0</v>
      </c>
      <c r="D11" s="861" t="s">
        <v>142</v>
      </c>
      <c r="E11" s="861" t="e">
        <f>ROUND(C11/E7,4)</f>
        <v>#DIV/0!</v>
      </c>
      <c r="F11" s="2217" t="s">
        <v>2683</v>
      </c>
      <c r="G11" s="2218"/>
      <c r="H11" s="2218"/>
      <c r="I11" s="2218"/>
      <c r="J11" s="2219"/>
      <c r="K11" s="1278"/>
      <c r="L11" s="2188"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f t="shared" si="0"/>
        <v>0</v>
      </c>
      <c r="U11" s="1373"/>
      <c r="V11" s="1372">
        <f t="shared" si="1"/>
        <v>0</v>
      </c>
      <c r="W11" s="3310" t="s">
        <v>2685</v>
      </c>
      <c r="X11" s="1384" t="s">
        <v>2686</v>
      </c>
      <c r="Y11" s="1385">
        <f>$G$3</f>
        <v>20.63</v>
      </c>
      <c r="Z11" s="1385">
        <f t="shared" ref="Z11:AJ11" si="3">$G$3</f>
        <v>20.63</v>
      </c>
      <c r="AA11" s="1385">
        <f t="shared" si="3"/>
        <v>20.63</v>
      </c>
      <c r="AB11" s="1385">
        <f t="shared" si="3"/>
        <v>20.63</v>
      </c>
      <c r="AC11" s="1385">
        <f t="shared" si="3"/>
        <v>20.63</v>
      </c>
      <c r="AD11" s="1385">
        <f t="shared" si="3"/>
        <v>20.63</v>
      </c>
      <c r="AE11" s="1385">
        <f t="shared" si="3"/>
        <v>20.63</v>
      </c>
      <c r="AF11" s="1385">
        <f t="shared" si="3"/>
        <v>20.63</v>
      </c>
      <c r="AG11" s="1385">
        <f t="shared" si="3"/>
        <v>20.63</v>
      </c>
      <c r="AH11" s="1385">
        <f t="shared" si="3"/>
        <v>20.63</v>
      </c>
      <c r="AI11" s="1385">
        <f t="shared" si="3"/>
        <v>20.63</v>
      </c>
      <c r="AJ11" s="1385">
        <f t="shared" si="3"/>
        <v>20.63</v>
      </c>
    </row>
    <row r="12" spans="1:36" ht="25.5" thickBot="1">
      <c r="A12" s="3292" t="s">
        <v>2687</v>
      </c>
      <c r="B12" s="2220" t="s">
        <v>2688</v>
      </c>
      <c r="C12" s="857">
        <f>ROUND(C15*D15*E15*F15*G15*H15*I15*J15,4)</f>
        <v>1</v>
      </c>
      <c r="D12" s="2221" t="s">
        <v>2689</v>
      </c>
      <c r="E12" s="2222"/>
      <c r="F12" s="2222"/>
      <c r="G12" s="2223"/>
      <c r="H12" s="2223"/>
      <c r="I12" s="2223"/>
      <c r="J12" s="2224"/>
      <c r="K12" s="1278"/>
      <c r="L12" s="2225"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f t="shared" si="0"/>
        <v>0</v>
      </c>
      <c r="U12" s="1373"/>
      <c r="V12" s="1372">
        <f t="shared" si="1"/>
        <v>0</v>
      </c>
      <c r="W12" s="3310"/>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16"/>
      <c r="B13" s="2226" t="s">
        <v>2692</v>
      </c>
      <c r="C13" s="2227" t="s">
        <v>2693</v>
      </c>
      <c r="D13" s="1532" t="s">
        <v>2694</v>
      </c>
      <c r="E13" s="1532" t="s">
        <v>2695</v>
      </c>
      <c r="F13" s="30" t="s">
        <v>2696</v>
      </c>
      <c r="G13" s="2228" t="s">
        <v>2697</v>
      </c>
      <c r="H13" s="2228" t="s">
        <v>2697</v>
      </c>
      <c r="I13" s="2228" t="s">
        <v>2697</v>
      </c>
      <c r="J13" s="2229" t="s">
        <v>2697</v>
      </c>
      <c r="K13" s="1278"/>
      <c r="L13" s="1278"/>
      <c r="M13" s="1278"/>
      <c r="N13" s="1278"/>
      <c r="O13" s="1278"/>
      <c r="P13" s="1278"/>
      <c r="Q13" s="1278"/>
      <c r="R13" s="1372">
        <v>12</v>
      </c>
      <c r="S13" s="1373"/>
      <c r="T13" s="1372">
        <f t="shared" si="0"/>
        <v>0</v>
      </c>
      <c r="U13" s="1373"/>
      <c r="V13" s="1372">
        <f t="shared" si="1"/>
        <v>0</v>
      </c>
      <c r="W13" s="3310"/>
      <c r="X13" s="1386"/>
      <c r="Y13" s="1383">
        <f>(-0.163*(Y12^2)-0.59*Y12+7617)*(10^(-4))/Y11</f>
        <v>3.6921958313136216E-2</v>
      </c>
      <c r="Z13" s="1383">
        <f t="shared" ref="Z13:AJ13" si="5">(-0.163*(Z12^2)-0.59*Z12+7617)*(10^(-4))/Z11</f>
        <v>3.6921958313136216E-2</v>
      </c>
      <c r="AA13" s="1383">
        <f t="shared" si="5"/>
        <v>3.6921958313136216E-2</v>
      </c>
      <c r="AB13" s="1383">
        <f t="shared" si="5"/>
        <v>3.6921958313136216E-2</v>
      </c>
      <c r="AC13" s="1383">
        <f t="shared" si="5"/>
        <v>3.6921958313136216E-2</v>
      </c>
      <c r="AD13" s="1383">
        <f t="shared" si="5"/>
        <v>3.6921958313136216E-2</v>
      </c>
      <c r="AE13" s="1383">
        <f t="shared" si="5"/>
        <v>3.6921958313136216E-2</v>
      </c>
      <c r="AF13" s="1383">
        <f t="shared" si="5"/>
        <v>3.6921958313136216E-2</v>
      </c>
      <c r="AG13" s="1383">
        <f t="shared" si="5"/>
        <v>3.6921958313136216E-2</v>
      </c>
      <c r="AH13" s="1383">
        <f t="shared" si="5"/>
        <v>3.6921958313136216E-2</v>
      </c>
      <c r="AI13" s="1383">
        <f t="shared" si="5"/>
        <v>3.6921958313136216E-2</v>
      </c>
      <c r="AJ13" s="1383">
        <f t="shared" si="5"/>
        <v>3.6921958313136216E-2</v>
      </c>
    </row>
    <row r="14" spans="1:36" ht="15">
      <c r="A14" s="3316"/>
      <c r="B14" s="2230"/>
      <c r="C14" s="2231"/>
      <c r="D14" s="2232"/>
      <c r="E14" s="2232"/>
      <c r="F14" s="2233"/>
      <c r="G14" s="2234" t="s">
        <v>2698</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8"/>
      <c r="AE14" s="3018"/>
      <c r="AF14" s="3018"/>
      <c r="AG14" s="3018"/>
      <c r="AH14" s="3018"/>
      <c r="AI14" s="3018"/>
      <c r="AJ14" s="3019"/>
    </row>
    <row r="15" spans="1:36" ht="15.75" thickBot="1">
      <c r="A15" s="3317"/>
      <c r="B15" s="2238" t="s">
        <v>2699</v>
      </c>
      <c r="C15" s="193">
        <f>IF(C14="有",1.1,1)</f>
        <v>1</v>
      </c>
      <c r="D15" s="193">
        <f>IF(D14="有",1.1,1)</f>
        <v>1</v>
      </c>
      <c r="E15" s="193">
        <f>IF(E14="有",1.1,1)</f>
        <v>1</v>
      </c>
      <c r="F15" s="193">
        <f>IF(F14="500米范围内",1.2,IF(F14="500-1000米",1.1,1))</f>
        <v>1</v>
      </c>
      <c r="G15" s="882">
        <v>1</v>
      </c>
      <c r="H15" s="882">
        <v>1</v>
      </c>
      <c r="I15" s="882">
        <v>1</v>
      </c>
      <c r="J15" s="883">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8"/>
      <c r="AE15" s="3018"/>
      <c r="AF15" s="3018"/>
      <c r="AG15" s="3018"/>
      <c r="AH15" s="3018"/>
      <c r="AI15" s="3018"/>
      <c r="AJ15" s="3019"/>
    </row>
    <row r="16" spans="1:36" ht="24.6" customHeight="1">
      <c r="A16" s="3292" t="s">
        <v>2704</v>
      </c>
      <c r="B16" s="2207" t="s">
        <v>2705</v>
      </c>
      <c r="C16" s="2369">
        <f>ROUND(IF(F17="与级别开发程度一致",0,(G17-E17)/C17),0)</f>
        <v>-17</v>
      </c>
      <c r="D16" s="3305" t="s">
        <v>2709</v>
      </c>
      <c r="E16" s="3306"/>
      <c r="F16" s="3305" t="s">
        <v>2706</v>
      </c>
      <c r="G16" s="3306"/>
      <c r="H16" s="2239" t="s">
        <v>3177</v>
      </c>
      <c r="I16" s="2239" t="s">
        <v>3178</v>
      </c>
      <c r="J16" s="2373" t="s">
        <v>3179</v>
      </c>
      <c r="K16" s="2239" t="s">
        <v>3180</v>
      </c>
      <c r="L16" s="2239" t="s">
        <v>3181</v>
      </c>
      <c r="M16" s="2239" t="s">
        <v>3182</v>
      </c>
      <c r="N16" s="2239" t="s">
        <v>3183</v>
      </c>
      <c r="O16" s="2240"/>
      <c r="P16" s="2181"/>
      <c r="Q16" s="1278"/>
      <c r="R16" s="1372">
        <v>15</v>
      </c>
      <c r="S16" s="1373"/>
      <c r="T16" s="1372">
        <f t="shared" si="0"/>
        <v>0</v>
      </c>
      <c r="U16" s="1373"/>
      <c r="V16" s="1372">
        <f t="shared" si="1"/>
        <v>0</v>
      </c>
      <c r="W16" s="1376"/>
      <c r="X16" s="1376"/>
      <c r="Y16" s="1376"/>
      <c r="Z16" s="1376"/>
      <c r="AA16" s="1376"/>
      <c r="AB16" s="1376"/>
      <c r="AC16" s="1377"/>
      <c r="AD16" s="3018"/>
      <c r="AE16" s="3018"/>
      <c r="AF16" s="3018"/>
      <c r="AG16" s="3018"/>
      <c r="AH16" s="3018"/>
      <c r="AI16" s="3018"/>
      <c r="AJ16" s="3019"/>
    </row>
    <row r="17" spans="1:37" ht="26.25" thickBot="1">
      <c r="A17" s="3293"/>
      <c r="B17" s="2380" t="s">
        <v>2708</v>
      </c>
      <c r="C17" s="2381">
        <f>SUMPRODUCT((修正!A2:A5=E2)*(修正!B1:M1=G2)*(修正!B2:M5))</f>
        <v>3.5</v>
      </c>
      <c r="D17" s="193" t="str">
        <f>IF(OR(G2="八级",G2="九级",G2="十级",G2="十一级",G2="十二级"),"五通一平","七通一平")</f>
        <v>七通一平</v>
      </c>
      <c r="E17" s="2370">
        <f>SUMPRODUCT((修正!B1:M1=G2)*(修正!B15:M15))</f>
        <v>375</v>
      </c>
      <c r="F17" s="2371" t="s">
        <v>3176</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2712</v>
      </c>
      <c r="C19" s="862">
        <f>ROUND(IF(H19="按公示增长率计算",SUMPRODUCT((地价!A3:A35=YEAR(G19)&amp;"-"&amp;ROUNDUP(MONTH(G19)/3,0))*(地价!X2:AB2=E2)*(地价!X3:AB35)),IF(H19="地价指数",M20/M19,(1+I19)^O19)),4)</f>
        <v>1.3588</v>
      </c>
      <c r="D19" s="2249" t="s">
        <v>2713</v>
      </c>
      <c r="E19" s="863">
        <v>41640</v>
      </c>
      <c r="F19" s="2249" t="s">
        <v>2714</v>
      </c>
      <c r="G19" s="864">
        <f>'数据-取费表'!B2</f>
        <v>44411</v>
      </c>
      <c r="H19" s="2250" t="s">
        <v>3175</v>
      </c>
      <c r="I19" s="865" t="str">
        <f>IF(H19="季度增幅（自定义）",SUMIF(N21:N24,E2,O21:O24),"")</f>
        <v/>
      </c>
      <c r="J19" s="2247"/>
      <c r="K19" s="1285"/>
      <c r="L19" s="2251" t="s">
        <v>2715</v>
      </c>
      <c r="M19" s="1494">
        <f>ROUND(SUMIF(地价!B2:F2,E2,地价!B35:F35),0)</f>
        <v>258</v>
      </c>
      <c r="N19" s="2252" t="s">
        <v>2716</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7">
        <f>ROUND(POWER(1+G20,J20-I20)*(POWER(1+G20,I20)-1)/(POWER(1+G20,J20)-1),4)</f>
        <v>0.82940000000000003</v>
      </c>
      <c r="D20" s="2256" t="s">
        <v>2718</v>
      </c>
      <c r="E20" s="1503">
        <f>存贷款利率!E18/100</f>
        <v>4.3499999999999997E-2</v>
      </c>
      <c r="F20" s="2256" t="s">
        <v>2710</v>
      </c>
      <c r="G20" s="872">
        <f>SUMIF(M26:P26,E2,M28:P28)</f>
        <v>5.1999999999999998E-2</v>
      </c>
      <c r="H20" s="2256" t="s">
        <v>2719</v>
      </c>
      <c r="I20" s="873">
        <f>SUMIF('数据-取费表'!C6:C15,E2,'数据-取费表'!F6:F15)/COUNTIF('数据-取费表'!C6:C15,E2)</f>
        <v>28.45</v>
      </c>
      <c r="J20" s="874">
        <f>IF(E2="住宅",70,IF(E2="商业",40,50))</f>
        <v>50</v>
      </c>
      <c r="K20" s="1285"/>
      <c r="L20" s="2257" t="s">
        <v>2720</v>
      </c>
      <c r="M20" s="1495">
        <f>ROUND(SUMPRODUCT((地价!A4:A35=YEAR(G19)&amp;"-"&amp;ROUNDUP(MONTH(G19)/3,0))*(地价!B2:F2=E2)*(地价!B4:F35)),0)</f>
        <v>350</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3174</v>
      </c>
      <c r="C21" s="875">
        <f>IF(B21="容积率修正",IF(G3&lt;=10,D22,J22),C23)</f>
        <v>0.70140000000000002</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t="str">
        <f>IF(E22=G22,F22,IF(G3&lt;=10,ROUND(F22+(H22-F22)*(G3-E22)/(G22-E22),4),"——"))</f>
        <v>——</v>
      </c>
      <c r="E22" s="854">
        <f>ROUNDDOWN(G3,1)</f>
        <v>20.6</v>
      </c>
      <c r="F22" s="153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4">
        <f>ROUNDUP(G3,1)</f>
        <v>20.700000000000003</v>
      </c>
      <c r="H22" s="153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4" t="s">
        <v>155</v>
      </c>
      <c r="J22" s="876">
        <f>IF(G3&gt;10,D113,"——")</f>
        <v>0.70140000000000002</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2">
        <f>SUMIF(A45:A88,E2,B45:B88)</f>
        <v>1.0509999999999999</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8"/>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f>IF(B21="容积率修正",E29+SUM(E33:E39),SUM(V2:V16)+SUM(E33:E39))</f>
        <v>874</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9">
        <f>E30+SUM(I33:I39)</f>
        <v>0</v>
      </c>
      <c r="D27" s="2283"/>
      <c r="E27" s="2284"/>
      <c r="F27" s="2285"/>
      <c r="G27" s="2284"/>
      <c r="H27" s="2284"/>
      <c r="I27" s="2284"/>
      <c r="J27" s="2286"/>
      <c r="K27" s="1278"/>
      <c r="L27" s="2241"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2710</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80">
        <f>ROUND(C5*C18*C19*C20*C21*C24,0)</f>
        <v>19842</v>
      </c>
      <c r="D29" s="2294">
        <f>典型户型修正!B24</f>
        <v>440.53</v>
      </c>
      <c r="E29" s="878">
        <f>ROUND(C29*D29/10000,0)</f>
        <v>874</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3">
        <f>ROUND(IF(E2="工业",C29*M39,C29*M38),0)</f>
        <v>4961</v>
      </c>
      <c r="D30" s="2300"/>
      <c r="E30" s="878">
        <f>ROUND(C30*D30/10000,0)</f>
        <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02"/>
      <c r="B33" s="2310" t="s">
        <v>2750</v>
      </c>
      <c r="C33" s="180">
        <f>ROUND(D5*C19*C20*C24*F33,0)</f>
        <v>22631</v>
      </c>
      <c r="D33" s="2294"/>
      <c r="E33" s="176">
        <f>ROUND(C33*D33/10000,0)</f>
        <v>0</v>
      </c>
      <c r="F33" s="176">
        <f>SUMIF(修正!A45:A56,G2,修正!B45:B56)</f>
        <v>0.8</v>
      </c>
      <c r="G33" s="176">
        <f t="shared" ref="G33" si="6">ROUND(IF(E2="工业",C33*$M$39,C33*$M$38),0)</f>
        <v>5658</v>
      </c>
      <c r="H33" s="176">
        <f>D33</f>
        <v>0</v>
      </c>
      <c r="I33" s="176">
        <f>ROUND(G33*H33/10000,0)</f>
        <v>0</v>
      </c>
      <c r="J33" s="3307"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03"/>
      <c r="B34" s="2227" t="s">
        <v>2751</v>
      </c>
      <c r="C34" s="180">
        <f>ROUND(D5*C19*C20*C24*F34,0)</f>
        <v>14144</v>
      </c>
      <c r="D34" s="2294"/>
      <c r="E34" s="176">
        <f t="shared" ref="E34:E39" si="7">ROUND(C34*D34/10000,0)</f>
        <v>0</v>
      </c>
      <c r="F34" s="176">
        <f>SUMIF(修正!A45:A56,G2,修正!C45:C56)</f>
        <v>0.5</v>
      </c>
      <c r="G34" s="176">
        <f>ROUND(IF(E2="工业",C34*$M$39,C34*$M$38),0)</f>
        <v>3536</v>
      </c>
      <c r="H34" s="176">
        <f t="shared" ref="H34:H39" si="8">D34</f>
        <v>0</v>
      </c>
      <c r="I34" s="176">
        <f t="shared" ref="I34:I39" si="9">ROUND(G34*H34/10000,0)</f>
        <v>0</v>
      </c>
      <c r="J34" s="330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03"/>
      <c r="B35" s="2227" t="s">
        <v>2752</v>
      </c>
      <c r="C35" s="180">
        <f>ROUND(D5*C19*C20*C24*F35,0)</f>
        <v>10184</v>
      </c>
      <c r="D35" s="2294"/>
      <c r="E35" s="176">
        <f t="shared" si="7"/>
        <v>0</v>
      </c>
      <c r="F35" s="176">
        <f>SUMIF(修正!A45:A56,G2,修正!D45:D56)</f>
        <v>0.36</v>
      </c>
      <c r="G35" s="176">
        <f>ROUND(IF(E2="工业",C35*$M$39,C35*$M$38),0)</f>
        <v>2546</v>
      </c>
      <c r="H35" s="176">
        <f t="shared" si="8"/>
        <v>0</v>
      </c>
      <c r="I35" s="176">
        <f t="shared" si="9"/>
        <v>0</v>
      </c>
      <c r="J35" s="330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04"/>
      <c r="B36" s="2227" t="s">
        <v>2753</v>
      </c>
      <c r="C36" s="180">
        <f>ROUND(D5*C19*C20*C24*F36,0)</f>
        <v>8487</v>
      </c>
      <c r="D36" s="2294"/>
      <c r="E36" s="176">
        <f t="shared" si="7"/>
        <v>0</v>
      </c>
      <c r="F36" s="176">
        <f>SUMIF(修正!A45:A56,G2,修正!E45:E56)</f>
        <v>0.3</v>
      </c>
      <c r="G36" s="176">
        <f>ROUND(IF(E2="工业",C36*$M$39,C36*$M$38),0)</f>
        <v>2122</v>
      </c>
      <c r="H36" s="176">
        <f t="shared" si="8"/>
        <v>0</v>
      </c>
      <c r="I36" s="176">
        <f t="shared" si="9"/>
        <v>0</v>
      </c>
      <c r="J36" s="3304"/>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6">
        <f>ROUND(D5*C19*C20*C24*F37,0)</f>
        <v>8487</v>
      </c>
      <c r="D37" s="2294"/>
      <c r="E37" s="176">
        <f t="shared" si="7"/>
        <v>0</v>
      </c>
      <c r="F37" s="180">
        <f>SUMIF(修正!A45:A56,G2,修正!F45:F56)</f>
        <v>0.3</v>
      </c>
      <c r="G37" s="176">
        <f>ROUND(IF(E2="工业",C37*$M$39,C37*$M$38),0)</f>
        <v>2122</v>
      </c>
      <c r="H37" s="176">
        <f t="shared" si="8"/>
        <v>0</v>
      </c>
      <c r="I37" s="176">
        <f t="shared" si="9"/>
        <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6">
        <f>ROUND(D5*C19*C41*C24*F38,0)</f>
        <v>0</v>
      </c>
      <c r="D38" s="2294"/>
      <c r="E38" s="176">
        <f t="shared" si="7"/>
        <v>0</v>
      </c>
      <c r="F38" s="180">
        <f>SUMIF(修正!A45:A56,G2,修正!G45:G56)</f>
        <v>0.3</v>
      </c>
      <c r="G38" s="176">
        <f>ROUND(IF(E2="工业",C38*$M$39,C38*$M$38),0)</f>
        <v>0</v>
      </c>
      <c r="H38" s="176">
        <f t="shared" si="8"/>
        <v>0</v>
      </c>
      <c r="I38" s="176">
        <f t="shared" si="9"/>
        <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3">
        <f>ROUND(D5*C19*C41*C24*F39,0)</f>
        <v>0</v>
      </c>
      <c r="D39" s="2300"/>
      <c r="E39" s="193">
        <f t="shared" si="7"/>
        <v>0</v>
      </c>
      <c r="F39" s="870">
        <f>SUMIF(修正!A45:A56,G2,修正!H45:H56)</f>
        <v>0.25</v>
      </c>
      <c r="G39" s="193">
        <f>ROUND(IF(E2="工业",C39*$M$39,C39*$M$38),0)</f>
        <v>0</v>
      </c>
      <c r="H39" s="193">
        <f t="shared" si="8"/>
        <v>0</v>
      </c>
      <c r="I39" s="193">
        <f t="shared" si="9"/>
        <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2862</v>
      </c>
      <c r="C41" s="348">
        <f>ROUND(POWER(1+E41,H41-G41)*(POWER(1+E41,G41)-1)/(POWER(1+E41,H41)-1),4)</f>
        <v>0</v>
      </c>
      <c r="D41" s="176" t="s">
        <v>2710</v>
      </c>
      <c r="E41" s="2367">
        <f>G20</f>
        <v>5.1999999999999998E-2</v>
      </c>
      <c r="F41" s="176" t="s">
        <v>2719</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2760</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38.25">
      <c r="A48" s="2327" t="s">
        <v>2769</v>
      </c>
      <c r="B48" s="2330" t="str">
        <f>估价对象房地状况!C4</f>
        <v>估价对象位于XX商圈，周边商业氛围成熟，人流量大，商业繁华度好</v>
      </c>
      <c r="C48" s="2232"/>
      <c r="D48" s="1194">
        <f t="shared" ref="D48:D56" si="10">SUMIF($J$47:$N$47,C48,J48:N48)</f>
        <v>0</v>
      </c>
      <c r="E48" s="759">
        <f>ROUND(SUM(D48:D56),4)</f>
        <v>0</v>
      </c>
      <c r="F48" s="199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2770</v>
      </c>
      <c r="B49" s="2331" t="str">
        <f>估价对象房地状况!C18</f>
        <v>估价对象周边道路状况、公共交通通达情况、停车便捷程度，综合评价交通便捷度较好</v>
      </c>
      <c r="C49" s="2232"/>
      <c r="D49" s="1194">
        <f t="shared" si="10"/>
        <v>0</v>
      </c>
      <c r="E49" s="760"/>
      <c r="F49" s="1998"/>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2771</v>
      </c>
      <c r="B50" s="2331">
        <f>估价对象房地状况!C19</f>
        <v>0</v>
      </c>
      <c r="C50" s="2232"/>
      <c r="D50" s="1194">
        <f t="shared" si="10"/>
        <v>0</v>
      </c>
      <c r="E50" s="760"/>
      <c r="F50" s="1998"/>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2772</v>
      </c>
      <c r="B51" s="2332" t="s">
        <v>2773</v>
      </c>
      <c r="C51" s="2232"/>
      <c r="D51" s="1194">
        <f t="shared" si="10"/>
        <v>0</v>
      </c>
      <c r="E51" s="760"/>
      <c r="F51" s="1998"/>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2774</v>
      </c>
      <c r="B52" s="2331">
        <f>估价对象房地状况!C24</f>
        <v>0</v>
      </c>
      <c r="C52" s="2232"/>
      <c r="D52" s="1194">
        <f t="shared" si="10"/>
        <v>0</v>
      </c>
      <c r="E52" s="760"/>
      <c r="F52" s="1998"/>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2775</v>
      </c>
      <c r="B53" s="2333" t="s">
        <v>2776</v>
      </c>
      <c r="C53" s="2232"/>
      <c r="D53" s="1194">
        <f t="shared" si="10"/>
        <v>0</v>
      </c>
      <c r="E53" s="760"/>
      <c r="F53" s="1998"/>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2777</v>
      </c>
      <c r="B54" s="1492" t="str">
        <f>估价对象房地状况!C21</f>
        <v>估价对象所在区域公共配套设施齐备情况</v>
      </c>
      <c r="C54" s="2232"/>
      <c r="D54" s="1194">
        <f t="shared" si="10"/>
        <v>0</v>
      </c>
      <c r="E54" s="760"/>
      <c r="F54" s="1998"/>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2778</v>
      </c>
      <c r="B55" s="2331" t="str">
        <f>估价对象房地状况!C22</f>
        <v>估价对象所在区域基础设施水平</v>
      </c>
      <c r="C55" s="2232"/>
      <c r="D55" s="1194">
        <f t="shared" si="10"/>
        <v>0</v>
      </c>
      <c r="E55" s="760"/>
      <c r="F55" s="1998"/>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2779</v>
      </c>
      <c r="B56" s="2336" t="str">
        <f>估价对象房地状况!C20</f>
        <v>区域自然环境：；人文环境；综合评价环境状况一般</v>
      </c>
      <c r="C56" s="2232"/>
      <c r="D56" s="1194">
        <f t="shared" si="10"/>
        <v>0</v>
      </c>
      <c r="E56" s="763"/>
      <c r="F56" s="1998"/>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2780</v>
      </c>
      <c r="B57" s="2324">
        <f>1+E59</f>
        <v>1.0509999999999999</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7" t="s">
        <v>2782</v>
      </c>
      <c r="B59" s="2330" t="str">
        <f>估价对象房地状况!C17</f>
        <v>估价对象位于XX商圈，周边办公楼项目较多，入驻率高，办公集聚程度较好</v>
      </c>
      <c r="C59" s="2232" t="s">
        <v>3185</v>
      </c>
      <c r="D59" s="1194">
        <f t="shared" ref="D59:D67" si="15">SUMIF($J$58:$N$58,C59,J59:N59)</f>
        <v>1.15E-2</v>
      </c>
      <c r="E59" s="759">
        <f>ROUND(SUM(D59:D67),4)</f>
        <v>5.0999999999999997E-2</v>
      </c>
      <c r="F59" s="1998">
        <f>IF(E2="办公",SUMIF(L1:L12,G2,N1:N12),"——")</f>
        <v>9.6000000000000002E-2</v>
      </c>
      <c r="G59" s="1192">
        <f>H59</f>
        <v>1.15E-2</v>
      </c>
      <c r="H59" s="1196">
        <f t="shared" ref="H59:H67" si="16">IFERROR(ROUNDDOWN($F$59*I59/2,4),"——")</f>
        <v>1.15E-2</v>
      </c>
      <c r="I59" s="758">
        <v>0.24</v>
      </c>
      <c r="J59" s="1193">
        <f t="shared" ref="J59:J67" si="17">K59+$G59</f>
        <v>2.3E-2</v>
      </c>
      <c r="K59" s="1193">
        <f t="shared" ref="K59:K67" si="18">$L59+$G59</f>
        <v>1.15E-2</v>
      </c>
      <c r="L59" s="1193">
        <v>0</v>
      </c>
      <c r="M59" s="1193">
        <f t="shared" ref="M59:N67" si="19">L59-$G59</f>
        <v>-1.15E-2</v>
      </c>
      <c r="N59" s="1193">
        <f t="shared" si="19"/>
        <v>-2.3E-2</v>
      </c>
      <c r="AA59" s="1279"/>
      <c r="AB59" s="1279"/>
      <c r="AC59" s="1279"/>
      <c r="AD59" s="1279"/>
      <c r="AE59" s="1279"/>
      <c r="AF59" s="1279"/>
      <c r="AG59" s="1279"/>
      <c r="AH59" s="1279"/>
      <c r="AI59" s="1279"/>
      <c r="AJ59" s="1279"/>
      <c r="AK59" s="1279"/>
    </row>
    <row r="60" spans="1:37" s="1278" customFormat="1" ht="51">
      <c r="A60" s="2327" t="s">
        <v>2770</v>
      </c>
      <c r="B60" s="2331" t="str">
        <f>估价对象房地状况!C18</f>
        <v>估价对象周边道路状况、公共交通通达情况、停车便捷程度，综合评价交通便捷度较好</v>
      </c>
      <c r="C60" s="2232" t="s">
        <v>3185</v>
      </c>
      <c r="D60" s="1194">
        <f t="shared" si="15"/>
        <v>1.44E-2</v>
      </c>
      <c r="E60" s="760"/>
      <c r="F60" s="1998"/>
      <c r="G60" s="1192">
        <f t="shared" ref="G60:G67" si="20">H60</f>
        <v>1.44E-2</v>
      </c>
      <c r="H60" s="1196">
        <f t="shared" si="16"/>
        <v>1.44E-2</v>
      </c>
      <c r="I60" s="758">
        <v>0.3</v>
      </c>
      <c r="J60" s="1193">
        <f t="shared" si="17"/>
        <v>2.8799999999999999E-2</v>
      </c>
      <c r="K60" s="1193">
        <f t="shared" si="18"/>
        <v>1.44E-2</v>
      </c>
      <c r="L60" s="1193">
        <v>0</v>
      </c>
      <c r="M60" s="1193">
        <f t="shared" si="19"/>
        <v>-1.44E-2</v>
      </c>
      <c r="N60" s="1193">
        <f t="shared" si="19"/>
        <v>-2.8799999999999999E-2</v>
      </c>
      <c r="AA60" s="1279"/>
      <c r="AB60" s="1279"/>
      <c r="AC60" s="1279"/>
      <c r="AD60" s="1279"/>
      <c r="AE60" s="1279"/>
      <c r="AF60" s="1279"/>
      <c r="AG60" s="1279"/>
      <c r="AH60" s="1279"/>
      <c r="AI60" s="1279"/>
      <c r="AJ60" s="1279"/>
      <c r="AK60" s="1279"/>
    </row>
    <row r="61" spans="1:37" s="1278" customFormat="1" ht="24">
      <c r="A61" s="2327" t="s">
        <v>2771</v>
      </c>
      <c r="B61" s="2331">
        <f>估价对象房地状况!C19</f>
        <v>0</v>
      </c>
      <c r="C61" s="2232" t="s">
        <v>3185</v>
      </c>
      <c r="D61" s="1194">
        <f t="shared" si="15"/>
        <v>3.8E-3</v>
      </c>
      <c r="E61" s="760"/>
      <c r="F61" s="1998"/>
      <c r="G61" s="1192">
        <f t="shared" si="20"/>
        <v>3.8E-3</v>
      </c>
      <c r="H61" s="1196">
        <f t="shared" si="16"/>
        <v>3.8E-3</v>
      </c>
      <c r="I61" s="758">
        <v>0.08</v>
      </c>
      <c r="J61" s="1193">
        <f t="shared" si="17"/>
        <v>7.6E-3</v>
      </c>
      <c r="K61" s="1193">
        <f t="shared" si="18"/>
        <v>3.8E-3</v>
      </c>
      <c r="L61" s="1193">
        <v>0</v>
      </c>
      <c r="M61" s="1193">
        <f t="shared" si="19"/>
        <v>-3.8E-3</v>
      </c>
      <c r="N61" s="1193">
        <f t="shared" si="19"/>
        <v>-7.6E-3</v>
      </c>
      <c r="AA61" s="1279"/>
      <c r="AB61" s="1279"/>
      <c r="AC61" s="1279"/>
      <c r="AD61" s="1279"/>
      <c r="AE61" s="1279"/>
      <c r="AF61" s="1279"/>
      <c r="AG61" s="1279"/>
      <c r="AH61" s="1279"/>
      <c r="AI61" s="1279"/>
      <c r="AJ61" s="1279"/>
      <c r="AK61" s="1279"/>
    </row>
    <row r="62" spans="1:37" s="1278" customFormat="1" ht="36.75">
      <c r="A62" s="2327" t="s">
        <v>2772</v>
      </c>
      <c r="B62" s="2332" t="s">
        <v>2773</v>
      </c>
      <c r="C62" s="2232" t="s">
        <v>3185</v>
      </c>
      <c r="D62" s="1194">
        <f t="shared" si="15"/>
        <v>1.9E-3</v>
      </c>
      <c r="E62" s="760"/>
      <c r="F62" s="1998"/>
      <c r="G62" s="1192">
        <f t="shared" si="20"/>
        <v>1.9E-3</v>
      </c>
      <c r="H62" s="1196">
        <f t="shared" si="16"/>
        <v>1.9E-3</v>
      </c>
      <c r="I62" s="758">
        <v>0.04</v>
      </c>
      <c r="J62" s="1193">
        <f t="shared" si="17"/>
        <v>3.8E-3</v>
      </c>
      <c r="K62" s="1193">
        <f t="shared" si="18"/>
        <v>1.9E-3</v>
      </c>
      <c r="L62" s="1193">
        <v>0</v>
      </c>
      <c r="M62" s="1193">
        <f t="shared" si="19"/>
        <v>-1.9E-3</v>
      </c>
      <c r="N62" s="1193">
        <f t="shared" si="19"/>
        <v>-3.8E-3</v>
      </c>
      <c r="AA62" s="1279"/>
      <c r="AB62" s="1279"/>
      <c r="AC62" s="1279"/>
      <c r="AD62" s="1279"/>
      <c r="AE62" s="1279"/>
      <c r="AF62" s="1279"/>
      <c r="AG62" s="1279"/>
      <c r="AH62" s="1279"/>
      <c r="AI62" s="1279"/>
      <c r="AJ62" s="1279"/>
      <c r="AK62" s="1279"/>
    </row>
    <row r="63" spans="1:37" s="1278" customFormat="1" ht="24">
      <c r="A63" s="2327" t="s">
        <v>2774</v>
      </c>
      <c r="B63" s="2331">
        <f>估价对象房地状况!C24</f>
        <v>0</v>
      </c>
      <c r="C63" s="2232" t="s">
        <v>3184</v>
      </c>
      <c r="D63" s="1194">
        <f t="shared" si="15"/>
        <v>0</v>
      </c>
      <c r="E63" s="760"/>
      <c r="F63" s="1998"/>
      <c r="G63" s="1192">
        <f t="shared" si="20"/>
        <v>2.3999999999999998E-3</v>
      </c>
      <c r="H63" s="1196">
        <f t="shared" si="16"/>
        <v>2.3999999999999998E-3</v>
      </c>
      <c r="I63" s="758">
        <v>0.05</v>
      </c>
      <c r="J63" s="1193">
        <f t="shared" si="17"/>
        <v>4.7999999999999996E-3</v>
      </c>
      <c r="K63" s="1193">
        <f t="shared" si="18"/>
        <v>2.3999999999999998E-3</v>
      </c>
      <c r="L63" s="1193">
        <v>0</v>
      </c>
      <c r="M63" s="1193">
        <f t="shared" si="19"/>
        <v>-2.3999999999999998E-3</v>
      </c>
      <c r="N63" s="1193">
        <f t="shared" si="19"/>
        <v>-4.7999999999999996E-3</v>
      </c>
      <c r="AA63" s="1279"/>
      <c r="AB63" s="1279"/>
      <c r="AC63" s="1279"/>
      <c r="AD63" s="1279"/>
      <c r="AE63" s="1279"/>
      <c r="AF63" s="1279"/>
      <c r="AG63" s="1279"/>
      <c r="AH63" s="1279"/>
      <c r="AI63" s="1279"/>
      <c r="AJ63" s="1279"/>
      <c r="AK63" s="1279"/>
    </row>
    <row r="64" spans="1:37" s="1278" customFormat="1" ht="24">
      <c r="A64" s="2327" t="s">
        <v>2775</v>
      </c>
      <c r="B64" s="2333" t="s">
        <v>2776</v>
      </c>
      <c r="C64" s="2232" t="s">
        <v>3185</v>
      </c>
      <c r="D64" s="1194">
        <f t="shared" si="15"/>
        <v>2.3999999999999998E-3</v>
      </c>
      <c r="E64" s="760"/>
      <c r="F64" s="1998"/>
      <c r="G64" s="1192">
        <f t="shared" si="20"/>
        <v>2.3999999999999998E-3</v>
      </c>
      <c r="H64" s="1196">
        <f t="shared" si="16"/>
        <v>2.3999999999999998E-3</v>
      </c>
      <c r="I64" s="758">
        <v>0.05</v>
      </c>
      <c r="J64" s="1193">
        <f t="shared" si="17"/>
        <v>4.7999999999999996E-3</v>
      </c>
      <c r="K64" s="1193">
        <f t="shared" si="18"/>
        <v>2.3999999999999998E-3</v>
      </c>
      <c r="L64" s="1193">
        <v>0</v>
      </c>
      <c r="M64" s="1193">
        <f t="shared" si="19"/>
        <v>-2.3999999999999998E-3</v>
      </c>
      <c r="N64" s="1193">
        <f t="shared" si="19"/>
        <v>-4.7999999999999996E-3</v>
      </c>
      <c r="AA64" s="1279"/>
      <c r="AB64" s="1279"/>
      <c r="AC64" s="1279"/>
      <c r="AD64" s="1279"/>
      <c r="AE64" s="1279"/>
      <c r="AF64" s="1279"/>
      <c r="AG64" s="1279"/>
      <c r="AH64" s="1279"/>
      <c r="AI64" s="1279"/>
      <c r="AJ64" s="1279"/>
      <c r="AK64" s="1279"/>
    </row>
    <row r="65" spans="1:37" s="1278" customFormat="1" ht="25.5">
      <c r="A65" s="2327" t="s">
        <v>2777</v>
      </c>
      <c r="B65" s="1492" t="str">
        <f>估价对象房地状况!C21</f>
        <v>估价对象所在区域公共配套设施齐备情况</v>
      </c>
      <c r="C65" s="2232" t="s">
        <v>3185</v>
      </c>
      <c r="D65" s="1194">
        <f t="shared" si="15"/>
        <v>2.8E-3</v>
      </c>
      <c r="E65" s="760"/>
      <c r="F65" s="1998"/>
      <c r="G65" s="1192">
        <f t="shared" si="20"/>
        <v>2.8E-3</v>
      </c>
      <c r="H65" s="1196">
        <f t="shared" si="16"/>
        <v>2.8E-3</v>
      </c>
      <c r="I65" s="758">
        <v>0.06</v>
      </c>
      <c r="J65" s="1193">
        <f t="shared" si="17"/>
        <v>5.5999999999999999E-3</v>
      </c>
      <c r="K65" s="1193">
        <f t="shared" si="18"/>
        <v>2.8E-3</v>
      </c>
      <c r="L65" s="1193">
        <v>0</v>
      </c>
      <c r="M65" s="1193">
        <f t="shared" si="19"/>
        <v>-2.8E-3</v>
      </c>
      <c r="N65" s="1193">
        <f t="shared" si="19"/>
        <v>-5.5999999999999999E-3</v>
      </c>
      <c r="AA65" s="1279"/>
      <c r="AB65" s="1279"/>
      <c r="AC65" s="1279"/>
      <c r="AD65" s="1279"/>
      <c r="AE65" s="1279"/>
      <c r="AF65" s="1279"/>
      <c r="AG65" s="1279"/>
      <c r="AH65" s="1279"/>
      <c r="AI65" s="1279"/>
      <c r="AJ65" s="1279"/>
      <c r="AK65" s="1279"/>
    </row>
    <row r="66" spans="1:37" s="1278" customFormat="1" ht="25.5">
      <c r="A66" s="2327" t="s">
        <v>2778</v>
      </c>
      <c r="B66" s="1492" t="str">
        <f>估价对象房地状况!C22</f>
        <v>估价对象所在区域基础设施水平</v>
      </c>
      <c r="C66" s="2232" t="s">
        <v>3186</v>
      </c>
      <c r="D66" s="1194">
        <f t="shared" si="15"/>
        <v>1.14E-2</v>
      </c>
      <c r="E66" s="760"/>
      <c r="F66" s="1998"/>
      <c r="G66" s="1192">
        <f t="shared" si="20"/>
        <v>5.7000000000000002E-3</v>
      </c>
      <c r="H66" s="1196">
        <f t="shared" si="16"/>
        <v>5.7000000000000002E-3</v>
      </c>
      <c r="I66" s="758">
        <v>0.12</v>
      </c>
      <c r="J66" s="1193">
        <f t="shared" si="17"/>
        <v>1.14E-2</v>
      </c>
      <c r="K66" s="1193">
        <f t="shared" si="18"/>
        <v>5.7000000000000002E-3</v>
      </c>
      <c r="L66" s="1193">
        <v>0</v>
      </c>
      <c r="M66" s="1193">
        <f t="shared" si="19"/>
        <v>-5.7000000000000002E-3</v>
      </c>
      <c r="N66" s="1193">
        <f t="shared" si="19"/>
        <v>-1.14E-2</v>
      </c>
      <c r="AA66" s="1279"/>
      <c r="AB66" s="1279"/>
      <c r="AC66" s="1279"/>
      <c r="AD66" s="1279"/>
      <c r="AE66" s="1279"/>
      <c r="AF66" s="1279"/>
      <c r="AG66" s="1279"/>
      <c r="AH66" s="1279"/>
      <c r="AI66" s="1279"/>
      <c r="AJ66" s="1279"/>
      <c r="AK66" s="1279"/>
    </row>
    <row r="67" spans="1:37" s="1278" customFormat="1" ht="39" thickBot="1">
      <c r="A67" s="2335" t="s">
        <v>2779</v>
      </c>
      <c r="B67" s="2337" t="str">
        <f>估价对象房地状况!C20</f>
        <v>区域自然环境：；人文环境；综合评价环境状况一般</v>
      </c>
      <c r="C67" s="2232" t="s">
        <v>3185</v>
      </c>
      <c r="D67" s="1194">
        <f t="shared" si="15"/>
        <v>2.8E-3</v>
      </c>
      <c r="E67" s="763"/>
      <c r="F67" s="1998"/>
      <c r="G67" s="1192">
        <f t="shared" si="20"/>
        <v>2.8E-3</v>
      </c>
      <c r="H67" s="1196">
        <f t="shared" si="16"/>
        <v>2.8E-3</v>
      </c>
      <c r="I67" s="762">
        <v>0.06</v>
      </c>
      <c r="J67" s="1193">
        <f t="shared" si="17"/>
        <v>5.5999999999999999E-3</v>
      </c>
      <c r="K67" s="1193">
        <f t="shared" si="18"/>
        <v>2.8E-3</v>
      </c>
      <c r="L67" s="1193">
        <v>0</v>
      </c>
      <c r="M67" s="1193">
        <f t="shared" si="19"/>
        <v>-2.8E-3</v>
      </c>
      <c r="N67" s="1193">
        <f t="shared" si="19"/>
        <v>-5.5999999999999999E-3</v>
      </c>
      <c r="AA67" s="1279"/>
      <c r="AB67" s="1279"/>
      <c r="AC67" s="1279"/>
      <c r="AD67" s="1279"/>
      <c r="AE67" s="1279"/>
      <c r="AF67" s="1279"/>
      <c r="AG67" s="1279"/>
      <c r="AH67" s="1279"/>
      <c r="AI67" s="1279"/>
      <c r="AJ67" s="1279"/>
      <c r="AK67" s="1279"/>
    </row>
    <row r="68" spans="1:37" s="1278" customFormat="1" ht="15">
      <c r="A68" s="2323" t="s">
        <v>2783</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51">
      <c r="A70" s="2327" t="s">
        <v>2784</v>
      </c>
      <c r="B70" s="2330" t="str">
        <f>估价对象房地状况!C15</f>
        <v>估价对象周边居住用地比例、居住小区规模和社区发展完善程度，综合评价居住社区成熟度一般</v>
      </c>
      <c r="C70" s="2232"/>
      <c r="D70" s="1194">
        <f t="shared" ref="D70:D78" si="21">SUMIF($J$69:$N$69,C70,J70:N70)</f>
        <v>0</v>
      </c>
      <c r="E70" s="759">
        <f>ROUND(SUM(D70:D78),4)</f>
        <v>0</v>
      </c>
      <c r="F70" s="1998" t="str">
        <f>IF(E2="住宅",SUMIF(L1:L12,G2,N1:N12),"——")</f>
        <v>——</v>
      </c>
      <c r="G70" s="1192"/>
      <c r="H70" s="1196" t="str">
        <f t="shared" ref="H70:H78" si="22">IFERROR(ROUNDDOWN($F$70*I70/2,4),"——")</f>
        <v>——</v>
      </c>
      <c r="I70" s="758">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7" t="s">
        <v>2770</v>
      </c>
      <c r="B71" s="2331" t="str">
        <f>估价对象房地状况!C18</f>
        <v>估价对象周边道路状况、公共交通通达情况、停车便捷程度，综合评价交通便捷度较好</v>
      </c>
      <c r="C71" s="2232"/>
      <c r="D71" s="1194">
        <f t="shared" si="21"/>
        <v>0</v>
      </c>
      <c r="E71" s="764"/>
      <c r="F71" s="1998"/>
      <c r="G71" s="1192"/>
      <c r="H71" s="1196" t="str">
        <f t="shared" si="22"/>
        <v>——</v>
      </c>
      <c r="I71" s="758">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7" t="s">
        <v>2771</v>
      </c>
      <c r="B72" s="2331">
        <f>估价对象房地状况!C19</f>
        <v>0</v>
      </c>
      <c r="C72" s="2232"/>
      <c r="D72" s="1194">
        <f t="shared" si="21"/>
        <v>0</v>
      </c>
      <c r="E72" s="764"/>
      <c r="F72" s="1998"/>
      <c r="G72" s="1192"/>
      <c r="H72" s="1196" t="str">
        <f t="shared" si="22"/>
        <v>——</v>
      </c>
      <c r="I72" s="758">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7" t="s">
        <v>2785</v>
      </c>
      <c r="B73" s="2331">
        <f>估价对象房地状况!C24</f>
        <v>0</v>
      </c>
      <c r="C73" s="2232"/>
      <c r="D73" s="1194">
        <f t="shared" si="21"/>
        <v>0</v>
      </c>
      <c r="E73" s="764"/>
      <c r="F73" s="1998"/>
      <c r="G73" s="1192"/>
      <c r="H73" s="1196" t="str">
        <f t="shared" si="22"/>
        <v>——</v>
      </c>
      <c r="I73" s="758">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7" t="s">
        <v>2777</v>
      </c>
      <c r="B74" s="1492" t="str">
        <f>估价对象房地状况!C21</f>
        <v>估价对象所在区域公共配套设施齐备情况</v>
      </c>
      <c r="C74" s="2232"/>
      <c r="D74" s="1194">
        <f t="shared" si="21"/>
        <v>0</v>
      </c>
      <c r="E74" s="764"/>
      <c r="F74" s="1998"/>
      <c r="G74" s="1192"/>
      <c r="H74" s="1196" t="str">
        <f t="shared" si="22"/>
        <v>——</v>
      </c>
      <c r="I74" s="758">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7" t="s">
        <v>2778</v>
      </c>
      <c r="B75" s="1492" t="str">
        <f>估价对象房地状况!C22</f>
        <v>估价对象所在区域基础设施水平</v>
      </c>
      <c r="C75" s="2232"/>
      <c r="D75" s="1194">
        <f t="shared" si="21"/>
        <v>0</v>
      </c>
      <c r="E75" s="764"/>
      <c r="F75" s="1998"/>
      <c r="G75" s="1192"/>
      <c r="H75" s="1196" t="str">
        <f t="shared" si="22"/>
        <v>——</v>
      </c>
      <c r="I75" s="758">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1" customFormat="1" ht="24">
      <c r="A76" s="2327" t="s">
        <v>2775</v>
      </c>
      <c r="B76" s="2333" t="s">
        <v>2776</v>
      </c>
      <c r="C76" s="2232"/>
      <c r="D76" s="1194">
        <f t="shared" si="21"/>
        <v>0</v>
      </c>
      <c r="E76" s="764"/>
      <c r="F76" s="1998"/>
      <c r="G76" s="1192"/>
      <c r="H76" s="1196" t="str">
        <f t="shared" si="22"/>
        <v>——</v>
      </c>
      <c r="I76" s="758">
        <v>0.05</v>
      </c>
      <c r="J76" s="1193">
        <f t="shared" si="23"/>
        <v>0</v>
      </c>
      <c r="K76" s="1193">
        <f t="shared" si="24"/>
        <v>0</v>
      </c>
      <c r="L76" s="1193">
        <v>0</v>
      </c>
      <c r="M76" s="1193">
        <f t="shared" si="25"/>
        <v>0</v>
      </c>
      <c r="N76" s="1193">
        <f t="shared" si="25"/>
        <v>0</v>
      </c>
      <c r="AA76" s="2338"/>
      <c r="AB76" s="1279"/>
      <c r="AC76" s="1279"/>
      <c r="AD76" s="1279"/>
      <c r="AE76" s="1279"/>
      <c r="AF76" s="1279"/>
      <c r="AG76" s="1279"/>
      <c r="AH76" s="2338"/>
      <c r="AI76" s="2338"/>
      <c r="AJ76" s="2338"/>
      <c r="AK76" s="2338"/>
    </row>
    <row r="77" spans="1:37" ht="38.25">
      <c r="A77" s="2327" t="s">
        <v>2779</v>
      </c>
      <c r="B77" s="2330" t="str">
        <f>估价对象房地状况!C20</f>
        <v>区域自然环境：；人文环境；综合评价环境状况一般</v>
      </c>
      <c r="C77" s="2232"/>
      <c r="D77" s="1194">
        <f t="shared" si="21"/>
        <v>0</v>
      </c>
      <c r="E77" s="764"/>
      <c r="F77" s="1998"/>
      <c r="G77" s="1192"/>
      <c r="H77" s="1196" t="str">
        <f t="shared" si="22"/>
        <v>——</v>
      </c>
      <c r="I77" s="758">
        <v>0.15</v>
      </c>
      <c r="J77" s="1193">
        <f t="shared" si="23"/>
        <v>0</v>
      </c>
      <c r="K77" s="1193">
        <f t="shared" si="24"/>
        <v>0</v>
      </c>
      <c r="L77" s="1193">
        <v>0</v>
      </c>
      <c r="M77" s="1193">
        <f t="shared" si="25"/>
        <v>0</v>
      </c>
      <c r="N77" s="1193">
        <f t="shared" si="25"/>
        <v>0</v>
      </c>
      <c r="Z77" s="2182"/>
      <c r="AA77" s="2248"/>
      <c r="AG77" s="1280"/>
      <c r="AK77" s="2248"/>
    </row>
    <row r="78" spans="1:37" ht="24.75" thickBot="1">
      <c r="A78" s="2335" t="s">
        <v>2786</v>
      </c>
      <c r="B78" s="2339"/>
      <c r="C78" s="2232"/>
      <c r="D78" s="1194">
        <f t="shared" si="21"/>
        <v>0</v>
      </c>
      <c r="E78" s="765"/>
      <c r="F78" s="1998"/>
      <c r="G78" s="1192"/>
      <c r="H78" s="1196" t="str">
        <f t="shared" si="22"/>
        <v>——</v>
      </c>
      <c r="I78" s="762">
        <v>0.04</v>
      </c>
      <c r="J78" s="1193">
        <f t="shared" si="23"/>
        <v>0</v>
      </c>
      <c r="K78" s="1193">
        <f t="shared" si="24"/>
        <v>0</v>
      </c>
      <c r="L78" s="1193">
        <v>0</v>
      </c>
      <c r="M78" s="1193">
        <f t="shared" si="25"/>
        <v>0</v>
      </c>
      <c r="N78" s="1193">
        <f t="shared" si="25"/>
        <v>0</v>
      </c>
      <c r="Z78" s="2182"/>
      <c r="AA78" s="2248"/>
      <c r="AG78" s="1280"/>
      <c r="AK78" s="2248"/>
    </row>
    <row r="79" spans="1:37" ht="15">
      <c r="A79" s="2323" t="s">
        <v>2787</v>
      </c>
      <c r="B79" s="2324">
        <f>1+E81</f>
        <v>1</v>
      </c>
      <c r="C79" s="752"/>
      <c r="D79" s="752"/>
      <c r="E79" s="753"/>
      <c r="F79" s="2326"/>
      <c r="G79" s="6"/>
      <c r="H79" s="6"/>
      <c r="I79" s="6"/>
      <c r="J79" s="7"/>
      <c r="K79" s="7"/>
      <c r="L79" s="7"/>
      <c r="M79" s="7"/>
      <c r="N79" s="7"/>
      <c r="Z79" s="2182"/>
      <c r="AA79" s="2248"/>
      <c r="AG79" s="1280"/>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0"/>
      <c r="AK80" s="2248"/>
    </row>
    <row r="81" spans="1:37" ht="38.25">
      <c r="A81" s="2327" t="s">
        <v>2788</v>
      </c>
      <c r="B81" s="2331" t="str">
        <f>估价对象房地状况!G15</f>
        <v>估价对象位于XX开发区，园区建设成熟度XX，产业集聚程度XX</v>
      </c>
      <c r="C81" s="2232"/>
      <c r="D81" s="1194">
        <f t="shared" ref="D81:D88" si="26">SUMIF($J$80:$N$80,C81,J81:N81)</f>
        <v>0</v>
      </c>
      <c r="E81" s="759">
        <f>ROUND(SUM(D81:D88),4)</f>
        <v>0</v>
      </c>
      <c r="F81" s="199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82"/>
      <c r="AA81" s="2248"/>
      <c r="AG81" s="1280"/>
      <c r="AK81" s="2248"/>
    </row>
    <row r="82" spans="1:37" ht="51">
      <c r="A82" s="2327" t="s">
        <v>2770</v>
      </c>
      <c r="B82" s="2331" t="str">
        <f>估价对象房地状况!G16</f>
        <v>估价对象周边道路状况、公共交通通达情况、停车便捷程度，综合评价交通便捷度较好</v>
      </c>
      <c r="C82" s="2232"/>
      <c r="D82" s="1194">
        <f t="shared" si="26"/>
        <v>0</v>
      </c>
      <c r="E82" s="764"/>
      <c r="F82" s="1998"/>
      <c r="G82" s="1192"/>
      <c r="H82" s="1196" t="str">
        <f t="shared" si="27"/>
        <v>——</v>
      </c>
      <c r="I82" s="758">
        <v>0.33</v>
      </c>
      <c r="J82" s="1193">
        <f t="shared" si="28"/>
        <v>0</v>
      </c>
      <c r="K82" s="1193">
        <f t="shared" si="29"/>
        <v>0</v>
      </c>
      <c r="L82" s="1193">
        <v>0</v>
      </c>
      <c r="M82" s="1193">
        <f t="shared" si="30"/>
        <v>0</v>
      </c>
      <c r="N82" s="1193">
        <f t="shared" si="30"/>
        <v>0</v>
      </c>
      <c r="Z82" s="2182"/>
      <c r="AA82" s="2248"/>
      <c r="AG82" s="1280"/>
      <c r="AK82" s="2248"/>
    </row>
    <row r="83" spans="1:37" ht="24">
      <c r="A83" s="2327" t="s">
        <v>2771</v>
      </c>
      <c r="B83" s="2331">
        <f>估价对象房地状况!G17</f>
        <v>0</v>
      </c>
      <c r="C83" s="2232"/>
      <c r="D83" s="1194">
        <f t="shared" si="26"/>
        <v>0</v>
      </c>
      <c r="E83" s="764"/>
      <c r="F83" s="1998"/>
      <c r="G83" s="1192"/>
      <c r="H83" s="1196" t="str">
        <f t="shared" si="27"/>
        <v>——</v>
      </c>
      <c r="I83" s="758">
        <v>0.05</v>
      </c>
      <c r="J83" s="1193">
        <f t="shared" si="28"/>
        <v>0</v>
      </c>
      <c r="K83" s="1193">
        <f t="shared" si="29"/>
        <v>0</v>
      </c>
      <c r="L83" s="1193">
        <v>0</v>
      </c>
      <c r="M83" s="1193">
        <f t="shared" si="30"/>
        <v>0</v>
      </c>
      <c r="N83" s="1193">
        <f t="shared" si="30"/>
        <v>0</v>
      </c>
      <c r="Z83" s="2182"/>
      <c r="AA83" s="2248"/>
      <c r="AG83" s="1280"/>
      <c r="AK83" s="2248"/>
    </row>
    <row r="84" spans="1:37" ht="14.25">
      <c r="A84" s="2327" t="s">
        <v>2785</v>
      </c>
      <c r="B84" s="2331">
        <f>估价对象房地状况!G22</f>
        <v>0</v>
      </c>
      <c r="C84" s="2232"/>
      <c r="D84" s="1194">
        <f t="shared" si="26"/>
        <v>0</v>
      </c>
      <c r="E84" s="764"/>
      <c r="F84" s="1998"/>
      <c r="G84" s="1192"/>
      <c r="H84" s="1196" t="str">
        <f t="shared" si="27"/>
        <v>——</v>
      </c>
      <c r="I84" s="758">
        <v>0.04</v>
      </c>
      <c r="J84" s="1193">
        <f t="shared" si="28"/>
        <v>0</v>
      </c>
      <c r="K84" s="1193">
        <f t="shared" si="29"/>
        <v>0</v>
      </c>
      <c r="L84" s="1193">
        <v>0</v>
      </c>
      <c r="M84" s="1193">
        <f t="shared" si="30"/>
        <v>0</v>
      </c>
      <c r="N84" s="1193">
        <f t="shared" si="30"/>
        <v>0</v>
      </c>
      <c r="Z84" s="2182"/>
      <c r="AA84" s="2248"/>
      <c r="AG84" s="1280"/>
      <c r="AK84" s="2248"/>
    </row>
    <row r="85" spans="1:37" ht="25.5">
      <c r="A85" s="2327" t="s">
        <v>2777</v>
      </c>
      <c r="B85" s="1492" t="str">
        <f>估价对象房地状况!G19</f>
        <v>估价对象所在区域公共配套设施齐备情况</v>
      </c>
      <c r="C85" s="2232"/>
      <c r="D85" s="1194">
        <f t="shared" si="26"/>
        <v>0</v>
      </c>
      <c r="E85" s="764"/>
      <c r="F85" s="1998"/>
      <c r="G85" s="1192"/>
      <c r="H85" s="1196" t="str">
        <f t="shared" si="27"/>
        <v>——</v>
      </c>
      <c r="I85" s="758">
        <v>0.06</v>
      </c>
      <c r="J85" s="1193">
        <f t="shared" si="28"/>
        <v>0</v>
      </c>
      <c r="K85" s="1193">
        <f t="shared" si="29"/>
        <v>0</v>
      </c>
      <c r="L85" s="1193">
        <v>0</v>
      </c>
      <c r="M85" s="1193">
        <f t="shared" si="30"/>
        <v>0</v>
      </c>
      <c r="N85" s="1193">
        <f t="shared" si="30"/>
        <v>0</v>
      </c>
      <c r="Z85" s="2182"/>
      <c r="AA85" s="2248"/>
      <c r="AG85" s="1280"/>
      <c r="AK85" s="2248"/>
    </row>
    <row r="86" spans="1:37" ht="25.5">
      <c r="A86" s="2327" t="s">
        <v>2778</v>
      </c>
      <c r="B86" s="1492" t="str">
        <f>估价对象房地状况!G20</f>
        <v>估价对象所在区域基础设施水平</v>
      </c>
      <c r="C86" s="2232"/>
      <c r="D86" s="1194">
        <f t="shared" si="26"/>
        <v>0</v>
      </c>
      <c r="E86" s="764"/>
      <c r="F86" s="1998"/>
      <c r="G86" s="1192"/>
      <c r="H86" s="1196" t="str">
        <f t="shared" si="27"/>
        <v>——</v>
      </c>
      <c r="I86" s="758">
        <v>0.15</v>
      </c>
      <c r="J86" s="1193">
        <f t="shared" si="28"/>
        <v>0</v>
      </c>
      <c r="K86" s="1193">
        <f t="shared" si="29"/>
        <v>0</v>
      </c>
      <c r="L86" s="1193">
        <v>0</v>
      </c>
      <c r="M86" s="1193">
        <f t="shared" si="30"/>
        <v>0</v>
      </c>
      <c r="N86" s="1193">
        <f t="shared" si="30"/>
        <v>0</v>
      </c>
      <c r="Z86" s="2182"/>
      <c r="AA86" s="2248"/>
      <c r="AG86" s="1280"/>
      <c r="AK86" s="2248"/>
    </row>
    <row r="87" spans="1:37" ht="24">
      <c r="A87" s="2327" t="s">
        <v>2775</v>
      </c>
      <c r="B87" s="2333" t="s">
        <v>2789</v>
      </c>
      <c r="C87" s="2232"/>
      <c r="D87" s="1194">
        <f t="shared" si="26"/>
        <v>0</v>
      </c>
      <c r="E87" s="764"/>
      <c r="F87" s="1998"/>
      <c r="G87" s="1192"/>
      <c r="H87" s="1196" t="str">
        <f t="shared" si="27"/>
        <v>——</v>
      </c>
      <c r="I87" s="758">
        <v>0.05</v>
      </c>
      <c r="J87" s="1193">
        <f t="shared" si="28"/>
        <v>0</v>
      </c>
      <c r="K87" s="1193">
        <f t="shared" si="29"/>
        <v>0</v>
      </c>
      <c r="L87" s="1193">
        <v>0</v>
      </c>
      <c r="M87" s="1193">
        <f t="shared" si="30"/>
        <v>0</v>
      </c>
      <c r="N87" s="1193">
        <f t="shared" si="30"/>
        <v>0</v>
      </c>
      <c r="Z87" s="2182"/>
      <c r="AA87" s="2248"/>
      <c r="AG87" s="1280"/>
      <c r="AK87" s="2248"/>
    </row>
    <row r="88" spans="1:37" ht="39" thickBot="1">
      <c r="A88" s="2335" t="s">
        <v>2790</v>
      </c>
      <c r="B88" s="2340" t="str">
        <f>估价对象房地状况!G18</f>
        <v>该园区内是否有污染型企业，绿化情况，卫生条件，整体环境状况判断</v>
      </c>
      <c r="C88" s="2232"/>
      <c r="D88" s="1194">
        <f t="shared" si="26"/>
        <v>0</v>
      </c>
      <c r="E88" s="765"/>
      <c r="F88" s="1998"/>
      <c r="G88" s="1192"/>
      <c r="H88" s="1196" t="str">
        <f t="shared" si="27"/>
        <v>——</v>
      </c>
      <c r="I88" s="762">
        <v>0.06</v>
      </c>
      <c r="J88" s="1193">
        <f t="shared" si="28"/>
        <v>0</v>
      </c>
      <c r="K88" s="1193">
        <f t="shared" si="29"/>
        <v>0</v>
      </c>
      <c r="L88" s="1193">
        <v>0</v>
      </c>
      <c r="M88" s="1193">
        <f t="shared" si="30"/>
        <v>0</v>
      </c>
      <c r="N88" s="1193">
        <f t="shared" si="30"/>
        <v>0</v>
      </c>
      <c r="Z88" s="2182"/>
      <c r="AA88" s="2248"/>
      <c r="AG88" s="1280"/>
      <c r="AK88" s="2248"/>
    </row>
    <row r="90" spans="1:37">
      <c r="A90" s="3294" t="s">
        <v>2791</v>
      </c>
      <c r="B90" s="3294"/>
      <c r="C90" s="3294"/>
      <c r="D90" s="3294"/>
      <c r="E90" s="3294"/>
      <c r="F90" s="3294"/>
      <c r="G90" s="3294"/>
      <c r="H90" s="3294"/>
      <c r="I90" s="3294"/>
      <c r="J90" s="3294"/>
      <c r="K90" s="2341"/>
      <c r="L90" s="2341"/>
      <c r="M90" s="2341"/>
      <c r="N90" s="2341"/>
    </row>
    <row r="91" spans="1:37">
      <c r="A91" s="3296" t="s">
        <v>2792</v>
      </c>
      <c r="B91" s="3296" t="s">
        <v>2793</v>
      </c>
      <c r="C91" s="2295" t="s">
        <v>2794</v>
      </c>
      <c r="D91" s="2296"/>
      <c r="E91" s="2296"/>
      <c r="F91" s="2296"/>
      <c r="G91" s="2296"/>
      <c r="H91" s="2296"/>
      <c r="I91" s="2296"/>
      <c r="J91" s="2342"/>
      <c r="K91" s="2343"/>
      <c r="L91" s="2343"/>
      <c r="M91" s="2343"/>
      <c r="N91" s="2343"/>
    </row>
    <row r="92" spans="1:37">
      <c r="A92" s="3296"/>
      <c r="B92" s="3296"/>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297"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9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9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9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9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9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98"/>
      <c r="B99" s="2344" t="s">
        <v>2678</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29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97" t="s">
        <v>2796</v>
      </c>
      <c r="B101" s="2348" t="s">
        <v>2797</v>
      </c>
      <c r="C101" s="2349">
        <f>$G$3</f>
        <v>20.63</v>
      </c>
      <c r="D101" s="2349">
        <f t="shared" ref="D101:N101" si="32">$G$3</f>
        <v>20.63</v>
      </c>
      <c r="E101" s="2349">
        <f t="shared" si="32"/>
        <v>20.63</v>
      </c>
      <c r="F101" s="2349">
        <f t="shared" si="32"/>
        <v>20.63</v>
      </c>
      <c r="G101" s="2349">
        <f t="shared" si="32"/>
        <v>20.63</v>
      </c>
      <c r="H101" s="2349">
        <f t="shared" si="32"/>
        <v>20.63</v>
      </c>
      <c r="I101" s="2349">
        <f t="shared" si="32"/>
        <v>20.63</v>
      </c>
      <c r="J101" s="2349">
        <f t="shared" si="32"/>
        <v>20.63</v>
      </c>
      <c r="K101" s="2349">
        <f t="shared" si="32"/>
        <v>20.63</v>
      </c>
      <c r="L101" s="2349">
        <f t="shared" si="32"/>
        <v>20.63</v>
      </c>
      <c r="M101" s="2349">
        <f t="shared" si="32"/>
        <v>20.63</v>
      </c>
      <c r="N101" s="2349">
        <f t="shared" si="32"/>
        <v>20.63</v>
      </c>
    </row>
    <row r="102" spans="1:14">
      <c r="A102" s="3298"/>
      <c r="B102" s="2344">
        <v>1</v>
      </c>
      <c r="C102" s="2345">
        <f>1.9362/C101</f>
        <v>9.3853611245758611E-2</v>
      </c>
      <c r="D102" s="2345">
        <f>1.9362/D101</f>
        <v>9.3853611245758611E-2</v>
      </c>
      <c r="E102" s="2345">
        <f>1.8629/E101</f>
        <v>9.0300533204071748E-2</v>
      </c>
      <c r="F102" s="2345">
        <f>1.8629/F101</f>
        <v>9.0300533204071748E-2</v>
      </c>
      <c r="G102" s="2345">
        <f>1.8629/G101</f>
        <v>9.0300533204071748E-2</v>
      </c>
      <c r="H102" s="2345">
        <f>1.8629/H101</f>
        <v>9.0300533204071748E-2</v>
      </c>
      <c r="I102" s="2345">
        <f>1.8629/I101</f>
        <v>9.0300533204071748E-2</v>
      </c>
      <c r="J102" s="2345">
        <f>1.942/J101</f>
        <v>9.413475521085797E-2</v>
      </c>
      <c r="K102" s="2345">
        <f>1.942/K101</f>
        <v>9.413475521085797E-2</v>
      </c>
      <c r="L102" s="2345">
        <f>1.942/L101</f>
        <v>9.413475521085797E-2</v>
      </c>
      <c r="M102" s="2345">
        <f>1.942/M101</f>
        <v>9.413475521085797E-2</v>
      </c>
      <c r="N102" s="2345">
        <f>1.942/N101</f>
        <v>9.413475521085797E-2</v>
      </c>
    </row>
    <row r="103" spans="1:14">
      <c r="A103" s="3298"/>
      <c r="B103" s="2344">
        <v>2</v>
      </c>
      <c r="C103" s="2345">
        <f>1.4198/C101</f>
        <v>6.8822103732428502E-2</v>
      </c>
      <c r="D103" s="2345">
        <f>1.4198/D101</f>
        <v>6.8822103732428502E-2</v>
      </c>
      <c r="E103" s="2345">
        <f>1.3372/E101</f>
        <v>6.4818225884634026E-2</v>
      </c>
      <c r="F103" s="2345">
        <f>1.3372/F101</f>
        <v>6.4818225884634026E-2</v>
      </c>
      <c r="G103" s="2345">
        <f>1.3372/G101</f>
        <v>6.4818225884634026E-2</v>
      </c>
      <c r="H103" s="2345">
        <f>1.3372/H101</f>
        <v>6.4818225884634026E-2</v>
      </c>
      <c r="I103" s="2345">
        <f>1.3372/I101</f>
        <v>6.4818225884634026E-2</v>
      </c>
      <c r="J103" s="2345">
        <f>1.2799/J101</f>
        <v>6.2040717401841985E-2</v>
      </c>
      <c r="K103" s="2345">
        <f>1.2799/K101</f>
        <v>6.2040717401841985E-2</v>
      </c>
      <c r="L103" s="2345">
        <f>1.2799/L101</f>
        <v>6.2040717401841985E-2</v>
      </c>
      <c r="M103" s="2345">
        <f>1.2799/M101</f>
        <v>6.2040717401841985E-2</v>
      </c>
      <c r="N103" s="2345">
        <f>1.2799/N101</f>
        <v>6.2040717401841985E-2</v>
      </c>
    </row>
    <row r="104" spans="1:14">
      <c r="A104" s="3298"/>
      <c r="B104" s="2344">
        <v>3</v>
      </c>
      <c r="C104" s="2345">
        <f>1.1594/C101</f>
        <v>5.6199709161415416E-2</v>
      </c>
      <c r="D104" s="2345">
        <f>1.1594/D101</f>
        <v>5.6199709161415416E-2</v>
      </c>
      <c r="E104" s="2345">
        <f>1.0788/E101</f>
        <v>5.2292777508482796E-2</v>
      </c>
      <c r="F104" s="2345">
        <f>1.0788/F101</f>
        <v>5.2292777508482796E-2</v>
      </c>
      <c r="G104" s="2345">
        <f>1.0788/G101</f>
        <v>5.2292777508482796E-2</v>
      </c>
      <c r="H104" s="2345">
        <f>1.0788/H101</f>
        <v>5.2292777508482796E-2</v>
      </c>
      <c r="I104" s="2345">
        <f>1.0788/I101</f>
        <v>5.2292777508482796E-2</v>
      </c>
      <c r="J104" s="2345">
        <f>1.0072/J101</f>
        <v>4.8822103732428512E-2</v>
      </c>
      <c r="K104" s="2345">
        <f>1.0072/K101</f>
        <v>4.8822103732428512E-2</v>
      </c>
      <c r="L104" s="2345">
        <f>1.0072/L101</f>
        <v>4.8822103732428512E-2</v>
      </c>
      <c r="M104" s="2345">
        <f>1.0072/M101</f>
        <v>4.8822103732428512E-2</v>
      </c>
      <c r="N104" s="2345">
        <f>1.0072/N101</f>
        <v>4.8822103732428512E-2</v>
      </c>
    </row>
    <row r="105" spans="1:14">
      <c r="A105" s="3298"/>
      <c r="B105" s="2344">
        <v>4</v>
      </c>
      <c r="C105" s="2345">
        <f>0.9622/C101</f>
        <v>4.6640814348036845E-2</v>
      </c>
      <c r="D105" s="2345">
        <f>0.9622/D101</f>
        <v>4.6640814348036845E-2</v>
      </c>
      <c r="E105" s="2345">
        <f>0.8656/E101</f>
        <v>4.1958313136209409E-2</v>
      </c>
      <c r="F105" s="2345">
        <f>0.8656/F101</f>
        <v>4.1958313136209409E-2</v>
      </c>
      <c r="G105" s="2345">
        <f>0.8656/G101</f>
        <v>4.1958313136209409E-2</v>
      </c>
      <c r="H105" s="2345">
        <f>0.8656/H101</f>
        <v>4.1958313136209409E-2</v>
      </c>
      <c r="I105" s="2345">
        <f>0.8656/I101</f>
        <v>4.1958313136209409E-2</v>
      </c>
      <c r="J105" s="2345">
        <f>0.7525/J101</f>
        <v>3.6476005816771691E-2</v>
      </c>
      <c r="K105" s="2345">
        <f>0.7525/K101</f>
        <v>3.6476005816771691E-2</v>
      </c>
      <c r="L105" s="2345">
        <f>0.7525/L101</f>
        <v>3.6476005816771691E-2</v>
      </c>
      <c r="M105" s="2345">
        <f>0.7525/M101</f>
        <v>3.6476005816771691E-2</v>
      </c>
      <c r="N105" s="2345">
        <f>0.7525/N101</f>
        <v>3.6476005816771691E-2</v>
      </c>
    </row>
    <row r="106" spans="1:14">
      <c r="A106" s="3298"/>
      <c r="B106" s="2344">
        <v>5</v>
      </c>
      <c r="C106" s="2345">
        <f>0.8417/C101</f>
        <v>4.0799806107610276E-2</v>
      </c>
      <c r="D106" s="2345">
        <f>0.8417/D101</f>
        <v>4.0799806107610276E-2</v>
      </c>
      <c r="E106" s="2345">
        <f>0.7371/E101</f>
        <v>3.5729520116335435E-2</v>
      </c>
      <c r="F106" s="2345">
        <f>0.7371/F101</f>
        <v>3.5729520116335435E-2</v>
      </c>
      <c r="G106" s="2345">
        <f>0.7371/G101</f>
        <v>3.5729520116335435E-2</v>
      </c>
      <c r="H106" s="2345">
        <f>0.7371/H101</f>
        <v>3.5729520116335435E-2</v>
      </c>
      <c r="I106" s="2345">
        <f>0.7371/I101</f>
        <v>3.5729520116335435E-2</v>
      </c>
      <c r="J106" s="2345">
        <f>0.5659/J101</f>
        <v>2.7430925836160931E-2</v>
      </c>
      <c r="K106" s="2345">
        <f>0.5659/K101</f>
        <v>2.7430925836160931E-2</v>
      </c>
      <c r="L106" s="2345">
        <f>0.5659/L101</f>
        <v>2.7430925836160931E-2</v>
      </c>
      <c r="M106" s="2345">
        <f>0.5659/M101</f>
        <v>2.7430925836160931E-2</v>
      </c>
      <c r="N106" s="2345">
        <f>0.5659/N101</f>
        <v>2.7430925836160931E-2</v>
      </c>
    </row>
    <row r="107" spans="1:14">
      <c r="A107" s="3298"/>
      <c r="B107" s="2344">
        <v>6</v>
      </c>
      <c r="C107" s="2345">
        <f>0.7608/C101</f>
        <v>3.6878332525448379E-2</v>
      </c>
      <c r="D107" s="2345">
        <f>0.7608/D101</f>
        <v>3.6878332525448379E-2</v>
      </c>
      <c r="E107" s="2345">
        <f>0.6482/E101</f>
        <v>3.1420261754726127E-2</v>
      </c>
      <c r="F107" s="2345">
        <f>0.6482/F101</f>
        <v>3.1420261754726127E-2</v>
      </c>
      <c r="G107" s="2345">
        <f>0.6482/G101</f>
        <v>3.1420261754726127E-2</v>
      </c>
      <c r="H107" s="2345">
        <f>0.6482/H101</f>
        <v>3.1420261754726127E-2</v>
      </c>
      <c r="I107" s="2345">
        <f>0.6482/I101</f>
        <v>3.1420261754726127E-2</v>
      </c>
      <c r="J107" s="2345">
        <f>0.4525/J101</f>
        <v>2.1934076587493943E-2</v>
      </c>
      <c r="K107" s="2345">
        <f>0.4525/K101</f>
        <v>2.1934076587493943E-2</v>
      </c>
      <c r="L107" s="2345">
        <f>0.4525/L101</f>
        <v>2.1934076587493943E-2</v>
      </c>
      <c r="M107" s="2345">
        <f>0.4525/M101</f>
        <v>2.1934076587493943E-2</v>
      </c>
      <c r="N107" s="2345">
        <f>0.4525/N101</f>
        <v>2.1934076587493943E-2</v>
      </c>
    </row>
    <row r="108" spans="1:14">
      <c r="A108" s="3298"/>
      <c r="B108" s="3300" t="s">
        <v>2798</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299"/>
      <c r="B109" s="3301"/>
      <c r="C109" s="2347">
        <f>(-0.163*(C108^2)-0.59*C108+7617)*(10^(-4))/C101</f>
        <v>3.6921958313136216E-2</v>
      </c>
      <c r="D109" s="2347">
        <f>(-0.163*(D108^2)-0.59*D108+7617)*(10^(-4))/D101</f>
        <v>3.6921958313136216E-2</v>
      </c>
      <c r="E109" s="2347">
        <f>(-0.161*(E108^2)-7.509*E108+6533)*(10^(-4))/E101</f>
        <v>3.1667474551623852E-2</v>
      </c>
      <c r="F109" s="2347">
        <f>(-0.161*(F108^2)-7.509*F108+6533)*(10^(-4))/F101</f>
        <v>3.1667474551623852E-2</v>
      </c>
      <c r="G109" s="2347">
        <f>(-0.161*(G108^2)-7.509*G108+6533)*(10^(-4))/G101</f>
        <v>3.1667474551623852E-2</v>
      </c>
      <c r="H109" s="2347">
        <f>(-0.161*(H108^2)-7.509*H108+6533)*(10^(-4))/H101</f>
        <v>3.1667474551623852E-2</v>
      </c>
      <c r="I109" s="2347">
        <f>(-0.161*(I108^2)-7.509*I108+6533)*(10^(-4))/I101</f>
        <v>3.1667474551623852E-2</v>
      </c>
      <c r="J109" s="2347">
        <f>(-0.214*(J108^2)-21.991*J108+4665)*(10^(-4))/J101</f>
        <v>2.2612699951526906E-2</v>
      </c>
      <c r="K109" s="2347">
        <f>(-0.214*(K108^2)-21.991*K108+4665)*(10^(-4))/K101</f>
        <v>2.2612699951526906E-2</v>
      </c>
      <c r="L109" s="2347">
        <f>(-0.214*(L108^2)-21.991*L108+4665)*(10^(-4))/L101</f>
        <v>2.2612699951526906E-2</v>
      </c>
      <c r="M109" s="2347">
        <f>(-0.214*(M108^2)-21.991*M108+4665)*(10^(-4))/M101</f>
        <v>2.2612699951526906E-2</v>
      </c>
      <c r="N109" s="2347">
        <f>(-0.214*(N108^2)-21.991*N108+4665)*(10^(-4))/N101</f>
        <v>2.2612699951526906E-2</v>
      </c>
    </row>
    <row r="110" spans="1:14">
      <c r="A110" s="3295" t="s">
        <v>2799</v>
      </c>
      <c r="B110" s="3295"/>
      <c r="C110" s="3295"/>
      <c r="D110" s="3295"/>
      <c r="E110" s="3295"/>
      <c r="F110" s="3295"/>
      <c r="G110" s="3295"/>
      <c r="H110" s="3295"/>
      <c r="I110" s="3295"/>
      <c r="J110" s="3295"/>
      <c r="K110" s="2350"/>
      <c r="L110" s="2350"/>
      <c r="M110" s="2350"/>
      <c r="N110" s="2350"/>
    </row>
    <row r="112" spans="1:14" ht="13.5" thickBot="1"/>
    <row r="113" spans="1:13" ht="25.5" thickBot="1">
      <c r="A113" s="841" t="s">
        <v>2800</v>
      </c>
      <c r="B113" s="1195">
        <f>G3</f>
        <v>20.63</v>
      </c>
      <c r="C113" s="842" t="s">
        <v>2801</v>
      </c>
      <c r="D113" s="843">
        <f>SUMPRODUCT((A115:A118=F113)*(B114:M114=H113)*B115:M118)</f>
        <v>0.70140000000000002</v>
      </c>
      <c r="E113" s="2186" t="s">
        <v>2635</v>
      </c>
      <c r="F113" s="2352" t="str">
        <f>E2</f>
        <v>办公</v>
      </c>
      <c r="G113" s="2186" t="s">
        <v>2636</v>
      </c>
      <c r="H113" s="2352" t="str">
        <f>G2</f>
        <v>二级</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2700</v>
      </c>
      <c r="B115" s="848">
        <f>ROUND(0.9335-0.0094*B113,4)</f>
        <v>0.73960000000000004</v>
      </c>
      <c r="C115" s="848">
        <f>B115</f>
        <v>0.73960000000000004</v>
      </c>
      <c r="D115" s="848">
        <f>ROUND(0.8331-0.0109*B113,4)</f>
        <v>0.60819999999999996</v>
      </c>
      <c r="E115" s="848">
        <f>D115</f>
        <v>0.60819999999999996</v>
      </c>
      <c r="F115" s="848">
        <f>E115</f>
        <v>0.60819999999999996</v>
      </c>
      <c r="G115" s="848">
        <f>F115</f>
        <v>0.60819999999999996</v>
      </c>
      <c r="H115" s="848">
        <f>G115</f>
        <v>0.60819999999999996</v>
      </c>
      <c r="I115" s="848">
        <f>ROUND(0.689-0.0155*B113,4)</f>
        <v>0.36919999999999997</v>
      </c>
      <c r="J115" s="848">
        <f t="shared" ref="J115:M118" si="34">I115</f>
        <v>0.36919999999999997</v>
      </c>
      <c r="K115" s="848">
        <f t="shared" si="34"/>
        <v>0.36919999999999997</v>
      </c>
      <c r="L115" s="848">
        <f t="shared" si="34"/>
        <v>0.36919999999999997</v>
      </c>
      <c r="M115" s="849">
        <f t="shared" si="34"/>
        <v>0.36919999999999997</v>
      </c>
    </row>
    <row r="116" spans="1:13">
      <c r="A116" s="847" t="s">
        <v>2701</v>
      </c>
      <c r="B116" s="848">
        <f>ROUND(0.949-0.012*B113,4)</f>
        <v>0.70140000000000002</v>
      </c>
      <c r="C116" s="848">
        <f>B116</f>
        <v>0.70140000000000002</v>
      </c>
      <c r="D116" s="848">
        <f>ROUND(0.8567-0.013*B113,4)</f>
        <v>0.58850000000000002</v>
      </c>
      <c r="E116" s="848">
        <f t="shared" ref="E116:H117" si="35">D116</f>
        <v>0.58850000000000002</v>
      </c>
      <c r="F116" s="848">
        <f t="shared" si="35"/>
        <v>0.58850000000000002</v>
      </c>
      <c r="G116" s="848">
        <f t="shared" si="35"/>
        <v>0.58850000000000002</v>
      </c>
      <c r="H116" s="848">
        <f t="shared" si="35"/>
        <v>0.58850000000000002</v>
      </c>
      <c r="I116" s="848">
        <f>ROUND(0.7694-0.014*B113,4)</f>
        <v>0.48060000000000003</v>
      </c>
      <c r="J116" s="848">
        <f t="shared" si="34"/>
        <v>0.48060000000000003</v>
      </c>
      <c r="K116" s="848">
        <f t="shared" si="34"/>
        <v>0.48060000000000003</v>
      </c>
      <c r="L116" s="848">
        <f t="shared" si="34"/>
        <v>0.48060000000000003</v>
      </c>
      <c r="M116" s="849">
        <f t="shared" si="34"/>
        <v>0.48060000000000003</v>
      </c>
    </row>
    <row r="117" spans="1:13">
      <c r="A117" s="847" t="s">
        <v>2702</v>
      </c>
      <c r="B117" s="848">
        <f>ROUND(0.8808-0.006*B113,4)</f>
        <v>0.75700000000000001</v>
      </c>
      <c r="C117" s="848">
        <f>B117</f>
        <v>0.75700000000000001</v>
      </c>
      <c r="D117" s="848">
        <f>ROUND(0.8748-0.008*B113,4)</f>
        <v>0.70979999999999999</v>
      </c>
      <c r="E117" s="848">
        <f t="shared" si="35"/>
        <v>0.70979999999999999</v>
      </c>
      <c r="F117" s="848">
        <f t="shared" si="35"/>
        <v>0.70979999999999999</v>
      </c>
      <c r="G117" s="848">
        <f t="shared" si="35"/>
        <v>0.70979999999999999</v>
      </c>
      <c r="H117" s="848">
        <f t="shared" si="35"/>
        <v>0.70979999999999999</v>
      </c>
      <c r="I117" s="848">
        <f>ROUND(0.7412-0.0095*B113,4)</f>
        <v>0.54520000000000002</v>
      </c>
      <c r="J117" s="848">
        <f t="shared" si="34"/>
        <v>0.54520000000000002</v>
      </c>
      <c r="K117" s="848">
        <f t="shared" si="34"/>
        <v>0.54520000000000002</v>
      </c>
      <c r="L117" s="848">
        <f t="shared" si="34"/>
        <v>0.54520000000000002</v>
      </c>
      <c r="M117" s="849">
        <f t="shared" si="34"/>
        <v>0.54520000000000002</v>
      </c>
    </row>
    <row r="118" spans="1:13" ht="13.5" thickBot="1">
      <c r="A118" s="669" t="s">
        <v>2703</v>
      </c>
      <c r="B118" s="850">
        <f>ROUND(0.7275-0.01*B113,4)</f>
        <v>0.5212</v>
      </c>
      <c r="C118" s="850">
        <f>B118</f>
        <v>0.5212</v>
      </c>
      <c r="D118" s="850">
        <f>ROUND(0.7043-0.012*B113,4)</f>
        <v>0.45669999999999999</v>
      </c>
      <c r="E118" s="850">
        <f>D118</f>
        <v>0.45669999999999999</v>
      </c>
      <c r="F118" s="850">
        <f>E118</f>
        <v>0.45669999999999999</v>
      </c>
      <c r="G118" s="850">
        <f>ROUND(0.6299-0.0122*B113,4)</f>
        <v>0.37819999999999998</v>
      </c>
      <c r="H118" s="850">
        <f>G118</f>
        <v>0.37819999999999998</v>
      </c>
      <c r="I118" s="850">
        <f>ROUND(0.5667-0.0136*B113,4)</f>
        <v>0.28610000000000002</v>
      </c>
      <c r="J118" s="850">
        <f t="shared" si="34"/>
        <v>0.28610000000000002</v>
      </c>
      <c r="K118" s="850">
        <f t="shared" si="34"/>
        <v>0.28610000000000002</v>
      </c>
      <c r="L118" s="850">
        <f t="shared" si="34"/>
        <v>0.28610000000000002</v>
      </c>
      <c r="M118" s="851">
        <f t="shared" si="34"/>
        <v>0.28610000000000002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70" zoomScaleNormal="100" zoomScaleSheetLayoutView="70" zoomScalePageLayoutView="80" workbookViewId="0">
      <selection activeCell="G67" sqref="G67"/>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t="s">
        <v>3114</v>
      </c>
      <c r="D1" s="1931"/>
      <c r="E1" s="1931"/>
      <c r="F1" s="1933" t="s">
        <v>1949</v>
      </c>
      <c r="G1" s="1744"/>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38" t="s">
        <v>1951</v>
      </c>
      <c r="B4" s="1939" t="s">
        <v>1952</v>
      </c>
      <c r="C4" s="1940" t="s">
        <v>3205</v>
      </c>
      <c r="D4" s="1940" t="s">
        <v>3172</v>
      </c>
      <c r="E4" s="3266" t="s">
        <v>1953</v>
      </c>
      <c r="F4" s="3267"/>
      <c r="G4" s="3267"/>
      <c r="H4" s="3267"/>
      <c r="I4" s="3268"/>
      <c r="K4" s="151" t="str">
        <f>IF(ISNUMBER(FIND("比较法",'结果表-基准'!C4)),"比较法",IF(ISNUMBER(FIND("成本法",'结果表-基准'!C4)),"成本法",IF(ISNUMBER(FIND("假设开发法",'结果表-基准'!C4)),"假设开发法",IF(ISNUMBER(FIND("收益法",'结果表-基准'!C4)),"收益法","基准地价系数修正法"))))</f>
        <v>比较法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02" t="s">
        <v>1954</v>
      </c>
      <c r="B5" s="3260">
        <v>25</v>
      </c>
      <c r="C5" s="3263"/>
      <c r="D5" s="3251"/>
      <c r="E5" s="136" t="s">
        <v>1955</v>
      </c>
      <c r="F5" s="1941"/>
      <c r="G5" s="1941"/>
      <c r="H5" s="1941"/>
      <c r="I5" s="1555"/>
    </row>
    <row r="6" spans="1:12" ht="12.75">
      <c r="A6" s="3202"/>
      <c r="B6" s="3260"/>
      <c r="C6" s="3265"/>
      <c r="D6" s="3251"/>
      <c r="E6" s="136" t="s">
        <v>1956</v>
      </c>
      <c r="F6" s="1941"/>
      <c r="G6" s="1941"/>
      <c r="H6" s="1941"/>
      <c r="I6" s="1555"/>
    </row>
    <row r="7" spans="1:12" ht="12.75">
      <c r="A7" s="3202"/>
      <c r="B7" s="3260"/>
      <c r="C7" s="3264"/>
      <c r="D7" s="3251"/>
      <c r="E7" s="136" t="s">
        <v>1957</v>
      </c>
      <c r="F7" s="1941"/>
      <c r="G7" s="1941"/>
      <c r="H7" s="1941"/>
      <c r="I7" s="1555"/>
    </row>
    <row r="8" spans="1:12" ht="12.75">
      <c r="A8" s="3202" t="s">
        <v>1958</v>
      </c>
      <c r="B8" s="3260">
        <v>15</v>
      </c>
      <c r="C8" s="3263"/>
      <c r="D8" s="3251"/>
      <c r="E8" s="136" t="s">
        <v>1959</v>
      </c>
      <c r="F8" s="1941"/>
      <c r="G8" s="1941"/>
      <c r="H8" s="1941"/>
      <c r="I8" s="1555"/>
    </row>
    <row r="9" spans="1:12" ht="12.75">
      <c r="A9" s="3202"/>
      <c r="B9" s="3260"/>
      <c r="C9" s="3264"/>
      <c r="D9" s="3251"/>
      <c r="E9" s="136" t="s">
        <v>1960</v>
      </c>
      <c r="F9" s="1941"/>
      <c r="G9" s="1941"/>
      <c r="H9" s="1941"/>
      <c r="I9" s="1555"/>
    </row>
    <row r="10" spans="1:12" ht="12.75">
      <c r="A10" s="3202" t="s">
        <v>1961</v>
      </c>
      <c r="B10" s="3260">
        <v>15</v>
      </c>
      <c r="C10" s="3263"/>
      <c r="D10" s="3251"/>
      <c r="E10" s="136" t="s">
        <v>1962</v>
      </c>
      <c r="F10" s="1941"/>
      <c r="G10" s="1941"/>
      <c r="H10" s="1941"/>
      <c r="I10" s="1555"/>
    </row>
    <row r="11" spans="1:12" ht="12.75">
      <c r="A11" s="3202"/>
      <c r="B11" s="3260"/>
      <c r="C11" s="3264"/>
      <c r="D11" s="3251"/>
      <c r="E11" s="136" t="s">
        <v>1963</v>
      </c>
      <c r="F11" s="1941"/>
      <c r="G11" s="1941"/>
      <c r="H11" s="1941"/>
      <c r="I11" s="1555"/>
    </row>
    <row r="12" spans="1:12" ht="12.75">
      <c r="A12" s="3202" t="s">
        <v>1964</v>
      </c>
      <c r="B12" s="3260">
        <v>15</v>
      </c>
      <c r="C12" s="3263"/>
      <c r="D12" s="3251"/>
      <c r="E12" s="136" t="s">
        <v>1965</v>
      </c>
      <c r="F12" s="1941"/>
      <c r="G12" s="1941"/>
      <c r="H12" s="1941"/>
      <c r="I12" s="1555"/>
    </row>
    <row r="13" spans="1:12" ht="12.75">
      <c r="A13" s="3202"/>
      <c r="B13" s="3260"/>
      <c r="C13" s="3264"/>
      <c r="D13" s="3251"/>
      <c r="E13" s="136" t="s">
        <v>1966</v>
      </c>
      <c r="F13" s="1941"/>
      <c r="G13" s="1941"/>
      <c r="H13" s="1941"/>
      <c r="I13" s="1555"/>
    </row>
    <row r="14" spans="1:12" ht="12.75">
      <c r="A14" s="3202" t="s">
        <v>1967</v>
      </c>
      <c r="B14" s="3260">
        <v>30</v>
      </c>
      <c r="C14" s="3263">
        <v>45</v>
      </c>
      <c r="D14" s="3251">
        <v>55</v>
      </c>
      <c r="E14" s="136" t="s">
        <v>1968</v>
      </c>
      <c r="F14" s="1941"/>
      <c r="G14" s="1941"/>
      <c r="H14" s="1941"/>
      <c r="I14" s="1555"/>
    </row>
    <row r="15" spans="1:12" ht="12.75">
      <c r="A15" s="3202"/>
      <c r="B15" s="3260"/>
      <c r="C15" s="3265"/>
      <c r="D15" s="3251"/>
      <c r="E15" s="136" t="s">
        <v>1969</v>
      </c>
      <c r="F15" s="1941"/>
      <c r="G15" s="1941"/>
      <c r="H15" s="1941"/>
      <c r="I15" s="1555"/>
    </row>
    <row r="16" spans="1:12" ht="12.75">
      <c r="A16" s="3202"/>
      <c r="B16" s="3260"/>
      <c r="C16" s="3264"/>
      <c r="D16" s="3251"/>
      <c r="E16" s="136" t="s">
        <v>1970</v>
      </c>
      <c r="F16" s="1941"/>
      <c r="G16" s="1941"/>
      <c r="H16" s="1941"/>
      <c r="I16" s="1555"/>
    </row>
    <row r="17" spans="1:36" ht="15">
      <c r="A17" s="1942" t="s">
        <v>1971</v>
      </c>
      <c r="B17" s="60"/>
      <c r="C17" s="137">
        <f>SUM(C5:C16)</f>
        <v>45</v>
      </c>
      <c r="D17" s="137">
        <f>SUM(D5:D16)</f>
        <v>55</v>
      </c>
      <c r="E17" s="134"/>
      <c r="F17" s="134"/>
      <c r="G17" s="134"/>
      <c r="H17" s="134"/>
      <c r="I17" s="134"/>
      <c r="K17" s="308"/>
      <c r="L17" s="308" t="s">
        <v>1972</v>
      </c>
      <c r="M17" s="308" t="s">
        <v>1973</v>
      </c>
    </row>
    <row r="18" spans="1:36" ht="31.9" customHeight="1" thickBot="1">
      <c r="A18" s="1943" t="s">
        <v>1974</v>
      </c>
      <c r="B18" s="1944"/>
      <c r="C18" s="138">
        <f>ROUND(C17/SUM(C17:D17),2)</f>
        <v>0.45</v>
      </c>
      <c r="D18" s="138">
        <f>1-C18</f>
        <v>0.55000000000000004</v>
      </c>
      <c r="E18" s="3282" t="s">
        <v>2872</v>
      </c>
      <c r="F18" s="3283"/>
      <c r="G18" s="3283"/>
      <c r="H18" s="3283"/>
      <c r="I18" s="3283"/>
      <c r="K18" s="308" t="s">
        <v>1975</v>
      </c>
      <c r="L18" s="308">
        <f>IF(C1="",'数据-汇总表'!E3,SUMIF(项目类型,C1,'数据-汇总表'!E17:E26)+SUMIF(项目类型,C1,'数据-汇总表'!I17:I26))</f>
        <v>440.53</v>
      </c>
      <c r="M18" s="308">
        <f>IF(C1="",'数据-汇总表'!E3,SUMIF(项目类型,C1,'数据-汇总表'!E17:E26))</f>
        <v>440.53</v>
      </c>
    </row>
    <row r="19" spans="1:36" ht="15">
      <c r="A19" s="1945" t="s">
        <v>1976</v>
      </c>
      <c r="B19" s="1946" t="s">
        <v>1977</v>
      </c>
      <c r="C19" s="139">
        <f ca="1">SUMIF(INDIRECT("'"&amp;C4&amp;"'"&amp;"!A:A"),'结果表-基准'!B19,INDIRECT("'"&amp;C4&amp;"'"&amp;"!B:B"))</f>
        <v>1933</v>
      </c>
      <c r="D19" s="140">
        <f ca="1">SUMIF(INDIRECT("'"&amp;D4&amp;"'"&amp;"!A:A"),'结果表-基准'!B19,INDIRECT("'"&amp;D4&amp;"'"&amp;"!B:B"))</f>
        <v>2527</v>
      </c>
      <c r="E19" s="1945" t="s">
        <v>1978</v>
      </c>
      <c r="F19" s="1946" t="s">
        <v>1977</v>
      </c>
      <c r="G19" s="141">
        <f ca="1">ROUND(C19*$C$18+D19*$D$18,0)</f>
        <v>2260</v>
      </c>
      <c r="H19" s="1947" t="s">
        <v>1979</v>
      </c>
      <c r="I19" s="134"/>
      <c r="K19" s="308" t="s">
        <v>1980</v>
      </c>
      <c r="L19" s="308">
        <f>IF(C1="",'数据-汇总表'!D3,SUMIF(项目类型,C1,'数据-汇总表'!D17:D26)+SUMIF(项目类型,C1,'数据-汇总表'!H17:H27))</f>
        <v>21.35</v>
      </c>
      <c r="M19" s="308">
        <f>IF(C1="",'数据-汇总表'!D3,SUMIF(项目类型,C1,'数据-汇总表'!D17:D26))</f>
        <v>21.35</v>
      </c>
    </row>
    <row r="20" spans="1:36" ht="15">
      <c r="A20" s="1948"/>
      <c r="B20" s="1155" t="s">
        <v>1981</v>
      </c>
      <c r="C20" s="142">
        <f ca="1">SUMIF(INDIRECT("'"&amp;C4&amp;"'"&amp;"!A:A"),'结果表-基准'!B20,INDIRECT("'"&amp;C4&amp;"'"&amp;"!B:B"))</f>
        <v>43884</v>
      </c>
      <c r="D20" s="143">
        <f ca="1">SUMIF(INDIRECT("'"&amp;D4&amp;"'"&amp;"!A:A"),'结果表-基准'!B20,INDIRECT("'"&amp;D4&amp;"'"&amp;"!B:B"))</f>
        <v>57352</v>
      </c>
      <c r="E20" s="1948"/>
      <c r="F20" s="1155" t="s">
        <v>1981</v>
      </c>
      <c r="G20" s="144">
        <f ca="1">ROUND(C20*$C$18+D20*$D$18,0)</f>
        <v>51291</v>
      </c>
      <c r="H20" s="916" t="s">
        <v>1982</v>
      </c>
      <c r="I20" s="134"/>
    </row>
    <row r="21" spans="1:36" ht="15" customHeight="1" thickBot="1">
      <c r="A21" s="936"/>
      <c r="B21" s="1949" t="s">
        <v>1983</v>
      </c>
      <c r="C21" s="727">
        <f ca="1">ROUND(C19*10000/L19,0)</f>
        <v>905386</v>
      </c>
      <c r="D21" s="728">
        <f ca="1">ROUND(D19*10000/L19,0)</f>
        <v>1183607</v>
      </c>
      <c r="E21" s="936"/>
      <c r="F21" s="1949" t="s">
        <v>1983</v>
      </c>
      <c r="G21" s="145">
        <f ca="1">ROUND(G19*10000/L19,0)</f>
        <v>1058548</v>
      </c>
      <c r="H21" s="1950" t="s">
        <v>1982</v>
      </c>
      <c r="I21" s="134"/>
    </row>
    <row r="22" spans="1:36" ht="15" thickBot="1">
      <c r="A22" s="1872" t="s">
        <v>1984</v>
      </c>
      <c r="B22" s="1951"/>
      <c r="C22" s="1952"/>
      <c r="D22" s="729">
        <f ca="1">IF(C19&lt;D19,D19/C19-1,C19/D19-1)</f>
        <v>0.30729436109674091</v>
      </c>
      <c r="E22" s="134"/>
      <c r="F22" s="134"/>
      <c r="G22" s="134"/>
      <c r="H22" s="134"/>
      <c r="I22" s="134"/>
    </row>
    <row r="23" spans="1:36" ht="13.5" thickBot="1">
      <c r="A23" s="1931"/>
      <c r="B23" s="1931"/>
      <c r="C23" s="1931"/>
      <c r="D23" s="1931"/>
      <c r="E23" s="134"/>
      <c r="F23" s="134"/>
      <c r="G23" s="134"/>
      <c r="H23" s="134"/>
      <c r="I23" s="134"/>
    </row>
    <row r="24" spans="1:36" ht="14.25">
      <c r="A24" s="3275" t="s">
        <v>1985</v>
      </c>
      <c r="B24" s="1946" t="s">
        <v>1977</v>
      </c>
      <c r="C24" s="141">
        <f>IF(B30=0,0,D30)</f>
        <v>0</v>
      </c>
      <c r="D24" s="1953"/>
      <c r="E24" s="134"/>
      <c r="F24" s="134"/>
      <c r="G24" s="134"/>
      <c r="H24" s="134"/>
      <c r="I24" s="134"/>
    </row>
    <row r="25" spans="1:36" ht="14.25">
      <c r="A25" s="3276"/>
      <c r="B25" s="1155"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2260</v>
      </c>
      <c r="D32" s="1959" t="s">
        <v>3212</v>
      </c>
      <c r="E32" s="134"/>
      <c r="F32" s="134"/>
      <c r="G32" s="134"/>
      <c r="H32" s="134"/>
      <c r="I32" s="134"/>
    </row>
    <row r="33" spans="1:15" ht="15">
      <c r="A33" s="893" t="s">
        <v>1992</v>
      </c>
      <c r="B33" s="1960"/>
      <c r="C33" s="1961" t="s">
        <v>3213</v>
      </c>
      <c r="D33" s="1962" t="s">
        <v>3172</v>
      </c>
      <c r="E33" s="1963" t="s">
        <v>1993</v>
      </c>
      <c r="F33" s="1964" t="str">
        <f>IF(D32="楼面单价","取值（单价）","取值（总价）")</f>
        <v>取值（总价）</v>
      </c>
      <c r="G33" s="134"/>
      <c r="H33" s="134"/>
      <c r="I33" s="134"/>
    </row>
    <row r="34" spans="1:15" ht="15">
      <c r="A34" s="1965"/>
      <c r="B34" s="1966" t="s">
        <v>1994</v>
      </c>
      <c r="C34" s="153">
        <f ca="1">IF(C33="自定义",F34,C32-C35)</f>
        <v>1957</v>
      </c>
      <c r="D34" s="969">
        <f ca="1">IF(C33="自定义",ROUND(C34/C32,3),IF(C33="收益比率",SUMIF(INDIRECT("'"&amp;D33&amp;"'"&amp;"!b:b"),"土地收益比率",INDIRECT("'"&amp;D33&amp;"'"&amp;"!c:c")),SUMIF(INDIRECT("'"&amp;D33&amp;"'"&amp;"!b:b"),"土地成本比率",INDIRECT("'"&amp;D33&amp;"'"&amp;"!c:c"))))</f>
        <v>0.86599999999999999</v>
      </c>
      <c r="E34" s="1967" t="s">
        <v>1995</v>
      </c>
      <c r="F34" s="1496"/>
      <c r="G34" s="134"/>
      <c r="H34" s="134"/>
      <c r="I34" s="134"/>
    </row>
    <row r="35" spans="1:15" ht="15.75" thickBot="1">
      <c r="A35" s="1968"/>
      <c r="B35" s="1969" t="s">
        <v>1996</v>
      </c>
      <c r="C35" s="1330">
        <f ca="1">IF(C33="自定义",F35,ROUND(C32*D35,0))</f>
        <v>303</v>
      </c>
      <c r="D35" s="1331">
        <f ca="1">IF(C33="自定义",ROUND(C35/C32,3),IF(C33="收益比率",SUMIF(INDIRECT("'"&amp;D33&amp;"'"&amp;"!b:b"),"建筑物收益比率",INDIRECT("'"&amp;D33&amp;"'"&amp;"!c:c")),SUMIF(INDIRECT("'"&amp;D33&amp;"'"&amp;"!b:b"),"建筑物成本比率",INDIRECT("'"&amp;D33&amp;"'"&amp;"!c:c"))))</f>
        <v>0.13400000000000001</v>
      </c>
      <c r="E35" s="1970" t="s">
        <v>1997</v>
      </c>
      <c r="F35" s="159"/>
      <c r="G35" s="134"/>
      <c r="H35" s="134"/>
      <c r="I35" s="134"/>
    </row>
    <row r="36" spans="1:15" ht="15.75" thickBot="1">
      <c r="A36" s="3252" t="s">
        <v>1998</v>
      </c>
      <c r="B36" s="1971" t="s">
        <v>1999</v>
      </c>
      <c r="C36" s="150"/>
      <c r="D36" s="1972"/>
      <c r="E36" s="1973"/>
      <c r="F36" s="1974"/>
      <c r="G36" s="134"/>
      <c r="H36" s="134"/>
      <c r="I36" s="134"/>
    </row>
    <row r="37" spans="1:15" ht="15.75" thickBot="1">
      <c r="A37" s="3253"/>
      <c r="B37" s="1858" t="s">
        <v>2000</v>
      </c>
      <c r="C37" s="152"/>
      <c r="D37" s="1299"/>
      <c r="E37" s="1299"/>
      <c r="F37" s="1974"/>
      <c r="G37" s="134"/>
      <c r="H37" s="134"/>
      <c r="I37" s="134"/>
    </row>
    <row r="38" spans="1:15" ht="15.75" thickBot="1">
      <c r="A38" s="3254"/>
      <c r="B38" s="1975" t="s">
        <v>2001</v>
      </c>
      <c r="C38" s="682"/>
      <c r="D38" s="1976" t="s">
        <v>2002</v>
      </c>
      <c r="E38" s="1299"/>
      <c r="F38" s="1974"/>
      <c r="G38" s="134"/>
      <c r="H38" s="134"/>
      <c r="I38" s="134"/>
    </row>
    <row r="39" spans="1:15" ht="15">
      <c r="A39" s="1948" t="s">
        <v>2003</v>
      </c>
      <c r="B39" s="1977" t="s">
        <v>1987</v>
      </c>
      <c r="C39" s="1978" t="s">
        <v>1988</v>
      </c>
      <c r="D39" s="1978" t="s">
        <v>2006</v>
      </c>
      <c r="E39" s="1979" t="s">
        <v>1989</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72" t="s">
        <v>2012</v>
      </c>
      <c r="B45" s="3273"/>
      <c r="C45" s="3274"/>
      <c r="D45" s="160">
        <f ca="1">ROUND(H101*F45,0)</f>
        <v>2260</v>
      </c>
      <c r="E45" s="161" t="s">
        <v>2013</v>
      </c>
      <c r="F45" s="162">
        <v>1</v>
      </c>
      <c r="G45" s="163" t="s">
        <v>2014</v>
      </c>
      <c r="H45" s="134"/>
      <c r="I45" s="134"/>
      <c r="J45" s="3189" t="s">
        <v>2015</v>
      </c>
      <c r="K45" s="3189"/>
      <c r="L45" s="3189"/>
      <c r="M45" s="3189"/>
      <c r="N45" s="3189"/>
      <c r="O45" s="3189"/>
    </row>
    <row r="46" spans="1:15" ht="14.25" customHeight="1">
      <c r="A46" s="3269" t="s">
        <v>2016</v>
      </c>
      <c r="B46" s="3270"/>
      <c r="C46" s="3270"/>
      <c r="D46" s="3270"/>
      <c r="E46" s="3270"/>
      <c r="F46" s="3270"/>
      <c r="G46" s="3271"/>
      <c r="H46" s="1990"/>
      <c r="I46" s="164"/>
      <c r="J46" s="3072">
        <v>1</v>
      </c>
      <c r="K46" s="3190" t="s">
        <v>2017</v>
      </c>
      <c r="L46" s="3190"/>
      <c r="M46" s="3191"/>
      <c r="N46" s="3191"/>
      <c r="O46" s="3191"/>
    </row>
    <row r="47" spans="1:15" ht="12" customHeight="1">
      <c r="A47" s="165" t="s">
        <v>2018</v>
      </c>
      <c r="B47" s="166"/>
      <c r="C47" s="167"/>
      <c r="D47" s="1245" t="s">
        <v>2019</v>
      </c>
      <c r="E47" s="308" t="s">
        <v>2020</v>
      </c>
      <c r="F47" s="168" t="s">
        <v>2021</v>
      </c>
      <c r="G47" s="2770" t="s">
        <v>2022</v>
      </c>
      <c r="H47" s="2771"/>
      <c r="I47" s="164"/>
      <c r="J47" s="3072">
        <v>2</v>
      </c>
      <c r="K47" s="3190" t="s">
        <v>2023</v>
      </c>
      <c r="L47" s="3190"/>
      <c r="M47" s="3192">
        <f>'数据-取费表'!B2</f>
        <v>44411</v>
      </c>
      <c r="N47" s="3192"/>
      <c r="O47" s="3192"/>
    </row>
    <row r="48" spans="1:15" ht="25.5">
      <c r="A48" s="3255" t="s">
        <v>2024</v>
      </c>
      <c r="B48" s="3256"/>
      <c r="C48" s="3256"/>
      <c r="D48" s="3074" t="b">
        <f>IF(H48="情况1",0,IF(H48="情况2",D52,IF(H48="情况3",D53,IF(H48="情况4",D54))))</f>
        <v>0</v>
      </c>
      <c r="E48" s="3065" t="str">
        <f>IF(H48="情况4","(销售额-原购置价)×税（费）率","销售额×税（费）率")</f>
        <v>销售额×税（费）率</v>
      </c>
      <c r="F48" s="2772">
        <f>IF(H48="情况1","免征",'数据-取费表'!B41)</f>
        <v>5.6000000000000001E-2</v>
      </c>
      <c r="G48" s="2773" t="s">
        <v>2025</v>
      </c>
      <c r="H48" s="2774"/>
      <c r="I48" s="1990"/>
      <c r="J48" s="3072">
        <v>3</v>
      </c>
      <c r="K48" s="3190" t="s">
        <v>2026</v>
      </c>
      <c r="L48" s="3190"/>
      <c r="M48" s="3193">
        <f ca="1">H101</f>
        <v>2260</v>
      </c>
      <c r="N48" s="3193"/>
      <c r="O48" s="3193"/>
    </row>
    <row r="49" spans="1:35" ht="25.5" customHeight="1">
      <c r="A49" s="3069" t="s">
        <v>2027</v>
      </c>
      <c r="B49" s="3238" t="s">
        <v>2028</v>
      </c>
      <c r="C49" s="3238"/>
      <c r="D49" s="1773">
        <v>0</v>
      </c>
      <c r="E49" s="330" t="s">
        <v>2029</v>
      </c>
      <c r="F49" s="3059" t="s">
        <v>34</v>
      </c>
      <c r="G49" s="3221"/>
      <c r="H49" s="2526" t="s">
        <v>2875</v>
      </c>
      <c r="I49" s="2527"/>
      <c r="J49" s="3072">
        <v>4</v>
      </c>
      <c r="K49" s="3190" t="str">
        <f>IF(项目基本情况!E8="房地产抵押价值","房地产抵押价值","抵押担保权已注销时的房地产抵押价值")</f>
        <v>房地产抵押价值</v>
      </c>
      <c r="L49" s="3190"/>
      <c r="M49" s="3193">
        <f ca="1">IF(项目基本情况!E8="房地产抵押价值",H107,H109)</f>
        <v>2260</v>
      </c>
      <c r="N49" s="3193"/>
      <c r="O49" s="3193"/>
    </row>
    <row r="50" spans="1:35" ht="25.5" customHeight="1">
      <c r="A50" s="2775"/>
      <c r="B50" s="3238" t="s">
        <v>2030</v>
      </c>
      <c r="C50" s="3238"/>
      <c r="D50" s="2776"/>
      <c r="E50" s="338"/>
      <c r="F50" s="3059"/>
      <c r="G50" s="3222"/>
      <c r="H50" s="2528" t="s">
        <v>2876</v>
      </c>
      <c r="I50" s="2527"/>
      <c r="J50" s="3189" t="s">
        <v>2031</v>
      </c>
      <c r="K50" s="3189"/>
      <c r="L50" s="3189"/>
      <c r="M50" s="3189"/>
      <c r="N50" s="3189"/>
      <c r="O50" s="3189"/>
    </row>
    <row r="51" spans="1:35" ht="20.45" customHeight="1">
      <c r="A51" s="2777"/>
      <c r="B51" s="3238" t="s">
        <v>2032</v>
      </c>
      <c r="C51" s="3238"/>
      <c r="D51" s="1245"/>
      <c r="E51" s="333"/>
      <c r="F51" s="3059"/>
      <c r="G51" s="3223"/>
      <c r="H51" s="2528" t="s">
        <v>2877</v>
      </c>
      <c r="I51" s="2527"/>
      <c r="J51" s="3071" t="s">
        <v>2033</v>
      </c>
      <c r="K51" s="3190" t="s">
        <v>2034</v>
      </c>
      <c r="L51" s="3190"/>
      <c r="M51" s="3071" t="s">
        <v>2035</v>
      </c>
      <c r="N51" s="3071" t="s">
        <v>2036</v>
      </c>
      <c r="O51" s="3071" t="s">
        <v>2037</v>
      </c>
    </row>
    <row r="52" spans="1:35" ht="24" customHeight="1">
      <c r="A52" s="3064" t="s">
        <v>2038</v>
      </c>
      <c r="B52" s="3238" t="s">
        <v>2039</v>
      </c>
      <c r="C52" s="3238"/>
      <c r="D52" s="1245">
        <f ca="1">ROUND(D45*'数据-取费表'!B41/(1+'数据-取费表'!C42),0)</f>
        <v>121</v>
      </c>
      <c r="E52" s="3065" t="s">
        <v>2040</v>
      </c>
      <c r="F52" s="2778">
        <f>'数据-取费表'!B41</f>
        <v>5.6000000000000001E-2</v>
      </c>
      <c r="G52" s="2779"/>
      <c r="H52" s="2768"/>
      <c r="I52" s="1991"/>
      <c r="J52" s="3072">
        <v>1</v>
      </c>
      <c r="K52" s="3215" t="s">
        <v>2041</v>
      </c>
      <c r="L52" s="3215"/>
      <c r="M52" s="2749" t="b">
        <f>D48</f>
        <v>0</v>
      </c>
      <c r="N52" s="3072" t="str">
        <f>E48</f>
        <v>销售额×税（费）率</v>
      </c>
      <c r="O52" s="2750">
        <f>F48</f>
        <v>5.6000000000000001E-2</v>
      </c>
    </row>
    <row r="53" spans="1:35" ht="12" customHeight="1">
      <c r="A53" s="3064" t="s">
        <v>2042</v>
      </c>
      <c r="B53" s="3239" t="s">
        <v>3036</v>
      </c>
      <c r="C53" s="3240"/>
      <c r="D53" s="1245">
        <f ca="1">ROUND(D45*'数据-取费表'!B41/(1+'数据-取费表'!C42),0)</f>
        <v>121</v>
      </c>
      <c r="E53" s="3065" t="s">
        <v>2040</v>
      </c>
      <c r="F53" s="2778">
        <f>'数据-取费表'!B41</f>
        <v>5.6000000000000001E-2</v>
      </c>
      <c r="G53" s="2779"/>
      <c r="H53" s="2768"/>
      <c r="I53" s="1991"/>
      <c r="J53" s="3072">
        <v>2</v>
      </c>
      <c r="K53" s="3215" t="s">
        <v>2043</v>
      </c>
      <c r="L53" s="3215"/>
      <c r="M53" s="2749">
        <f t="shared" ref="M53:O54" ca="1" si="0">D55</f>
        <v>1</v>
      </c>
      <c r="N53" s="3072" t="str">
        <f t="shared" si="0"/>
        <v>销售额×税（费）率</v>
      </c>
      <c r="O53" s="2750" t="str">
        <f t="shared" si="0"/>
        <v>免征</v>
      </c>
    </row>
    <row r="54" spans="1:35" ht="12" customHeight="1">
      <c r="A54" s="3064" t="s">
        <v>2044</v>
      </c>
      <c r="B54" s="3239" t="s">
        <v>3037</v>
      </c>
      <c r="C54" s="3240"/>
      <c r="D54" s="1245">
        <f ca="1">C68</f>
        <v>121</v>
      </c>
      <c r="E54" s="333" t="s">
        <v>2045</v>
      </c>
      <c r="F54" s="2778">
        <f>'数据-取费表'!B41</f>
        <v>5.6000000000000001E-2</v>
      </c>
      <c r="G54" s="2779"/>
      <c r="H54" s="2780"/>
      <c r="I54" s="1991"/>
      <c r="J54" s="3072">
        <v>3</v>
      </c>
      <c r="K54" s="3215" t="s">
        <v>2046</v>
      </c>
      <c r="L54" s="3215"/>
      <c r="M54" s="2749">
        <f t="shared" ca="1" si="0"/>
        <v>1279</v>
      </c>
      <c r="N54" s="3072" t="str">
        <f t="shared" si="0"/>
        <v>增值额×税（费）率</v>
      </c>
      <c r="O54" s="2751" t="str">
        <f t="shared" si="0"/>
        <v>免征</v>
      </c>
    </row>
    <row r="55" spans="1:35" ht="24" customHeight="1">
      <c r="A55" s="3278" t="s">
        <v>2047</v>
      </c>
      <c r="B55" s="3256"/>
      <c r="C55" s="3256"/>
      <c r="D55" s="3074">
        <f ca="1">IF(H55="个人住宅",0,ROUND(D45*I55,0))</f>
        <v>1</v>
      </c>
      <c r="E55" s="3065" t="s">
        <v>2048</v>
      </c>
      <c r="F55" s="2778" t="str">
        <f>IF(H55="正常",I55,"免征")</f>
        <v>免征</v>
      </c>
      <c r="G55" s="2779"/>
      <c r="H55" s="2774"/>
      <c r="I55" s="170">
        <f>'数据-取费表'!B49</f>
        <v>5.0000000000000001E-4</v>
      </c>
      <c r="J55" s="3072">
        <f>IF(H59="非个人房产","",4)</f>
        <v>4</v>
      </c>
      <c r="K55" s="3215" t="str">
        <f>IF(H59="非个人房产","——","个人所得税")</f>
        <v>个人所得税</v>
      </c>
      <c r="L55" s="3215"/>
      <c r="M55" s="2752">
        <f ca="1">D59</f>
        <v>22</v>
      </c>
      <c r="N55" s="3073" t="str">
        <f>E59</f>
        <v>差额计税</v>
      </c>
      <c r="O55" s="2753">
        <f>F59</f>
        <v>0.01</v>
      </c>
    </row>
    <row r="56" spans="1:35" ht="24.75">
      <c r="A56" s="3278" t="s">
        <v>2049</v>
      </c>
      <c r="B56" s="3256"/>
      <c r="C56" s="3256"/>
      <c r="D56" s="3074">
        <f ca="1">IF(H56="个人住宅",D57,D58)</f>
        <v>1279</v>
      </c>
      <c r="E56" s="3065" t="s">
        <v>2050</v>
      </c>
      <c r="F56" s="2778" t="str">
        <f>IF(H56="正常",F58,"免征")</f>
        <v>免征</v>
      </c>
      <c r="G56" s="2781" t="s">
        <v>2051</v>
      </c>
      <c r="H56" s="2782"/>
      <c r="I56" s="1992"/>
      <c r="J56" s="3072"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3064" t="s">
        <v>2027</v>
      </c>
      <c r="B57" s="3239" t="s">
        <v>2052</v>
      </c>
      <c r="C57" s="3240"/>
      <c r="D57" s="1773">
        <v>0</v>
      </c>
      <c r="E57" s="330" t="s">
        <v>2029</v>
      </c>
      <c r="F57" s="308"/>
      <c r="G57" s="2779"/>
      <c r="H57" s="2783"/>
      <c r="I57" s="1992"/>
      <c r="J57" s="3215">
        <f>IF(AND(J55="",J56=""),4,IF(项目基本情况!K6="上海银行",'结果表-基准'!J56+1,'结果表-基准'!J55+1))</f>
        <v>5</v>
      </c>
      <c r="K57" s="3215" t="s">
        <v>2053</v>
      </c>
      <c r="L57" s="2754" t="s">
        <v>2054</v>
      </c>
      <c r="M57" s="2755"/>
      <c r="N57" s="2756">
        <f ca="1">SUMIF(M52:M56,"&lt;9e307")</f>
        <v>1302</v>
      </c>
      <c r="O57" s="2757"/>
      <c r="P57" s="2917">
        <f ca="1">N57/M49</f>
        <v>0.57610619469026547</v>
      </c>
    </row>
    <row r="58" spans="1:35" ht="24.75">
      <c r="A58" s="3064" t="s">
        <v>2038</v>
      </c>
      <c r="B58" s="3239" t="s">
        <v>2055</v>
      </c>
      <c r="C58" s="3238"/>
      <c r="D58" s="3074">
        <f ca="1">IF(H58="转让取得",C81,C97)</f>
        <v>1279</v>
      </c>
      <c r="E58" s="3065" t="s">
        <v>2050</v>
      </c>
      <c r="F58" s="308" t="s">
        <v>34</v>
      </c>
      <c r="G58" s="2779"/>
      <c r="H58" s="2782"/>
      <c r="I58" s="1992"/>
      <c r="J58" s="3215"/>
      <c r="K58" s="3215"/>
      <c r="L58" s="2754" t="s">
        <v>2056</v>
      </c>
      <c r="M58" s="2758"/>
      <c r="N58" s="2759" t="str">
        <f ca="1">NUMBERSTRING(INT(N57*10000),2)&amp;"元整"</f>
        <v>壹仟叁佰零贰万元整</v>
      </c>
      <c r="O58" s="2760"/>
    </row>
    <row r="59" spans="1:35" ht="24.75" thickBot="1">
      <c r="A59" s="3219" t="s">
        <v>2057</v>
      </c>
      <c r="B59" s="3220"/>
      <c r="C59" s="3220"/>
      <c r="D59" s="2784">
        <f ca="1">IF(H59="非个人房产","——",IF(H59="个人住宅（满五唯一有凭证）",0,IF(H59="个人其他（无凭证）",ROUND(D45*F59,0),ROUND(C67*F59,0))))</f>
        <v>22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17">
        <f>J57+1</f>
        <v>6</v>
      </c>
      <c r="K59" s="3215" t="s">
        <v>2058</v>
      </c>
      <c r="L59" s="3072" t="s">
        <v>2054</v>
      </c>
      <c r="M59" s="2761"/>
      <c r="N59" s="2762">
        <f ca="1">M49-N57</f>
        <v>958</v>
      </c>
      <c r="O59" s="2763"/>
    </row>
    <row r="60" spans="1:35" ht="12" customHeight="1">
      <c r="A60" s="1993"/>
      <c r="B60" s="1931"/>
      <c r="C60" s="1931"/>
      <c r="D60" s="1931"/>
      <c r="E60" s="1761"/>
      <c r="F60" s="1992"/>
      <c r="G60" s="1992"/>
      <c r="H60" s="1994"/>
      <c r="I60" s="134"/>
      <c r="J60" s="3218"/>
      <c r="K60" s="3215"/>
      <c r="L60" s="2754" t="s">
        <v>2056</v>
      </c>
      <c r="M60" s="2758"/>
      <c r="N60" s="2759" t="str">
        <f ca="1">NUMBERSTRING(INT(N59*10000),2)&amp;"元整"</f>
        <v>玖佰伍拾捌万元整</v>
      </c>
      <c r="O60" s="2760"/>
    </row>
    <row r="61" spans="1:35" ht="13.5" thickBot="1">
      <c r="A61" s="3277" t="s">
        <v>2059</v>
      </c>
      <c r="B61" s="3277"/>
      <c r="C61" s="3277"/>
      <c r="D61" s="3277"/>
      <c r="E61" s="3277"/>
      <c r="F61" s="1992"/>
      <c r="G61" s="1992"/>
      <c r="H61" s="1994"/>
      <c r="I61" s="134"/>
      <c r="J61" s="3072">
        <f>J59+1</f>
        <v>7</v>
      </c>
      <c r="K61" s="3215" t="s">
        <v>2060</v>
      </c>
      <c r="L61" s="3215"/>
      <c r="M61" s="2764"/>
      <c r="N61" s="2765">
        <f ca="1">ROUND(N59*10000/'数据-汇总表'!E3,0)</f>
        <v>295</v>
      </c>
      <c r="O61" s="2766"/>
    </row>
    <row r="62" spans="1:35" ht="12.75">
      <c r="A62" s="3234" t="s">
        <v>2061</v>
      </c>
      <c r="B62" s="3235"/>
      <c r="C62" s="3068"/>
      <c r="D62" s="3068" t="s">
        <v>2062</v>
      </c>
      <c r="E62" s="171" t="s">
        <v>2063</v>
      </c>
      <c r="F62" s="1992"/>
      <c r="G62" s="1992"/>
      <c r="H62" s="1994"/>
      <c r="I62" s="134"/>
    </row>
    <row r="63" spans="1:35" ht="12.75">
      <c r="A63" s="178" t="s">
        <v>775</v>
      </c>
      <c r="B63" s="172" t="s">
        <v>2064</v>
      </c>
      <c r="C63" s="2788">
        <f ca="1">ROUND((C64+C65)/(1+'数据-取费表'!C42),0)</f>
        <v>2152</v>
      </c>
      <c r="D63" s="172"/>
      <c r="E63" s="173"/>
      <c r="F63" s="1992"/>
      <c r="G63" s="1992"/>
      <c r="H63" s="1994"/>
      <c r="I63" s="134"/>
      <c r="J63" s="3198" t="s">
        <v>2065</v>
      </c>
      <c r="K63" s="3075" t="s">
        <v>2066</v>
      </c>
      <c r="L63" s="3075">
        <f ca="1">IF(M49&gt;10000,M49*0.5%,IF(AND(M49&gt;1000,M49&lt;=10000),M49*1%,IF(AND(M49&gt;100,M49&lt;=1000),M49*3%,IF(AND(M49&gt;10,M49&lt;=100),M49*5%,M49*8%))))</f>
        <v>22.6</v>
      </c>
      <c r="M63" s="308">
        <f ca="1">ROUND(L63,1)</f>
        <v>22.6</v>
      </c>
      <c r="N63" s="2767"/>
      <c r="Z63" s="1936"/>
      <c r="AI63" s="1937"/>
    </row>
    <row r="64" spans="1:35" ht="14.25" customHeight="1">
      <c r="A64" s="174" t="s">
        <v>770</v>
      </c>
      <c r="B64" s="175" t="s">
        <v>2067</v>
      </c>
      <c r="C64" s="2789">
        <f ca="1">D45</f>
        <v>2260</v>
      </c>
      <c r="D64" s="175" t="s">
        <v>32</v>
      </c>
      <c r="E64" s="177"/>
      <c r="F64" s="1992"/>
      <c r="G64" s="1992"/>
      <c r="H64" s="1994"/>
      <c r="I64" s="134"/>
      <c r="J64" s="3198"/>
      <c r="K64" s="3075" t="s">
        <v>2068</v>
      </c>
      <c r="L64" s="3075">
        <f ca="1">IF(M49&gt;2000,M49*0.5%,IF(AND(M49&gt;1000,M49&lt;=2000),M49*0.6%,IF(AND(M49&gt;500,M49&lt;=1000),M49*0.7%,IF(AND(M49&gt;200,M49&lt;=500),M49*0.8%,IF(AND(M49&gt;100,M49&lt;=200),M49*0.9%,IF(AND(M49&gt;50,M49&lt;=100),M49*1%,IF(AND(M49&gt;20,M49&lt;=50),M49*1.5%,IF(AND(M49&gt;10,M49&lt;=20),M49*2%,IF(AND(M49&gt;1,M49&lt;=10),M49*2.5%)))))))))</f>
        <v>11.3</v>
      </c>
      <c r="M64" s="308">
        <f t="shared" ref="M64:M65" ca="1" si="1">ROUND(L64,1)</f>
        <v>11.3</v>
      </c>
      <c r="N64" s="2768" t="s">
        <v>2069</v>
      </c>
      <c r="Z64" s="1936"/>
      <c r="AI64" s="1937"/>
    </row>
    <row r="65" spans="1:35" ht="14.25" customHeight="1">
      <c r="A65" s="174" t="s">
        <v>771</v>
      </c>
      <c r="B65" s="175" t="s">
        <v>2070</v>
      </c>
      <c r="C65" s="2790"/>
      <c r="D65" s="175"/>
      <c r="E65" s="177"/>
      <c r="F65" s="1992"/>
      <c r="G65" s="1992"/>
      <c r="H65" s="1994"/>
      <c r="I65" s="134"/>
      <c r="J65" s="3198"/>
      <c r="K65" s="3075" t="s">
        <v>2071</v>
      </c>
      <c r="L65" s="3075">
        <f ca="1">IF(M49&gt;1000,M49*0.1%,IF(AND(M49&gt;500,M49&lt;=1000),M49*0.5%,IF(AND(M49&gt;50,M49&lt;=500),M49*1%,IF(AND(M49&gt;1,M49&lt;=50),M49*1.5%))))</f>
        <v>2.2600000000000002</v>
      </c>
      <c r="M65" s="308">
        <f t="shared" ca="1" si="1"/>
        <v>2.2999999999999998</v>
      </c>
      <c r="N65" s="2768" t="s">
        <v>2069</v>
      </c>
      <c r="Z65" s="1936"/>
      <c r="AI65" s="1937"/>
    </row>
    <row r="66" spans="1:35" ht="14.25" customHeight="1">
      <c r="A66" s="178" t="s">
        <v>772</v>
      </c>
      <c r="B66" s="179" t="s">
        <v>2072</v>
      </c>
      <c r="C66" s="2791"/>
      <c r="D66" s="179" t="s">
        <v>32</v>
      </c>
      <c r="E66" s="1507" t="s">
        <v>1337</v>
      </c>
      <c r="F66" s="1992"/>
      <c r="G66" s="1992"/>
      <c r="H66" s="1994"/>
      <c r="I66" s="134"/>
      <c r="J66" s="3198"/>
      <c r="K66" s="3075" t="s">
        <v>2073</v>
      </c>
      <c r="L66" s="3075">
        <f ca="1">M49*0.5%</f>
        <v>11.3</v>
      </c>
      <c r="M66" s="308">
        <f ca="1">IF(L66&gt;0.5,0.5,ROUND(L66,0))</f>
        <v>0.5</v>
      </c>
      <c r="N66" s="2768" t="s">
        <v>2074</v>
      </c>
      <c r="Z66" s="1936"/>
      <c r="AI66" s="1937"/>
    </row>
    <row r="67" spans="1:35" ht="14.25" customHeight="1">
      <c r="A67" s="178" t="s">
        <v>773</v>
      </c>
      <c r="B67" s="179" t="s">
        <v>2075</v>
      </c>
      <c r="C67" s="2792">
        <f ca="1">C63-C66</f>
        <v>2152</v>
      </c>
      <c r="D67" s="175" t="s">
        <v>32</v>
      </c>
      <c r="E67" s="177"/>
      <c r="F67" s="1992"/>
      <c r="G67" s="1992"/>
      <c r="H67" s="1994"/>
      <c r="I67" s="134"/>
      <c r="J67" s="3198"/>
      <c r="K67" s="3075" t="s">
        <v>2076</v>
      </c>
      <c r="L67" s="3075">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7"/>
      <c r="Z67" s="1936"/>
      <c r="AI67" s="1937"/>
    </row>
    <row r="68" spans="1:35" ht="14.25" customHeight="1" thickBot="1">
      <c r="A68" s="181" t="s">
        <v>774</v>
      </c>
      <c r="B68" s="182" t="s">
        <v>2077</v>
      </c>
      <c r="C68" s="2793">
        <f ca="1">IF(C67&lt;=0,0,ROUND(C67*D68,0))</f>
        <v>121</v>
      </c>
      <c r="D68" s="2794">
        <f>'数据-取费表'!B41</f>
        <v>5.6000000000000001E-2</v>
      </c>
      <c r="E68" s="184"/>
      <c r="F68" s="1992"/>
      <c r="G68" s="1992"/>
      <c r="H68" s="1994"/>
      <c r="I68" s="134"/>
      <c r="J68" s="3198"/>
      <c r="K68" s="3075" t="s">
        <v>2078</v>
      </c>
      <c r="L68" s="3075">
        <f ca="1">IF(M49&gt;10000,M49*0.5%,IF(AND(M49&gt;5000,M49&lt;=10000),M49*1%,IF(AND(M49&gt;1000,M49&lt;=5000),M49*2%,IF(AND(M49&gt;200,M49&lt;=1000),M49*3%,M49*5%))))</f>
        <v>45.2</v>
      </c>
      <c r="M68" s="308">
        <f ca="1">ROUND(L68,1)</f>
        <v>45.2</v>
      </c>
      <c r="N68" s="2767"/>
      <c r="Z68" s="1936"/>
      <c r="AI68" s="1937"/>
    </row>
    <row r="69" spans="1:35" s="1956" customFormat="1" ht="16.5" customHeight="1">
      <c r="A69" s="1995"/>
      <c r="B69" s="1996"/>
      <c r="C69" s="1997"/>
      <c r="D69" s="1998"/>
      <c r="E69" s="1999"/>
      <c r="F69" s="1761"/>
      <c r="G69" s="1761"/>
      <c r="H69" s="1760"/>
      <c r="I69" s="1931"/>
      <c r="J69" s="3198"/>
      <c r="K69" s="3075" t="s">
        <v>2079</v>
      </c>
      <c r="L69" s="3075"/>
      <c r="M69" s="308">
        <f ca="1">ROUND(SUM(M63:M68),0)</f>
        <v>84</v>
      </c>
      <c r="N69" s="2769">
        <f ca="1">M69/M49</f>
        <v>3.7168141592920353E-2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42" t="s">
        <v>2080</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2061</v>
      </c>
      <c r="B71" s="3235"/>
      <c r="C71" s="3068"/>
      <c r="D71" s="3068"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2152</v>
      </c>
      <c r="D72" s="175" t="s">
        <v>32</v>
      </c>
      <c r="E72" s="3067"/>
      <c r="F72" s="3060"/>
      <c r="G72" s="3060"/>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13</v>
      </c>
      <c r="D73" s="175" t="s">
        <v>32</v>
      </c>
      <c r="E73" s="3067"/>
      <c r="F73" s="3060"/>
      <c r="G73" s="3060"/>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3067"/>
      <c r="F74" s="3060"/>
      <c r="G74" s="3060"/>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9" t="s">
        <v>2088</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3074" t="s">
        <v>2090</v>
      </c>
      <c r="F77" s="192"/>
      <c r="G77" s="2006"/>
      <c r="H77" s="3070"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13</v>
      </c>
      <c r="D78" s="2801">
        <f>'数据-取费表'!B43</f>
        <v>6.000000000000001E-3</v>
      </c>
      <c r="E78" s="3231" t="s">
        <v>2092</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2093</v>
      </c>
      <c r="C79" s="2792">
        <f ca="1">C72-C73</f>
        <v>2139</v>
      </c>
      <c r="D79" s="175" t="s">
        <v>32</v>
      </c>
      <c r="E79" s="3067"/>
      <c r="F79" s="3060"/>
      <c r="G79" s="3060"/>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164.53846153846155</v>
      </c>
      <c r="D80" s="175" t="s">
        <v>32</v>
      </c>
      <c r="E80" s="3074"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1279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2096</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2061</v>
      </c>
      <c r="B84" s="3235"/>
      <c r="C84" s="3068"/>
      <c r="D84" s="3068"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2152</v>
      </c>
      <c r="D85" s="175" t="s">
        <v>32</v>
      </c>
      <c r="E85" s="3067"/>
      <c r="F85" s="3060"/>
      <c r="G85" s="3060"/>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13</v>
      </c>
      <c r="D86" s="2805"/>
      <c r="E86" s="3067"/>
      <c r="F86" s="3060"/>
      <c r="G86" s="3060"/>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3061"/>
      <c r="F87" s="3062"/>
      <c r="G87" s="3062"/>
      <c r="H87" s="306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3062"/>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3062"/>
      <c r="G89" s="3062"/>
      <c r="H89" s="306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3062"/>
      <c r="G90" s="3200" t="s">
        <v>2870</v>
      </c>
      <c r="H90" s="3201"/>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31" t="s">
        <v>2105</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31" t="s">
        <v>2108</v>
      </c>
      <c r="F92" s="3232"/>
      <c r="G92" s="3232"/>
      <c r="H92" s="3233"/>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13</v>
      </c>
      <c r="D93" s="2801">
        <f>'数据-取费表'!B43</f>
        <v>6.000000000000001E-3</v>
      </c>
      <c r="E93" s="3231" t="s">
        <v>2092</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9" t="s">
        <v>2112</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2093</v>
      </c>
      <c r="C95" s="2792">
        <f ca="1">ROUND(C85-C86,0)</f>
        <v>2139</v>
      </c>
      <c r="D95" s="175" t="s">
        <v>32</v>
      </c>
      <c r="E95" s="3067"/>
      <c r="F95" s="3060"/>
      <c r="G95" s="3060"/>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164.53846153846155</v>
      </c>
      <c r="D96" s="175" t="s">
        <v>32</v>
      </c>
      <c r="E96" s="3074"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1279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81" t="s">
        <v>2114</v>
      </c>
      <c r="B100" s="3182"/>
      <c r="C100" s="3182"/>
      <c r="D100" s="3216"/>
      <c r="E100" s="3182" t="s">
        <v>2115</v>
      </c>
      <c r="F100" s="3182"/>
      <c r="G100" s="3182"/>
      <c r="H100" s="3216"/>
      <c r="I100" s="134"/>
    </row>
    <row r="101" spans="1:35" ht="18.75" customHeight="1">
      <c r="A101" s="3224" t="s">
        <v>2116</v>
      </c>
      <c r="B101" s="3225"/>
      <c r="C101" s="2809" t="str">
        <f>C4</f>
        <v>比较法-办公</v>
      </c>
      <c r="D101" s="2810" t="str">
        <f>D4</f>
        <v>收益法 (元)</v>
      </c>
      <c r="E101" s="3194" t="s">
        <v>2117</v>
      </c>
      <c r="F101" s="3195"/>
      <c r="G101" s="2011" t="s">
        <v>2118</v>
      </c>
      <c r="H101" s="2819">
        <f ca="1">H118</f>
        <v>2260</v>
      </c>
      <c r="I101" s="134"/>
    </row>
    <row r="102" spans="1:35" ht="18.75" customHeight="1">
      <c r="A102" s="3226" t="s">
        <v>2119</v>
      </c>
      <c r="B102" s="2808" t="s">
        <v>2118</v>
      </c>
      <c r="C102" s="2809">
        <f ca="1">C19</f>
        <v>1933</v>
      </c>
      <c r="D102" s="2810">
        <f ca="1">D19</f>
        <v>2527</v>
      </c>
      <c r="E102" s="3194"/>
      <c r="F102" s="3195"/>
      <c r="G102" s="2011" t="s">
        <v>2120</v>
      </c>
      <c r="H102" s="2779">
        <f ca="1">I118</f>
        <v>51302</v>
      </c>
      <c r="I102" s="134"/>
    </row>
    <row r="103" spans="1:35" ht="42.75" customHeight="1">
      <c r="A103" s="3226"/>
      <c r="B103" s="2808" t="s">
        <v>2120</v>
      </c>
      <c r="C103" s="2811">
        <f ca="1">C20</f>
        <v>43884</v>
      </c>
      <c r="D103" s="2812">
        <f ca="1">D20</f>
        <v>57352</v>
      </c>
      <c r="E103" s="3187" t="s">
        <v>2121</v>
      </c>
      <c r="F103" s="3188"/>
      <c r="G103" s="2012" t="s">
        <v>2122</v>
      </c>
      <c r="H103" s="2819">
        <f>IF(D36="正常操作",H104+H105+H106,H105+H106)</f>
        <v>0</v>
      </c>
      <c r="I103" s="134"/>
    </row>
    <row r="104" spans="1:35" ht="18.75" customHeight="1">
      <c r="A104" s="3226" t="s">
        <v>2123</v>
      </c>
      <c r="B104" s="2813" t="s">
        <v>2118</v>
      </c>
      <c r="C104" s="2814">
        <f ca="1">H118</f>
        <v>2260</v>
      </c>
      <c r="D104" s="2815"/>
      <c r="E104" s="1858" t="s">
        <v>2124</v>
      </c>
      <c r="F104" s="1849"/>
      <c r="G104" s="2012" t="s">
        <v>2122</v>
      </c>
      <c r="H104" s="2820">
        <f>IF(D36="同一抵押权人同一抵押物续贷",C36&amp;"（续贷，未扣减，详见特别提示）",C36)</f>
        <v>0</v>
      </c>
      <c r="I104" s="134"/>
    </row>
    <row r="105" spans="1:35" ht="18.75" customHeight="1" thickBot="1">
      <c r="A105" s="3236"/>
      <c r="B105" s="2816" t="s">
        <v>2120</v>
      </c>
      <c r="C105" s="2817">
        <f ca="1">I118</f>
        <v>51302</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7" t="str">
        <f>IF(项目基本情况!E8="已注销","——","3.房地产抵押价值")</f>
        <v>3.房地产抵押价值</v>
      </c>
      <c r="F107" s="3195"/>
      <c r="G107" s="2011" t="s">
        <v>2118</v>
      </c>
      <c r="H107" s="2819">
        <f ca="1">IF(E107="——","——",H101-H103)</f>
        <v>2260</v>
      </c>
      <c r="I107" s="134"/>
    </row>
    <row r="108" spans="1:35" ht="18.75" customHeight="1">
      <c r="A108" s="134"/>
      <c r="B108" s="134"/>
      <c r="C108" s="134"/>
      <c r="D108" s="134"/>
      <c r="E108" s="3227"/>
      <c r="F108" s="3195"/>
      <c r="G108" s="2011" t="s">
        <v>2120</v>
      </c>
      <c r="H108" s="2779">
        <f ca="1">ROUND(H107*10000/'数据-汇总表'!E3,0)</f>
        <v>696</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2118</v>
      </c>
      <c r="H109" s="2822" t="str">
        <f>IF(E109="——","——",H101-H105-H106)</f>
        <v>——</v>
      </c>
      <c r="I109" s="134"/>
    </row>
    <row r="110" spans="1:35" ht="18.75" customHeight="1">
      <c r="A110" s="134"/>
      <c r="B110" s="134"/>
      <c r="C110" s="134"/>
      <c r="D110" s="134"/>
      <c r="E110" s="3227"/>
      <c r="F110" s="3195"/>
      <c r="G110" s="2011" t="s">
        <v>2120</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2118</v>
      </c>
      <c r="H111" s="2819" t="str">
        <f>IF(E111="——","——",N59)</f>
        <v>——</v>
      </c>
      <c r="I111" s="134"/>
    </row>
    <row r="112" spans="1:35" ht="18.75" customHeight="1" thickBot="1">
      <c r="A112" s="134"/>
      <c r="B112" s="134"/>
      <c r="C112" s="134"/>
      <c r="D112" s="134"/>
      <c r="E112" s="3229"/>
      <c r="F112" s="3230"/>
      <c r="G112" s="2014" t="s">
        <v>2120</v>
      </c>
      <c r="H112" s="2823" t="str">
        <f>IF(E111="——","——",N61)</f>
        <v>——</v>
      </c>
      <c r="I112" s="134"/>
    </row>
    <row r="113" spans="1:27" ht="18.75" customHeight="1">
      <c r="A113" s="134"/>
      <c r="B113" s="134"/>
      <c r="C113" s="134"/>
      <c r="D113" s="134"/>
      <c r="E113" s="3237" t="s">
        <v>2126</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3214</v>
      </c>
      <c r="D116" s="3212" t="s">
        <v>2132</v>
      </c>
      <c r="E116" s="3213"/>
      <c r="F116" s="3244" t="s">
        <v>2133</v>
      </c>
      <c r="G116" s="3244"/>
      <c r="H116" s="3202" t="s">
        <v>2134</v>
      </c>
      <c r="I116" s="3202"/>
    </row>
    <row r="117" spans="1:27" ht="18.75" customHeight="1">
      <c r="A117" s="3202"/>
      <c r="B117" s="3207"/>
      <c r="C117" s="3207"/>
      <c r="D117" s="3063" t="s">
        <v>2135</v>
      </c>
      <c r="E117" s="3063" t="s">
        <v>2136</v>
      </c>
      <c r="F117" s="3063" t="s">
        <v>2135</v>
      </c>
      <c r="G117" s="3063" t="s">
        <v>2137</v>
      </c>
      <c r="H117" s="3063" t="s">
        <v>2135</v>
      </c>
      <c r="I117" s="3063" t="s">
        <v>2137</v>
      </c>
    </row>
    <row r="118" spans="1:27" ht="24.75" customHeight="1">
      <c r="A118" s="2824" t="str">
        <f>项目基本情况!S2</f>
        <v>北京市房地产</v>
      </c>
      <c r="B118" s="3063">
        <f>M18</f>
        <v>440.53</v>
      </c>
      <c r="C118" s="3063">
        <f>M19</f>
        <v>21.35</v>
      </c>
      <c r="D118" s="3063">
        <f ca="1">ROUND(IF(D32="总价",C34,E118*B118/10000),0)</f>
        <v>1957</v>
      </c>
      <c r="E118" s="3063">
        <f ca="1">ROUND(IF(C33="自定义",IF(D32="楼面单价",C34,D118*10000/B118),I118-G118),0)</f>
        <v>44424</v>
      </c>
      <c r="F118" s="3063">
        <f ca="1">ROUND(IF(D32="总价",C35,G118*B118/10000),0)</f>
        <v>303</v>
      </c>
      <c r="G118" s="3063">
        <f ca="1">ROUND(IF(D32="楼面单价",C35,F118*10000/B118),0)</f>
        <v>6878</v>
      </c>
      <c r="H118" s="3063">
        <f ca="1">ROUND(IF(D32="总价",C32,I118*B118/10000),0)</f>
        <v>2260</v>
      </c>
      <c r="I118" s="3063">
        <f ca="1">ROUND(IF(D32="楼面单价",C32,H118*10000/B118),0)</f>
        <v>51302</v>
      </c>
    </row>
    <row r="119" spans="1:27" ht="18.75" customHeight="1">
      <c r="A119" s="3202" t="s">
        <v>2138</v>
      </c>
      <c r="B119" s="3202"/>
      <c r="C119" s="3202"/>
      <c r="D119" s="3208" t="str">
        <f ca="1">NUMBERSTRING(INT(D118*10000),2)&amp;"元整"</f>
        <v>壹仟玖佰伍拾柒万元整</v>
      </c>
      <c r="E119" s="3209"/>
      <c r="F119" s="3208" t="str">
        <f ca="1">NUMBERSTRING(INT(F118*10000),2)&amp;"元整"</f>
        <v>叁佰零叁万元整</v>
      </c>
      <c r="G119" s="3209"/>
      <c r="H119" s="3208" t="str">
        <f ca="1">NUMBERSTRING(INT(H118*10000),2)&amp;"元整"</f>
        <v>贰仟贰佰陆拾万元整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2138</v>
      </c>
      <c r="B121" s="3246"/>
      <c r="C121" s="3247"/>
      <c r="D121" s="3208" t="str">
        <f>IF(D120=0,"零元整",NUMBERSTRING(INT(D120*10000),2)&amp;"元整")</f>
        <v>零元整</v>
      </c>
      <c r="E121" s="3210"/>
      <c r="F121" s="3210"/>
      <c r="G121" s="3210"/>
      <c r="H121" s="3210"/>
      <c r="I121" s="3209"/>
      <c r="AA121" s="733"/>
    </row>
    <row r="122" spans="1:27" ht="18.75" customHeight="1">
      <c r="A122" s="3214" t="str">
        <f>IF(项目基本情况!B9="房地产市场价值","",MID(E107,3,LEN(E107)-2))</f>
        <v>房地产抵押价值</v>
      </c>
      <c r="B122" s="3214"/>
      <c r="C122" s="3214"/>
      <c r="D122" s="3203">
        <f ca="1">H107</f>
        <v>2260</v>
      </c>
      <c r="E122" s="3204"/>
      <c r="F122" s="3204"/>
      <c r="G122" s="3204"/>
      <c r="H122" s="3204"/>
      <c r="I122" s="3205"/>
      <c r="AA122" s="733"/>
    </row>
    <row r="123" spans="1:27" ht="18.75" customHeight="1">
      <c r="A123" s="3202" t="s">
        <v>2138</v>
      </c>
      <c r="B123" s="3202"/>
      <c r="C123" s="3202"/>
      <c r="D123" s="3208" t="str">
        <f ca="1">NUMBERSTRING(INT(D122*10000),2)&amp;"元整"</f>
        <v>贰仟贰佰陆拾万元整</v>
      </c>
      <c r="E123" s="3210"/>
      <c r="F123" s="3210"/>
      <c r="G123" s="3210"/>
      <c r="H123" s="3210"/>
      <c r="I123" s="3209"/>
      <c r="AA123" s="733"/>
    </row>
    <row r="124" spans="1:27" ht="18.75" customHeight="1">
      <c r="A124" s="3214" t="str">
        <f>IF(项目基本情况!B9="房地产市场价值","",MID(E109,3,LEN(E109)-2))</f>
        <v/>
      </c>
      <c r="B124" s="3214"/>
      <c r="C124" s="3214"/>
      <c r="D124" s="3203" t="str">
        <f>H109</f>
        <v>——</v>
      </c>
      <c r="E124" s="3204"/>
      <c r="F124" s="3204"/>
      <c r="G124" s="3204"/>
      <c r="H124" s="3204"/>
      <c r="I124" s="3205"/>
      <c r="AA124" s="733"/>
    </row>
    <row r="125" spans="1:27" ht="18.75" customHeight="1">
      <c r="A125" s="3202" t="s">
        <v>2138</v>
      </c>
      <c r="B125" s="3202"/>
      <c r="C125" s="3202"/>
      <c r="D125" s="3208" t="e">
        <f>NUMBERSTRING(INT(D124*10000),2)&amp;"元整"</f>
        <v>#VALUE!</v>
      </c>
      <c r="E125" s="3210"/>
      <c r="F125" s="3210"/>
      <c r="G125" s="3210"/>
      <c r="H125" s="3210"/>
      <c r="I125" s="3209"/>
      <c r="AA125" s="733"/>
    </row>
    <row r="126" spans="1:27" ht="18.75" customHeight="1">
      <c r="A126" s="3214" t="str">
        <f>IF(项目基本情况!B9="房地产市场价值","",MID(E111,3,LEN(E111)-2))</f>
        <v/>
      </c>
      <c r="B126" s="3214"/>
      <c r="C126" s="3214"/>
      <c r="D126" s="3203" t="str">
        <f>H111</f>
        <v>——</v>
      </c>
      <c r="E126" s="3204"/>
      <c r="F126" s="3204"/>
      <c r="G126" s="3204"/>
      <c r="H126" s="3204"/>
      <c r="I126" s="3205"/>
      <c r="AA126" s="733"/>
    </row>
    <row r="127" spans="1:27" ht="18.75" customHeight="1">
      <c r="A127" s="3202" t="s">
        <v>2138</v>
      </c>
      <c r="B127" s="3202"/>
      <c r="C127" s="3202"/>
      <c r="D127" s="3208" t="e">
        <f>NUMBERSTRING(INT(D126*10000),2)&amp;"元整"</f>
        <v>#VALUE!</v>
      </c>
      <c r="E127" s="3210"/>
      <c r="F127" s="3210"/>
      <c r="G127" s="3210"/>
      <c r="H127" s="3210"/>
      <c r="I127" s="3209"/>
      <c r="AA127" s="733"/>
    </row>
    <row r="128" spans="1:27" ht="21.75" customHeight="1">
      <c r="A128" s="3211" t="s">
        <v>2139</v>
      </c>
      <c r="B128" s="3211"/>
      <c r="C128" s="3211"/>
      <c r="D128" s="3211"/>
      <c r="E128" s="3211"/>
      <c r="F128" s="3211"/>
      <c r="G128" s="3211"/>
      <c r="H128" s="3211"/>
      <c r="I128" s="321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60" zoomScaleNormal="70" workbookViewId="0">
      <selection activeCell="D40" sqref="D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t="s">
        <v>3114</v>
      </c>
      <c r="E1" s="1400"/>
      <c r="F1" s="2063" t="s">
        <v>3193</v>
      </c>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f>IF(C2="——",ROUND(C50*D3/10000,0),ROUND(C50*D3/10000,0)-D2)</f>
        <v>1933</v>
      </c>
      <c r="C2" s="2065" t="s">
        <v>70</v>
      </c>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f>IF(C2="——",C50,ROUND(B2*10000/D3,0))</f>
        <v>43884</v>
      </c>
      <c r="C3" s="360" t="s">
        <v>2465</v>
      </c>
      <c r="D3" s="359">
        <f>IF(D1="",'数据-汇总表'!E3,SUMIF('数据-汇总表'!$C19:$C33,D1,'数据-汇总表'!$E19:$E33))</f>
        <v>440.53</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40" t="s">
        <v>2467</v>
      </c>
      <c r="D4" s="3341"/>
      <c r="E4" s="3342" t="s">
        <v>2468</v>
      </c>
      <c r="F4" s="3343"/>
      <c r="G4" s="3340" t="s">
        <v>2469</v>
      </c>
      <c r="H4" s="3341"/>
      <c r="I4" s="3340" t="s">
        <v>2470</v>
      </c>
      <c r="J4" s="3341"/>
      <c r="K4" s="567" t="s">
        <v>2471</v>
      </c>
      <c r="L4" s="2942"/>
      <c r="M4" s="2943"/>
      <c r="N4" s="2943"/>
      <c r="O4" s="2943"/>
      <c r="P4" s="3344" t="s">
        <v>2472</v>
      </c>
      <c r="Q4" s="3345"/>
      <c r="R4" s="3323" t="s">
        <v>2468</v>
      </c>
      <c r="S4" s="3324"/>
      <c r="T4" s="3323" t="s">
        <v>2469</v>
      </c>
      <c r="U4" s="3324"/>
      <c r="V4" s="3352" t="s">
        <v>2470</v>
      </c>
      <c r="W4" s="3352"/>
      <c r="X4" s="2142"/>
      <c r="Y4" s="3323" t="s">
        <v>2472</v>
      </c>
      <c r="Z4" s="3324"/>
      <c r="AA4" s="3318" t="s">
        <v>2468</v>
      </c>
      <c r="AB4" s="3318" t="s">
        <v>2469</v>
      </c>
      <c r="AC4" s="3337" t="s">
        <v>2470</v>
      </c>
    </row>
    <row r="5" spans="1:29" ht="15">
      <c r="A5" s="364"/>
      <c r="B5" s="365"/>
      <c r="C5" s="3329" t="s">
        <v>2363</v>
      </c>
      <c r="D5" s="3330"/>
      <c r="E5" s="3327" t="s">
        <v>3196</v>
      </c>
      <c r="F5" s="3328"/>
      <c r="G5" s="3333" t="s">
        <v>3197</v>
      </c>
      <c r="H5" s="3330"/>
      <c r="I5" s="3333" t="s">
        <v>3198</v>
      </c>
      <c r="J5" s="3330"/>
      <c r="K5" s="567"/>
      <c r="L5" s="2942"/>
      <c r="M5" s="2943"/>
      <c r="N5" s="2943"/>
      <c r="O5" s="2943"/>
      <c r="P5" s="3346"/>
      <c r="Q5" s="3347"/>
      <c r="R5" s="3325"/>
      <c r="S5" s="3326"/>
      <c r="T5" s="3325"/>
      <c r="U5" s="3326"/>
      <c r="V5" s="3353"/>
      <c r="W5" s="3353"/>
      <c r="X5" s="1537"/>
      <c r="Y5" s="3325"/>
      <c r="Z5" s="3326"/>
      <c r="AA5" s="3319"/>
      <c r="AB5" s="3319"/>
      <c r="AC5" s="3338"/>
    </row>
    <row r="6" spans="1:29" ht="15.75" thickBot="1">
      <c r="A6" s="366"/>
      <c r="B6" s="367"/>
      <c r="C6" s="3331" t="s">
        <v>2367</v>
      </c>
      <c r="D6" s="3332"/>
      <c r="E6" s="3334" t="s">
        <v>2367</v>
      </c>
      <c r="F6" s="3335"/>
      <c r="G6" s="3331" t="s">
        <v>2367</v>
      </c>
      <c r="H6" s="3332"/>
      <c r="I6" s="3331" t="s">
        <v>2367</v>
      </c>
      <c r="J6" s="3332"/>
      <c r="K6" s="567" t="s">
        <v>2368</v>
      </c>
      <c r="L6" s="2942"/>
      <c r="M6" s="2943"/>
      <c r="N6" s="2943"/>
      <c r="O6" s="2943"/>
      <c r="P6" s="3348"/>
      <c r="Q6" s="3349"/>
      <c r="R6" s="3325"/>
      <c r="S6" s="3326"/>
      <c r="T6" s="3350"/>
      <c r="U6" s="3351"/>
      <c r="V6" s="3353"/>
      <c r="W6" s="3353"/>
      <c r="X6" s="1537"/>
      <c r="Y6" s="3350"/>
      <c r="Z6" s="3351"/>
      <c r="AA6" s="3320"/>
      <c r="AB6" s="3320"/>
      <c r="AC6" s="3339"/>
    </row>
    <row r="7" spans="1:29" s="113" customFormat="1" ht="15.75" thickBot="1">
      <c r="A7" s="368" t="s">
        <v>2369</v>
      </c>
      <c r="B7" s="369"/>
      <c r="C7" s="370">
        <f>'数据-取费表'!B2</f>
        <v>44411</v>
      </c>
      <c r="D7" s="371">
        <v>100</v>
      </c>
      <c r="E7" s="372">
        <v>44409</v>
      </c>
      <c r="F7" s="373">
        <f>SUMIF(59:59,YEAR(E7)&amp;"-"&amp;MONTH(E7),60:60)</f>
        <v>100</v>
      </c>
      <c r="G7" s="372">
        <v>44409</v>
      </c>
      <c r="H7" s="371">
        <f>SUMIF(59:59,YEAR(G7)&amp;"-"&amp;MONTH(G7),60:60)</f>
        <v>100</v>
      </c>
      <c r="I7" s="372">
        <v>44409</v>
      </c>
      <c r="J7" s="371">
        <f>SUMIF(59:59,YEAR(I7)&amp;"-"&amp;MONTH(I7),60:60)</f>
        <v>100</v>
      </c>
      <c r="K7" s="568"/>
      <c r="L7" s="2944"/>
      <c r="M7" s="2945"/>
      <c r="N7" s="2945"/>
      <c r="O7" s="2945"/>
      <c r="P7" s="3354" t="s">
        <v>2370</v>
      </c>
      <c r="Q7" s="3355"/>
      <c r="R7" s="709" t="s">
        <v>17</v>
      </c>
      <c r="S7" s="710">
        <f t="shared" ref="S7:S15" si="0">F7</f>
        <v>100</v>
      </c>
      <c r="T7" s="709" t="s">
        <v>17</v>
      </c>
      <c r="U7" s="710">
        <f t="shared" ref="U7:U15" si="1">H7</f>
        <v>100</v>
      </c>
      <c r="V7" s="709" t="s">
        <v>17</v>
      </c>
      <c r="W7" s="710">
        <f t="shared" ref="W7:W15" si="2">J7</f>
        <v>100</v>
      </c>
      <c r="X7" s="711"/>
      <c r="Y7" s="3321" t="s">
        <v>2370</v>
      </c>
      <c r="Z7" s="3322"/>
      <c r="AA7" s="712">
        <f>D7/F7</f>
        <v>1</v>
      </c>
      <c r="AB7" s="712">
        <f>D7/H7</f>
        <v>1</v>
      </c>
      <c r="AC7" s="2143">
        <f>D7/J7</f>
        <v>1</v>
      </c>
    </row>
    <row r="8" spans="1:29" s="113" customFormat="1" ht="15.75" thickBot="1">
      <c r="A8" s="368" t="s">
        <v>2371</v>
      </c>
      <c r="B8" s="369"/>
      <c r="C8" s="374" t="s">
        <v>2473</v>
      </c>
      <c r="D8" s="371">
        <v>100</v>
      </c>
      <c r="E8" s="3086" t="s">
        <v>3194</v>
      </c>
      <c r="F8" s="373">
        <f>SUMIF(62:62,E8,63:63)-SUMIF(62:62,C8,63:63)+100</f>
        <v>100</v>
      </c>
      <c r="G8" s="3086" t="s">
        <v>3195</v>
      </c>
      <c r="H8" s="371">
        <f>SUMIF(62:62,G8,63:63)-SUMIF(62:62,C8,63:63)+100</f>
        <v>100</v>
      </c>
      <c r="I8" s="3086" t="s">
        <v>3194</v>
      </c>
      <c r="J8" s="371">
        <f>SUMIF(62:62,I8,63:63)-SUMIF(62:62,C8,63:63)+100</f>
        <v>100</v>
      </c>
      <c r="K8" s="568"/>
      <c r="L8" s="2944"/>
      <c r="M8" s="2945"/>
      <c r="N8" s="2945"/>
      <c r="O8" s="2945"/>
      <c r="P8" s="3354" t="s">
        <v>2373</v>
      </c>
      <c r="Q8" s="3322"/>
      <c r="R8" s="709" t="s">
        <v>17</v>
      </c>
      <c r="S8" s="710">
        <f t="shared" si="0"/>
        <v>100</v>
      </c>
      <c r="T8" s="709" t="s">
        <v>17</v>
      </c>
      <c r="U8" s="710">
        <f t="shared" si="1"/>
        <v>100</v>
      </c>
      <c r="V8" s="709" t="s">
        <v>17</v>
      </c>
      <c r="W8" s="710">
        <f t="shared" si="2"/>
        <v>100</v>
      </c>
      <c r="X8" s="711"/>
      <c r="Y8" s="3321" t="s">
        <v>2373</v>
      </c>
      <c r="Z8" s="3322"/>
      <c r="AA8" s="712">
        <f t="shared" ref="AA8:AA47" si="3">D8/F8</f>
        <v>1</v>
      </c>
      <c r="AB8" s="712">
        <f t="shared" ref="AB8:AB47" si="4">D8/H8</f>
        <v>1</v>
      </c>
      <c r="AC8" s="2143">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36"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36"/>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2143">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336"/>
      <c r="Q11" s="1525" t="str">
        <f t="shared" si="6"/>
        <v>容积率</v>
      </c>
      <c r="R11" s="709" t="s">
        <v>17</v>
      </c>
      <c r="S11" s="710">
        <f t="shared" si="0"/>
        <v>100</v>
      </c>
      <c r="T11" s="709" t="s">
        <v>17</v>
      </c>
      <c r="U11" s="710">
        <f t="shared" si="1"/>
        <v>100</v>
      </c>
      <c r="V11" s="709" t="s">
        <v>17</v>
      </c>
      <c r="W11" s="710">
        <f t="shared" si="2"/>
        <v>100</v>
      </c>
      <c r="X11" s="711"/>
      <c r="Y11" s="3260"/>
      <c r="Z11" s="55" t="str">
        <f t="shared" si="7"/>
        <v>容积率</v>
      </c>
      <c r="AA11" s="712">
        <f t="shared" si="3"/>
        <v>1</v>
      </c>
      <c r="AB11" s="712">
        <f t="shared" si="4"/>
        <v>1</v>
      </c>
      <c r="AC11" s="2143">
        <f t="shared" si="5"/>
        <v>1</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36"/>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36"/>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36"/>
      <c r="Q14" s="1525">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6" t="s">
        <v>2381</v>
      </c>
      <c r="Q15" s="1534" t="str">
        <f t="shared" si="6"/>
        <v>办公集聚程度</v>
      </c>
      <c r="R15" s="713" t="s">
        <v>17</v>
      </c>
      <c r="S15" s="714">
        <f t="shared" si="0"/>
        <v>100</v>
      </c>
      <c r="T15" s="713" t="s">
        <v>17</v>
      </c>
      <c r="U15" s="714">
        <f t="shared" si="1"/>
        <v>100</v>
      </c>
      <c r="V15" s="713" t="s">
        <v>17</v>
      </c>
      <c r="W15" s="714">
        <f t="shared" si="2"/>
        <v>100</v>
      </c>
      <c r="X15" s="1537"/>
      <c r="Y15" s="3358"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357"/>
      <c r="Q16" s="1534"/>
      <c r="R16" s="713"/>
      <c r="S16" s="714"/>
      <c r="T16" s="713"/>
      <c r="U16" s="714"/>
      <c r="V16" s="713"/>
      <c r="W16" s="714"/>
      <c r="X16" s="1537"/>
      <c r="Y16" s="3359"/>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7"/>
      <c r="Q17" s="1534" t="str">
        <f>B17</f>
        <v>交通便捷度</v>
      </c>
      <c r="R17" s="713" t="s">
        <v>17</v>
      </c>
      <c r="S17" s="714">
        <f>F17</f>
        <v>100</v>
      </c>
      <c r="T17" s="713" t="s">
        <v>17</v>
      </c>
      <c r="U17" s="714">
        <f>H17</f>
        <v>100</v>
      </c>
      <c r="V17" s="713" t="s">
        <v>17</v>
      </c>
      <c r="W17" s="714">
        <f>J17</f>
        <v>100</v>
      </c>
      <c r="X17" s="1537"/>
      <c r="Y17" s="3359"/>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357"/>
      <c r="Q18" s="1534"/>
      <c r="R18" s="713"/>
      <c r="S18" s="714"/>
      <c r="T18" s="713"/>
      <c r="U18" s="714"/>
      <c r="V18" s="713"/>
      <c r="W18" s="714"/>
      <c r="X18" s="1537"/>
      <c r="Y18" s="3359"/>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7"/>
      <c r="Q19" s="1534" t="str">
        <f>B19</f>
        <v>公共配套设施</v>
      </c>
      <c r="R19" s="713" t="s">
        <v>17</v>
      </c>
      <c r="S19" s="714">
        <f>F19</f>
        <v>100</v>
      </c>
      <c r="T19" s="713" t="s">
        <v>17</v>
      </c>
      <c r="U19" s="714">
        <f>H19</f>
        <v>100</v>
      </c>
      <c r="V19" s="713" t="s">
        <v>17</v>
      </c>
      <c r="W19" s="714">
        <f>J19</f>
        <v>100</v>
      </c>
      <c r="X19" s="1537"/>
      <c r="Y19" s="3359"/>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357"/>
      <c r="Q20" s="1534"/>
      <c r="R20" s="713"/>
      <c r="S20" s="714"/>
      <c r="T20" s="713"/>
      <c r="U20" s="714"/>
      <c r="V20" s="713"/>
      <c r="W20" s="714"/>
      <c r="X20" s="1537"/>
      <c r="Y20" s="3359"/>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7"/>
      <c r="Q21" s="1534" t="str">
        <f>B21</f>
        <v>基础设施水平</v>
      </c>
      <c r="R21" s="713" t="s">
        <v>17</v>
      </c>
      <c r="S21" s="714">
        <f>F21</f>
        <v>100</v>
      </c>
      <c r="T21" s="713" t="s">
        <v>17</v>
      </c>
      <c r="U21" s="714">
        <f>H21</f>
        <v>100</v>
      </c>
      <c r="V21" s="713" t="s">
        <v>17</v>
      </c>
      <c r="W21" s="714">
        <f>J21</f>
        <v>100</v>
      </c>
      <c r="X21" s="1537"/>
      <c r="Y21" s="3359"/>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0"/>
      <c r="L22" s="2949"/>
      <c r="M22" s="2943"/>
      <c r="N22" s="2943"/>
      <c r="O22" s="2943"/>
      <c r="P22" s="3357"/>
      <c r="Q22" s="1534"/>
      <c r="R22" s="713"/>
      <c r="S22" s="714"/>
      <c r="T22" s="713"/>
      <c r="U22" s="714"/>
      <c r="V22" s="713"/>
      <c r="W22" s="714"/>
      <c r="X22" s="1537"/>
      <c r="Y22" s="3359"/>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7"/>
      <c r="Q23" s="1534" t="str">
        <f>B23</f>
        <v>环境质量</v>
      </c>
      <c r="R23" s="713" t="s">
        <v>17</v>
      </c>
      <c r="S23" s="714">
        <f>F23</f>
        <v>100</v>
      </c>
      <c r="T23" s="713" t="s">
        <v>17</v>
      </c>
      <c r="U23" s="714">
        <f>H23</f>
        <v>100</v>
      </c>
      <c r="V23" s="713" t="s">
        <v>17</v>
      </c>
      <c r="W23" s="714">
        <f>J23</f>
        <v>100</v>
      </c>
      <c r="X23" s="1537"/>
      <c r="Y23" s="3359"/>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357"/>
      <c r="Q24" s="1534"/>
      <c r="R24" s="713"/>
      <c r="S24" s="714"/>
      <c r="T24" s="713"/>
      <c r="U24" s="714"/>
      <c r="V24" s="713"/>
      <c r="W24" s="714"/>
      <c r="X24" s="1537"/>
      <c r="Y24" s="3359"/>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57"/>
      <c r="Q25" s="1534" t="str">
        <f>B25</f>
        <v>毗邻道路的类型与等级</v>
      </c>
      <c r="R25" s="713" t="s">
        <v>17</v>
      </c>
      <c r="S25" s="714">
        <f>F25</f>
        <v>100</v>
      </c>
      <c r="T25" s="713" t="s">
        <v>17</v>
      </c>
      <c r="U25" s="714">
        <f>H25</f>
        <v>100</v>
      </c>
      <c r="V25" s="713" t="s">
        <v>17</v>
      </c>
      <c r="W25" s="714">
        <f>J25</f>
        <v>100</v>
      </c>
      <c r="X25" s="1537"/>
      <c r="Y25" s="3359"/>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57"/>
      <c r="Q26" s="1534"/>
      <c r="R26" s="713"/>
      <c r="S26" s="714"/>
      <c r="T26" s="713"/>
      <c r="U26" s="714"/>
      <c r="V26" s="713"/>
      <c r="W26" s="714"/>
      <c r="X26" s="1537"/>
      <c r="Y26" s="3359"/>
      <c r="Z26" s="1538"/>
      <c r="AA26" s="1535">
        <v>1</v>
      </c>
      <c r="AB26" s="1535">
        <v>1</v>
      </c>
      <c r="AC26" s="2146">
        <v>1</v>
      </c>
    </row>
    <row r="27" spans="1:29" ht="15">
      <c r="A27" s="387"/>
      <c r="B27" s="588" t="s">
        <v>2480</v>
      </c>
      <c r="C27" s="3087" t="s">
        <v>3199</v>
      </c>
      <c r="D27" s="394">
        <v>100</v>
      </c>
      <c r="E27" s="3088" t="s">
        <v>3200</v>
      </c>
      <c r="F27" s="394">
        <f>SUMIF(89:89,E27,90:90)-SUMIF(89:89,C27,90:90)+100</f>
        <v>95</v>
      </c>
      <c r="G27" s="3087" t="s">
        <v>3201</v>
      </c>
      <c r="H27" s="394">
        <f>SUMIF(89:89,G27,90:90)-SUMIF(89:89,C27,90:90)+100</f>
        <v>105</v>
      </c>
      <c r="I27" s="3088" t="s">
        <v>3202</v>
      </c>
      <c r="J27" s="394">
        <f>SUMIF(89:89,I27,90:90)-SUMIF(89:89,C27,90:90)+100</f>
        <v>100</v>
      </c>
      <c r="K27" s="569">
        <v>5</v>
      </c>
      <c r="L27" s="2949"/>
      <c r="M27" s="2943"/>
      <c r="N27" s="2943"/>
      <c r="O27" s="2943"/>
      <c r="P27" s="3357"/>
      <c r="Q27" s="1534" t="str">
        <f t="shared" ref="Q27:Q47" si="11">B27</f>
        <v>楼层</v>
      </c>
      <c r="R27" s="713" t="s">
        <v>17</v>
      </c>
      <c r="S27" s="714">
        <f>F27</f>
        <v>95</v>
      </c>
      <c r="T27" s="713" t="s">
        <v>17</v>
      </c>
      <c r="U27" s="714">
        <f>H27</f>
        <v>105</v>
      </c>
      <c r="V27" s="713" t="s">
        <v>17</v>
      </c>
      <c r="W27" s="714">
        <f>J27</f>
        <v>100</v>
      </c>
      <c r="X27" s="1537"/>
      <c r="Y27" s="3359"/>
      <c r="Z27" s="1538" t="str">
        <f>Q27</f>
        <v>楼层</v>
      </c>
      <c r="AA27" s="1535">
        <f t="shared" si="3"/>
        <v>1.0526315789473684</v>
      </c>
      <c r="AB27" s="1535">
        <f t="shared" si="4"/>
        <v>0.95238095238095233</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57"/>
      <c r="Q28" s="1525" t="str">
        <f t="shared" si="11"/>
        <v>朝向</v>
      </c>
      <c r="R28" s="709" t="s">
        <v>17</v>
      </c>
      <c r="S28" s="710">
        <f>F28</f>
        <v>100</v>
      </c>
      <c r="T28" s="709" t="s">
        <v>17</v>
      </c>
      <c r="U28" s="710">
        <f>H28</f>
        <v>100</v>
      </c>
      <c r="V28" s="709" t="s">
        <v>17</v>
      </c>
      <c r="W28" s="710">
        <f>J28</f>
        <v>100</v>
      </c>
      <c r="X28" s="711"/>
      <c r="Y28" s="3359"/>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57"/>
      <c r="Q29" s="1534">
        <f t="shared" si="11"/>
        <v>111</v>
      </c>
      <c r="R29" s="713" t="s">
        <v>17</v>
      </c>
      <c r="S29" s="714">
        <f t="shared" ref="S29:S47" si="12">F29</f>
        <v>100</v>
      </c>
      <c r="T29" s="713" t="s">
        <v>17</v>
      </c>
      <c r="U29" s="714">
        <f t="shared" ref="U29:U47" si="13">H29</f>
        <v>100</v>
      </c>
      <c r="V29" s="713" t="s">
        <v>17</v>
      </c>
      <c r="W29" s="714">
        <f t="shared" ref="W29:W47" si="14">J29</f>
        <v>100</v>
      </c>
      <c r="X29" s="1537"/>
      <c r="Y29" s="3359"/>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57"/>
      <c r="Q30" s="1534">
        <f t="shared" si="11"/>
        <v>111</v>
      </c>
      <c r="R30" s="713" t="s">
        <v>17</v>
      </c>
      <c r="S30" s="714">
        <f t="shared" si="12"/>
        <v>100</v>
      </c>
      <c r="T30" s="713" t="s">
        <v>17</v>
      </c>
      <c r="U30" s="714">
        <f t="shared" si="13"/>
        <v>100</v>
      </c>
      <c r="V30" s="713" t="s">
        <v>17</v>
      </c>
      <c r="W30" s="714">
        <f t="shared" si="14"/>
        <v>100</v>
      </c>
      <c r="X30" s="1537"/>
      <c r="Y30" s="3359"/>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57"/>
      <c r="Q31" s="1534">
        <f t="shared" si="11"/>
        <v>111</v>
      </c>
      <c r="R31" s="713" t="s">
        <v>17</v>
      </c>
      <c r="S31" s="714">
        <f t="shared" si="12"/>
        <v>100</v>
      </c>
      <c r="T31" s="713" t="s">
        <v>17</v>
      </c>
      <c r="U31" s="714">
        <f t="shared" si="13"/>
        <v>100</v>
      </c>
      <c r="V31" s="713" t="s">
        <v>17</v>
      </c>
      <c r="W31" s="714">
        <f t="shared" si="14"/>
        <v>100</v>
      </c>
      <c r="X31" s="1537"/>
      <c r="Y31" s="3359"/>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57"/>
      <c r="Q32" s="1534">
        <f t="shared" si="11"/>
        <v>111</v>
      </c>
      <c r="R32" s="713" t="s">
        <v>17</v>
      </c>
      <c r="S32" s="714">
        <f t="shared" si="12"/>
        <v>100</v>
      </c>
      <c r="T32" s="713" t="s">
        <v>17</v>
      </c>
      <c r="U32" s="714">
        <f t="shared" si="13"/>
        <v>100</v>
      </c>
      <c r="V32" s="713" t="s">
        <v>17</v>
      </c>
      <c r="W32" s="714">
        <f t="shared" si="14"/>
        <v>100</v>
      </c>
      <c r="X32" s="1537"/>
      <c r="Y32" s="3359"/>
      <c r="Z32" s="1538">
        <f t="shared" si="15"/>
        <v>111</v>
      </c>
      <c r="AA32" s="1535">
        <f t="shared" si="3"/>
        <v>1</v>
      </c>
      <c r="AB32" s="1535">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60" t="s">
        <v>2386</v>
      </c>
      <c r="Q33" s="1534" t="str">
        <f t="shared" si="11"/>
        <v>建筑类型</v>
      </c>
      <c r="R33" s="713" t="s">
        <v>17</v>
      </c>
      <c r="S33" s="714">
        <f t="shared" si="12"/>
        <v>100</v>
      </c>
      <c r="T33" s="713" t="s">
        <v>17</v>
      </c>
      <c r="U33" s="714">
        <f t="shared" si="13"/>
        <v>100</v>
      </c>
      <c r="V33" s="713" t="s">
        <v>17</v>
      </c>
      <c r="W33" s="714">
        <f t="shared" si="14"/>
        <v>100</v>
      </c>
      <c r="X33" s="1537"/>
      <c r="Y33" s="3363" t="s">
        <v>2386</v>
      </c>
      <c r="Z33" s="1538" t="str">
        <f t="shared" si="15"/>
        <v>建筑类型</v>
      </c>
      <c r="AA33" s="1535">
        <f t="shared" si="3"/>
        <v>1</v>
      </c>
      <c r="AB33" s="1535">
        <f t="shared" si="4"/>
        <v>1</v>
      </c>
      <c r="AC33" s="2146">
        <f t="shared" si="5"/>
        <v>1</v>
      </c>
    </row>
    <row r="34" spans="1:29" s="430" customFormat="1" ht="15">
      <c r="A34" s="427"/>
      <c r="B34" s="381" t="s">
        <v>2387</v>
      </c>
      <c r="C34" s="428">
        <f>典型户型修正!B24</f>
        <v>440.53</v>
      </c>
      <c r="D34" s="132">
        <v>100</v>
      </c>
      <c r="E34" s="389">
        <v>1800</v>
      </c>
      <c r="F34" s="384">
        <f>LOOKUP(E34,104:104,105:105)-LOOKUP(C34,104:104,105:105)+100</f>
        <v>90</v>
      </c>
      <c r="G34" s="388">
        <v>937</v>
      </c>
      <c r="H34" s="132">
        <f>LOOKUP(G34,104:104,105:105)-LOOKUP(C34,104:104,105:105)+100</f>
        <v>96</v>
      </c>
      <c r="I34" s="388">
        <v>231</v>
      </c>
      <c r="J34" s="132">
        <f>LOOKUP(I34,104:104,105:105)-LOOKUP(C34,104:104,105:105)+100</f>
        <v>98</v>
      </c>
      <c r="K34" s="570"/>
      <c r="L34" s="2948"/>
      <c r="M34" s="2950"/>
      <c r="N34" s="2950"/>
      <c r="O34" s="2950"/>
      <c r="P34" s="3361"/>
      <c r="Q34" s="715" t="str">
        <f t="shared" si="11"/>
        <v>项目建筑规模</v>
      </c>
      <c r="R34" s="716" t="s">
        <v>17</v>
      </c>
      <c r="S34" s="717">
        <f t="shared" si="12"/>
        <v>90</v>
      </c>
      <c r="T34" s="716" t="s">
        <v>17</v>
      </c>
      <c r="U34" s="717">
        <f t="shared" si="13"/>
        <v>96</v>
      </c>
      <c r="V34" s="716" t="s">
        <v>17</v>
      </c>
      <c r="W34" s="717">
        <f t="shared" si="14"/>
        <v>98</v>
      </c>
      <c r="X34" s="718"/>
      <c r="Y34" s="3363"/>
      <c r="Z34" s="719" t="str">
        <f t="shared" si="15"/>
        <v>项目建筑规模</v>
      </c>
      <c r="AA34" s="1535">
        <f t="shared" si="3"/>
        <v>1.1111111111111112</v>
      </c>
      <c r="AB34" s="1535">
        <f t="shared" si="4"/>
        <v>1.0416666666666667</v>
      </c>
      <c r="AC34" s="2146">
        <f t="shared" si="5"/>
        <v>1.0204081632653061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61"/>
      <c r="Q35" s="1534" t="str">
        <f t="shared" si="11"/>
        <v>建筑结构</v>
      </c>
      <c r="R35" s="713" t="s">
        <v>17</v>
      </c>
      <c r="S35" s="714">
        <f t="shared" si="12"/>
        <v>100</v>
      </c>
      <c r="T35" s="713" t="s">
        <v>17</v>
      </c>
      <c r="U35" s="714">
        <f t="shared" si="13"/>
        <v>100</v>
      </c>
      <c r="V35" s="713" t="s">
        <v>17</v>
      </c>
      <c r="W35" s="714">
        <f t="shared" si="14"/>
        <v>100</v>
      </c>
      <c r="X35" s="1537"/>
      <c r="Y35" s="3363"/>
      <c r="Z35" s="1538" t="str">
        <f t="shared" si="15"/>
        <v>建筑结构</v>
      </c>
      <c r="AA35" s="1535">
        <f t="shared" si="3"/>
        <v>1</v>
      </c>
      <c r="AB35" s="1535">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61"/>
      <c r="Q36" s="1534" t="str">
        <f t="shared" si="11"/>
        <v>公共部分装修</v>
      </c>
      <c r="R36" s="713" t="s">
        <v>17</v>
      </c>
      <c r="S36" s="714">
        <f t="shared" si="12"/>
        <v>100</v>
      </c>
      <c r="T36" s="713" t="s">
        <v>17</v>
      </c>
      <c r="U36" s="714">
        <f t="shared" si="13"/>
        <v>100</v>
      </c>
      <c r="V36" s="713" t="s">
        <v>17</v>
      </c>
      <c r="W36" s="714">
        <f t="shared" si="14"/>
        <v>100</v>
      </c>
      <c r="X36" s="1537"/>
      <c r="Y36" s="3363"/>
      <c r="Z36" s="1538" t="str">
        <f t="shared" si="15"/>
        <v>公共部分装修</v>
      </c>
      <c r="AA36" s="1535">
        <f t="shared" si="3"/>
        <v>1</v>
      </c>
      <c r="AB36" s="1535">
        <f t="shared" si="4"/>
        <v>1</v>
      </c>
      <c r="AC36" s="2146">
        <f t="shared" si="5"/>
        <v>1</v>
      </c>
    </row>
    <row r="37" spans="1:29" ht="15">
      <c r="A37" s="431"/>
      <c r="B37" s="381" t="s">
        <v>2483</v>
      </c>
      <c r="C37" s="433">
        <v>0.77</v>
      </c>
      <c r="D37" s="394">
        <v>100</v>
      </c>
      <c r="E37" s="433">
        <v>0.8</v>
      </c>
      <c r="F37" s="420">
        <f>LOOKUP(E37,111:111,112:112)-LOOKUP(C37,111:111,112:112)+100</f>
        <v>102</v>
      </c>
      <c r="G37" s="433">
        <v>0.8</v>
      </c>
      <c r="H37" s="420">
        <f>LOOKUP(G37,111:111,112:112)-LOOKUP(C37,111:111,112:112)+100</f>
        <v>102</v>
      </c>
      <c r="I37" s="433">
        <v>0.8</v>
      </c>
      <c r="J37" s="394">
        <f>LOOKUP(I37,111:111,112:112)-LOOKUP(C37,111:111,112:112)+100</f>
        <v>102</v>
      </c>
      <c r="K37" s="569">
        <v>2</v>
      </c>
      <c r="L37" s="2949"/>
      <c r="M37" s="2943"/>
      <c r="N37" s="2943"/>
      <c r="O37" s="2943"/>
      <c r="P37" s="3361"/>
      <c r="Q37" s="1534" t="str">
        <f t="shared" si="11"/>
        <v>成新度</v>
      </c>
      <c r="R37" s="713" t="s">
        <v>17</v>
      </c>
      <c r="S37" s="714">
        <f t="shared" si="12"/>
        <v>102</v>
      </c>
      <c r="T37" s="713" t="s">
        <v>17</v>
      </c>
      <c r="U37" s="714">
        <f t="shared" si="13"/>
        <v>102</v>
      </c>
      <c r="V37" s="713" t="s">
        <v>17</v>
      </c>
      <c r="W37" s="714">
        <f t="shared" si="14"/>
        <v>102</v>
      </c>
      <c r="X37" s="1537"/>
      <c r="Y37" s="3363"/>
      <c r="Z37" s="1538" t="str">
        <f t="shared" si="15"/>
        <v>成新度</v>
      </c>
      <c r="AA37" s="1535">
        <f t="shared" si="3"/>
        <v>0.98039215686274506</v>
      </c>
      <c r="AB37" s="1535">
        <f t="shared" si="4"/>
        <v>0.98039215686274506</v>
      </c>
      <c r="AC37" s="2146">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61"/>
      <c r="Q38" s="1525" t="str">
        <f t="shared" si="11"/>
        <v>写字楼等级</v>
      </c>
      <c r="R38" s="709" t="s">
        <v>17</v>
      </c>
      <c r="S38" s="710">
        <f t="shared" si="12"/>
        <v>100</v>
      </c>
      <c r="T38" s="709" t="s">
        <v>17</v>
      </c>
      <c r="U38" s="710">
        <f t="shared" si="13"/>
        <v>100</v>
      </c>
      <c r="V38" s="709" t="s">
        <v>17</v>
      </c>
      <c r="W38" s="710">
        <f t="shared" si="14"/>
        <v>100</v>
      </c>
      <c r="X38" s="711"/>
      <c r="Y38" s="3363"/>
      <c r="Z38" s="55" t="str">
        <f t="shared" si="15"/>
        <v>写字楼等级</v>
      </c>
      <c r="AA38" s="712">
        <f t="shared" si="3"/>
        <v>1</v>
      </c>
      <c r="AB38" s="712">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61" t="s">
        <v>2386</v>
      </c>
      <c r="Q39" s="1534" t="str">
        <f t="shared" si="11"/>
        <v>物业管理</v>
      </c>
      <c r="R39" s="713" t="s">
        <v>17</v>
      </c>
      <c r="S39" s="714">
        <f t="shared" si="12"/>
        <v>100</v>
      </c>
      <c r="T39" s="713" t="s">
        <v>17</v>
      </c>
      <c r="U39" s="714">
        <f t="shared" si="13"/>
        <v>100</v>
      </c>
      <c r="V39" s="713" t="s">
        <v>17</v>
      </c>
      <c r="W39" s="714">
        <f t="shared" si="14"/>
        <v>100</v>
      </c>
      <c r="X39" s="1537"/>
      <c r="Y39" s="3363"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61"/>
      <c r="Q40" s="1534" t="str">
        <f t="shared" si="11"/>
        <v>市政基础设施</v>
      </c>
      <c r="R40" s="713" t="s">
        <v>17</v>
      </c>
      <c r="S40" s="714">
        <f t="shared" si="12"/>
        <v>100</v>
      </c>
      <c r="T40" s="713" t="s">
        <v>17</v>
      </c>
      <c r="U40" s="714">
        <f t="shared" si="13"/>
        <v>100</v>
      </c>
      <c r="V40" s="713" t="s">
        <v>17</v>
      </c>
      <c r="W40" s="714">
        <f t="shared" si="14"/>
        <v>100</v>
      </c>
      <c r="X40" s="1537"/>
      <c r="Y40" s="3363"/>
      <c r="Z40" s="1538" t="str">
        <f t="shared" si="15"/>
        <v>市政基础设施</v>
      </c>
      <c r="AA40" s="1535">
        <f t="shared" si="3"/>
        <v>1</v>
      </c>
      <c r="AB40" s="1535">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61"/>
      <c r="Q41" s="1534" t="str">
        <f t="shared" si="11"/>
        <v>层高</v>
      </c>
      <c r="R41" s="713" t="s">
        <v>17</v>
      </c>
      <c r="S41" s="714">
        <f t="shared" si="12"/>
        <v>100</v>
      </c>
      <c r="T41" s="713" t="s">
        <v>17</v>
      </c>
      <c r="U41" s="714">
        <f t="shared" si="13"/>
        <v>100</v>
      </c>
      <c r="V41" s="713" t="s">
        <v>17</v>
      </c>
      <c r="W41" s="714">
        <f t="shared" si="14"/>
        <v>100</v>
      </c>
      <c r="X41" s="1537"/>
      <c r="Y41" s="3363"/>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61"/>
      <c r="Q42" s="715" t="str">
        <f t="shared" si="11"/>
        <v>单套建筑面积</v>
      </c>
      <c r="R42" s="716" t="s">
        <v>17</v>
      </c>
      <c r="S42" s="717">
        <f t="shared" si="12"/>
        <v>100</v>
      </c>
      <c r="T42" s="716" t="s">
        <v>17</v>
      </c>
      <c r="U42" s="717">
        <f t="shared" si="13"/>
        <v>100</v>
      </c>
      <c r="V42" s="716" t="s">
        <v>17</v>
      </c>
      <c r="W42" s="717">
        <f t="shared" si="14"/>
        <v>100</v>
      </c>
      <c r="X42" s="718"/>
      <c r="Y42" s="3363"/>
      <c r="Z42" s="719" t="str">
        <f t="shared" si="15"/>
        <v>单套建筑面积</v>
      </c>
      <c r="AA42" s="1535">
        <f t="shared" si="3"/>
        <v>1</v>
      </c>
      <c r="AB42" s="1535">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61"/>
      <c r="Q43" s="1534" t="str">
        <f t="shared" si="11"/>
        <v>内部装修</v>
      </c>
      <c r="R43" s="713" t="s">
        <v>17</v>
      </c>
      <c r="S43" s="714">
        <f t="shared" si="12"/>
        <v>100</v>
      </c>
      <c r="T43" s="713" t="s">
        <v>17</v>
      </c>
      <c r="U43" s="714">
        <f t="shared" si="13"/>
        <v>100</v>
      </c>
      <c r="V43" s="713" t="s">
        <v>17</v>
      </c>
      <c r="W43" s="714">
        <f t="shared" si="14"/>
        <v>100</v>
      </c>
      <c r="X43" s="1537"/>
      <c r="Y43" s="3363"/>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61"/>
      <c r="Q44" s="1534" t="str">
        <f t="shared" si="11"/>
        <v>内部装修维护情况</v>
      </c>
      <c r="R44" s="713" t="s">
        <v>17</v>
      </c>
      <c r="S44" s="714">
        <f t="shared" si="12"/>
        <v>100</v>
      </c>
      <c r="T44" s="713" t="s">
        <v>17</v>
      </c>
      <c r="U44" s="714">
        <f t="shared" si="13"/>
        <v>100</v>
      </c>
      <c r="V44" s="713" t="s">
        <v>17</v>
      </c>
      <c r="W44" s="714">
        <f t="shared" si="14"/>
        <v>100</v>
      </c>
      <c r="X44" s="1537"/>
      <c r="Y44" s="3363"/>
      <c r="Z44" s="1538" t="str">
        <f t="shared" si="15"/>
        <v>内部装修维护情况</v>
      </c>
      <c r="AA44" s="1535">
        <f t="shared" si="3"/>
        <v>1</v>
      </c>
      <c r="AB44" s="1535">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61"/>
      <c r="Q45" s="1525">
        <f t="shared" si="11"/>
        <v>111</v>
      </c>
      <c r="R45" s="709" t="s">
        <v>17</v>
      </c>
      <c r="S45" s="710">
        <f t="shared" si="12"/>
        <v>100</v>
      </c>
      <c r="T45" s="709" t="s">
        <v>17</v>
      </c>
      <c r="U45" s="710">
        <f t="shared" si="13"/>
        <v>100</v>
      </c>
      <c r="V45" s="709" t="s">
        <v>17</v>
      </c>
      <c r="W45" s="710">
        <f t="shared" si="14"/>
        <v>100</v>
      </c>
      <c r="X45" s="711"/>
      <c r="Y45" s="3363"/>
      <c r="Z45" s="55">
        <f t="shared" si="15"/>
        <v>111</v>
      </c>
      <c r="AA45" s="712">
        <f t="shared" si="3"/>
        <v>1</v>
      </c>
      <c r="AB45" s="712">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61"/>
      <c r="Q46" s="1534">
        <f t="shared" si="11"/>
        <v>111</v>
      </c>
      <c r="R46" s="713" t="s">
        <v>17</v>
      </c>
      <c r="S46" s="714">
        <f t="shared" si="12"/>
        <v>100</v>
      </c>
      <c r="T46" s="713" t="s">
        <v>17</v>
      </c>
      <c r="U46" s="714">
        <f t="shared" si="13"/>
        <v>100</v>
      </c>
      <c r="V46" s="713" t="s">
        <v>17</v>
      </c>
      <c r="W46" s="714">
        <f t="shared" si="14"/>
        <v>100</v>
      </c>
      <c r="X46" s="1537"/>
      <c r="Y46" s="3363"/>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62"/>
      <c r="Q47" s="1534">
        <f t="shared" si="11"/>
        <v>111</v>
      </c>
      <c r="R47" s="713" t="s">
        <v>17</v>
      </c>
      <c r="S47" s="714">
        <f t="shared" si="12"/>
        <v>100</v>
      </c>
      <c r="T47" s="713" t="s">
        <v>17</v>
      </c>
      <c r="U47" s="714">
        <f t="shared" si="13"/>
        <v>100</v>
      </c>
      <c r="V47" s="713" t="s">
        <v>17</v>
      </c>
      <c r="W47" s="714">
        <f t="shared" si="14"/>
        <v>100</v>
      </c>
      <c r="X47" s="1537"/>
      <c r="Y47" s="3364"/>
      <c r="Z47" s="1538">
        <f t="shared" si="15"/>
        <v>111</v>
      </c>
      <c r="AA47" s="1535">
        <f t="shared" si="3"/>
        <v>1</v>
      </c>
      <c r="AB47" s="1535">
        <f t="shared" si="4"/>
        <v>1</v>
      </c>
      <c r="AC47" s="2146">
        <f t="shared" si="5"/>
        <v>1</v>
      </c>
    </row>
    <row r="48" spans="1:29" ht="15">
      <c r="A48" s="438" t="s">
        <v>2398</v>
      </c>
      <c r="B48" s="439"/>
      <c r="C48" s="1314" t="s">
        <v>1</v>
      </c>
      <c r="D48" s="1315"/>
      <c r="E48" s="1316">
        <v>40000</v>
      </c>
      <c r="F48" s="1317"/>
      <c r="G48" s="1318">
        <v>45000</v>
      </c>
      <c r="H48" s="1319"/>
      <c r="I48" s="1316">
        <v>42000</v>
      </c>
      <c r="J48" s="444"/>
      <c r="K48" s="722"/>
      <c r="L48" s="2951"/>
      <c r="M48" s="2943"/>
      <c r="N48" s="2943"/>
      <c r="O48" s="2943"/>
      <c r="P48" s="3336" t="str">
        <f>A48</f>
        <v>成交单价（元/平方米）</v>
      </c>
      <c r="Q48" s="3365"/>
      <c r="R48" s="3366">
        <f>E48</f>
        <v>40000</v>
      </c>
      <c r="S48" s="3366"/>
      <c r="T48" s="3366">
        <f>G48</f>
        <v>45000</v>
      </c>
      <c r="U48" s="3366"/>
      <c r="V48" s="3366">
        <f>I48</f>
        <v>42000</v>
      </c>
      <c r="W48" s="3366"/>
      <c r="X48" s="405"/>
      <c r="Y48" s="720"/>
      <c r="Z48" s="405"/>
      <c r="AA48" s="405"/>
      <c r="AB48" s="405"/>
      <c r="AC48" s="586"/>
    </row>
    <row r="49" spans="1:29" ht="15.75" thickBot="1">
      <c r="A49" s="445" t="s">
        <v>2490</v>
      </c>
      <c r="B49" s="446"/>
      <c r="C49" s="1320">
        <f>R50</f>
        <v>43884</v>
      </c>
      <c r="D49" s="2536" t="s">
        <v>2879</v>
      </c>
      <c r="E49" s="1321">
        <f>R49</f>
        <v>45866</v>
      </c>
      <c r="F49" s="2537"/>
      <c r="G49" s="1320">
        <f>T49</f>
        <v>43768</v>
      </c>
      <c r="H49" s="2537"/>
      <c r="I49" s="1321">
        <f>V49</f>
        <v>42017</v>
      </c>
      <c r="J49" s="2537"/>
      <c r="K49" s="2539">
        <f>F49+H49+J49</f>
        <v>0</v>
      </c>
      <c r="L49" s="2951"/>
      <c r="M49" s="2943"/>
      <c r="N49" s="2943"/>
      <c r="O49" s="2943"/>
      <c r="P49" s="3336" t="str">
        <f>A49</f>
        <v>比较价值（元/平方米）</v>
      </c>
      <c r="Q49" s="3365"/>
      <c r="R49" s="3366">
        <f>IF(F1="售价",ROUND(PRODUCT(R48,AA7:AA47),0),ROUND(PRODUCT(R48,AA7:AA47),1))</f>
        <v>45866</v>
      </c>
      <c r="S49" s="3366"/>
      <c r="T49" s="3366">
        <f>IF(F1="售价",ROUND(PRODUCT(T48,AB7:AB47),0),ROUND(PRODUCT(T48,AB7:AB47),1))</f>
        <v>43768</v>
      </c>
      <c r="U49" s="3366"/>
      <c r="V49" s="3366">
        <f>IF(F1="售价",ROUND(PRODUCT(V48,AC7:AC47),0),ROUND(PRODUCT(V48,AC7:AC47),1))</f>
        <v>42017</v>
      </c>
      <c r="W49" s="3366"/>
      <c r="X49" s="405"/>
      <c r="Y49" s="405"/>
      <c r="Z49" s="405"/>
      <c r="AA49" s="405"/>
      <c r="AB49" s="405"/>
      <c r="AC49" s="586"/>
    </row>
    <row r="50" spans="1:29" ht="15.75" thickBot="1">
      <c r="A50" s="449" t="s">
        <v>2491</v>
      </c>
      <c r="B50" s="450"/>
      <c r="C50" s="1323">
        <f>R50</f>
        <v>43884</v>
      </c>
      <c r="D50" s="1323"/>
      <c r="E50" s="1323"/>
      <c r="F50" s="1323"/>
      <c r="G50" s="1323"/>
      <c r="H50" s="1323"/>
      <c r="I50" s="1323"/>
      <c r="J50" s="451"/>
      <c r="K50" s="723"/>
      <c r="L50" s="2951"/>
      <c r="M50" s="2943"/>
      <c r="N50" s="2943"/>
      <c r="O50" s="2943"/>
      <c r="P50" s="3367" t="str">
        <f>A50</f>
        <v>估价对象XX用房的比较价值（楼面单价，元/平方米）</v>
      </c>
      <c r="Q50" s="3368"/>
      <c r="R50" s="3369">
        <f>IF(F1="售价",ROUND(IF(D49="简单平均",AVERAGE(R49:V49),R49*F49+T49*H49+V49*J49),0),ROUND(IF(D49="简单平均",AVERAGE(R49:V49),R49*F49+T49*H49+V49*J49),1))</f>
        <v>43884</v>
      </c>
      <c r="S50" s="3369"/>
      <c r="T50" s="3369"/>
      <c r="U50" s="3369"/>
      <c r="V50" s="3369"/>
      <c r="W50" s="3369"/>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0.14664999999999995</v>
      </c>
      <c r="F53" s="457" t="str">
        <f>IF(OR(E53&gt;=0.3,E53&lt;=-0.3),"超过30%","")</f>
        <v/>
      </c>
      <c r="G53" s="456">
        <f>IF(G48&lt;G49,G49/G48-1,G48/G49-1)</f>
        <v>2.8148418936209119E-2</v>
      </c>
      <c r="H53" s="457" t="str">
        <f>IF(OR(G53&gt;=0.3,G53&lt;=-0.3),"超过30%","")</f>
        <v/>
      </c>
      <c r="I53" s="456">
        <f>IF(I48&lt;I49,I49/I48-1,I48/I49-1)</f>
        <v>4.0476190476179674E-4</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4.7934564065070351E-2</v>
      </c>
      <c r="F54" s="457" t="str">
        <f>IF(OR(E54&gt;=0.2,E54&lt;=-0.2),"超过20%","")</f>
        <v/>
      </c>
      <c r="G54" s="456">
        <f>IF(G49&lt;I49,I49/G49-1,G49/I49-1)</f>
        <v>4.1673608301401766E-2</v>
      </c>
      <c r="H54" s="457" t="str">
        <f>IF(OR(G54&gt;=0.2,G54&lt;=-0.2),"超过20%","")</f>
        <v/>
      </c>
      <c r="I54" s="456">
        <f>IF(I49&lt;E49,E49/I49-1,I49/E49-1)</f>
        <v>9.1605778613418343E-2</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0.125</v>
      </c>
      <c r="F55" s="457" t="str">
        <f>IF(OR(E55&gt;=0.3,E55&lt;=-0.3),"超过30%","")</f>
        <v/>
      </c>
      <c r="G55" s="456">
        <f>IF(G48&lt;I48,I48/G48-1,G48/I48-1)</f>
        <v>7.1428571428571397E-2</v>
      </c>
      <c r="H55" s="457" t="str">
        <f>IF(OR(G55&gt;=0.3,G55&lt;=-0.3),"超过30%","")</f>
        <v/>
      </c>
      <c r="I55" s="456">
        <f>IF(I48&lt;E48,E48/I48-1,I48/E48-1)</f>
        <v>5.0000000000000044E-2</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3" customFormat="1" ht="15">
      <c r="A60" s="466"/>
      <c r="B60" s="467"/>
      <c r="C60" s="1343">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v>4</v>
      </c>
      <c r="H69" s="506">
        <v>5</v>
      </c>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89"/>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089" t="s">
        <v>3203</v>
      </c>
      <c r="D89" s="3089" t="s">
        <v>3204</v>
      </c>
      <c r="E89" s="3089" t="s">
        <v>3200</v>
      </c>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0(含)-300</v>
      </c>
      <c r="D103" s="535" t="str">
        <f t="shared" ref="D103:L103" si="23">D104&amp;"(含)"&amp;"-"&amp;E104</f>
        <v>300(含)-600</v>
      </c>
      <c r="E103" s="535" t="str">
        <f t="shared" si="23"/>
        <v>600(含)-900</v>
      </c>
      <c r="F103" s="535" t="str">
        <f t="shared" si="23"/>
        <v>900(含)-1200</v>
      </c>
      <c r="G103" s="535" t="str">
        <f t="shared" si="23"/>
        <v>1200(含)-1500</v>
      </c>
      <c r="H103" s="535" t="str">
        <f t="shared" si="23"/>
        <v>1500(含)-1800</v>
      </c>
      <c r="I103" s="535" t="str">
        <f t="shared" si="23"/>
        <v>1800(含)-2100</v>
      </c>
      <c r="J103" s="535" t="str">
        <f t="shared" si="23"/>
        <v>2100(含)-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300</v>
      </c>
      <c r="E104" s="552">
        <v>600</v>
      </c>
      <c r="F104" s="552">
        <v>900</v>
      </c>
      <c r="G104" s="552">
        <v>1200</v>
      </c>
      <c r="H104" s="552">
        <v>1500</v>
      </c>
      <c r="I104" s="552">
        <v>1800</v>
      </c>
      <c r="J104" s="553">
        <v>2100</v>
      </c>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v>88</v>
      </c>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6" zoomScale="70" zoomScaleNormal="70" zoomScaleSheetLayoutView="70" workbookViewId="0">
      <selection activeCell="D81" sqref="D8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3114</v>
      </c>
      <c r="D1" s="1544" t="s">
        <v>70</v>
      </c>
      <c r="E1" s="1545" t="s">
        <v>1352</v>
      </c>
      <c r="F1" s="1191">
        <f ca="1">J53</f>
        <v>28.45</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2527</v>
      </c>
      <c r="C2" s="1569" t="s">
        <v>1556</v>
      </c>
      <c r="D2" s="1653">
        <f ca="1">C40+J29+L46</f>
        <v>25265080</v>
      </c>
      <c r="E2" s="1570" t="s">
        <v>1557</v>
      </c>
      <c r="F2" s="1571"/>
      <c r="G2" s="2933"/>
      <c r="H2" s="2922"/>
      <c r="I2" s="2922"/>
      <c r="J2" s="2922"/>
      <c r="K2" s="2923"/>
      <c r="L2" s="2922"/>
      <c r="M2" s="2922"/>
    </row>
    <row r="3" spans="1:37" ht="18" customHeight="1" thickBot="1">
      <c r="A3" s="1572" t="s">
        <v>1558</v>
      </c>
      <c r="B3" s="1573">
        <f ca="1">IF(ISERROR(D2/F43),0,ROUND(D2/F43,0))</f>
        <v>57352</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0">
        <f ca="1">C6+C10+C12</f>
        <v>1521397</v>
      </c>
      <c r="D5" s="1546" t="s">
        <v>1566</v>
      </c>
      <c r="E5" s="1201"/>
      <c r="F5" s="1202"/>
      <c r="G5" s="1566"/>
      <c r="H5" s="305">
        <v>1</v>
      </c>
      <c r="I5" s="306" t="s">
        <v>1565</v>
      </c>
      <c r="J5" s="1200">
        <f ca="1">J6+J10+J12</f>
        <v>0</v>
      </c>
      <c r="K5" s="1546" t="s">
        <v>1566</v>
      </c>
      <c r="L5" s="1201"/>
      <c r="M5" s="1202"/>
    </row>
    <row r="6" spans="1:37" ht="18" customHeight="1">
      <c r="A6" s="1199" t="s">
        <v>1003</v>
      </c>
      <c r="B6" s="3289" t="s">
        <v>1368</v>
      </c>
      <c r="C6" s="1204">
        <f ca="1">ROUND(F6*F8*F7*(1-F9),0)</f>
        <v>1519498</v>
      </c>
      <c r="D6" s="160" t="s">
        <v>2846</v>
      </c>
      <c r="E6" s="308" t="s">
        <v>1370</v>
      </c>
      <c r="F6" s="309">
        <f ca="1">INDIRECT("'数据-取费表'!u"&amp;$G$1)</f>
        <v>10.5</v>
      </c>
      <c r="G6" s="1566"/>
      <c r="H6" s="1199" t="s">
        <v>1003</v>
      </c>
      <c r="I6" s="3289" t="s">
        <v>1368</v>
      </c>
      <c r="J6" s="307">
        <f ca="1">ROUND(M6*M8*M7*(1-M9),0)</f>
        <v>0</v>
      </c>
      <c r="K6" s="1558" t="s">
        <v>2847</v>
      </c>
      <c r="L6" s="308" t="s">
        <v>1370</v>
      </c>
      <c r="M6" s="309">
        <f ca="1">INDIRECT("'数据-取费表'!z"&amp;$G$1)</f>
        <v>0</v>
      </c>
    </row>
    <row r="7" spans="1:37" ht="18" customHeight="1">
      <c r="A7" s="1203"/>
      <c r="B7" s="3290"/>
      <c r="C7" s="1205"/>
      <c r="D7" s="313"/>
      <c r="E7" s="1206" t="s">
        <v>1371</v>
      </c>
      <c r="F7" s="309">
        <f ca="1">IF(INDIRECT("'数据-取费表'!ah"&amp;$G$1)="",INDIRECT("'数据-取费表'!k"&amp;$G$1),INDIRECT("'数据-取费表'!ah"&amp;$G$1))</f>
        <v>440.53</v>
      </c>
      <c r="G7" s="1566"/>
      <c r="H7" s="310"/>
      <c r="I7" s="3290"/>
      <c r="J7" s="312"/>
      <c r="K7" s="313"/>
      <c r="L7" s="308" t="s">
        <v>1371</v>
      </c>
      <c r="M7" s="309">
        <f ca="1">F7</f>
        <v>440.53</v>
      </c>
    </row>
    <row r="8" spans="1:37" ht="18" customHeight="1">
      <c r="A8" s="310"/>
      <c r="B8" s="3290"/>
      <c r="C8" s="312"/>
      <c r="D8" s="313"/>
      <c r="E8" s="308" t="s">
        <v>1372</v>
      </c>
      <c r="F8" s="309">
        <f ca="1">INDIRECT("'数据-取费表'!ai"&amp;$G$1)</f>
        <v>365</v>
      </c>
      <c r="G8" s="1566"/>
      <c r="H8" s="310"/>
      <c r="I8" s="3290"/>
      <c r="J8" s="312"/>
      <c r="K8" s="313"/>
      <c r="L8" s="308" t="s">
        <v>1372</v>
      </c>
      <c r="M8" s="309">
        <f ca="1">INDIRECT("'数据-取费表'!ai"&amp;$G$1)</f>
        <v>365</v>
      </c>
    </row>
    <row r="9" spans="1:37" ht="18" customHeight="1">
      <c r="A9" s="310"/>
      <c r="B9" s="3291"/>
      <c r="C9" s="312"/>
      <c r="D9" s="313"/>
      <c r="E9" s="308" t="s">
        <v>1373</v>
      </c>
      <c r="F9" s="318">
        <f ca="1">INDIRECT("'数据-取费表'!w"&amp;$G$1)</f>
        <v>0.1</v>
      </c>
      <c r="G9" s="1566"/>
      <c r="H9" s="310"/>
      <c r="I9" s="3291"/>
      <c r="J9" s="312"/>
      <c r="K9" s="313"/>
      <c r="L9" s="319" t="s">
        <v>1373</v>
      </c>
      <c r="M9" s="320">
        <f ca="1">INDIRECT("'数据-取费表'!ab"&amp;$G$1)</f>
        <v>0</v>
      </c>
    </row>
    <row r="10" spans="1:37" ht="18" customHeight="1">
      <c r="A10" s="1199" t="s">
        <v>1007</v>
      </c>
      <c r="B10" s="1547" t="s">
        <v>1374</v>
      </c>
      <c r="C10" s="322">
        <f ca="1">ROUND(IF(F10="押一",C6/12*F11,IF(F10="押二",C6/12*2*F11,IF(F10="押三",C6/12*3*F11,C11*F11))),0)</f>
        <v>1899</v>
      </c>
      <c r="D10" s="1548" t="s">
        <v>2856</v>
      </c>
      <c r="E10" s="319" t="s">
        <v>1375</v>
      </c>
      <c r="F10" s="1274" t="s">
        <v>3189</v>
      </c>
      <c r="G10" s="1566"/>
      <c r="H10" s="1199" t="s">
        <v>1007</v>
      </c>
      <c r="I10" s="1547" t="s">
        <v>1374</v>
      </c>
      <c r="J10" s="307">
        <f ca="1">ROUND(IF(M10="押一",J6/12*M11,IF(M10="押二",J6/12*2*M11,IF(M10="押三",J6/12*3*M11,J11*M11))),0)</f>
        <v>0</v>
      </c>
      <c r="K10" s="1559" t="s">
        <v>2858</v>
      </c>
      <c r="L10" s="319" t="s">
        <v>1375</v>
      </c>
      <c r="M10" s="1274"/>
    </row>
    <row r="11" spans="1:37" ht="18" customHeight="1">
      <c r="A11" s="314"/>
      <c r="B11" s="1549" t="s">
        <v>1567</v>
      </c>
      <c r="C11" s="1089"/>
      <c r="D11" s="313"/>
      <c r="E11" s="319" t="s">
        <v>1377</v>
      </c>
      <c r="F11" s="320">
        <f ca="1">'数据-取费表'!B39</f>
        <v>1.4999999999999999E-2</v>
      </c>
      <c r="G11" s="1566"/>
      <c r="H11" s="1207"/>
      <c r="I11" s="1549" t="s">
        <v>1568</v>
      </c>
      <c r="J11" s="1089"/>
      <c r="K11" s="692"/>
      <c r="L11" s="319"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1902412</v>
      </c>
      <c r="D13" s="1239" t="s">
        <v>1380</v>
      </c>
      <c r="E13" s="1239" t="s">
        <v>1381</v>
      </c>
      <c r="F13" s="1240">
        <f ca="1">INDIRECT("'数据-取费表'!y"&amp;$G$1)</f>
        <v>0.77</v>
      </c>
      <c r="G13" s="1566"/>
      <c r="H13" s="1237">
        <v>2</v>
      </c>
      <c r="I13" s="1238" t="s">
        <v>1379</v>
      </c>
      <c r="J13" s="1198">
        <f ca="1">ROUND(J14*J15,0)</f>
        <v>0</v>
      </c>
      <c r="K13" s="1245" t="s">
        <v>1380</v>
      </c>
      <c r="L13" s="1574"/>
      <c r="M13" s="1575"/>
    </row>
    <row r="14" spans="1:37" ht="18" customHeight="1">
      <c r="A14" s="1112" t="s">
        <v>1002</v>
      </c>
      <c r="B14" s="308" t="s">
        <v>1382</v>
      </c>
      <c r="C14" s="324">
        <f ca="1">ROUND(INDIRECT("'数据-取费表'!l"&amp;$G$1)*F43+'数据-取费表'!L14*INDIRECT("'数据-取费表'!S"&amp;$G$1),0)</f>
        <v>1674014</v>
      </c>
      <c r="D14" s="1527" t="s">
        <v>1383</v>
      </c>
      <c r="E14" s="1524"/>
      <c r="F14" s="325"/>
      <c r="G14" s="1566"/>
      <c r="H14" s="1112" t="s">
        <v>1003</v>
      </c>
      <c r="I14" s="308" t="s">
        <v>1384</v>
      </c>
      <c r="J14" s="24">
        <f ca="1">C29</f>
        <v>2470665</v>
      </c>
      <c r="K14" s="15"/>
      <c r="L14" s="915"/>
      <c r="M14" s="916"/>
    </row>
    <row r="15" spans="1:37" s="1579" customFormat="1" ht="18" customHeight="1" thickBot="1">
      <c r="A15" s="1112" t="s">
        <v>1004</v>
      </c>
      <c r="B15" s="308" t="s">
        <v>1385</v>
      </c>
      <c r="C15" s="24">
        <f ca="1">ROUND(C14*F15,0)</f>
        <v>50220</v>
      </c>
      <c r="D15" s="326" t="s">
        <v>1386</v>
      </c>
      <c r="E15" s="326" t="s">
        <v>1387</v>
      </c>
      <c r="F15" s="327">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7" t="s">
        <v>998</v>
      </c>
      <c r="I16" s="1238" t="s">
        <v>1389</v>
      </c>
      <c r="J16" s="316">
        <f ca="1">ROUND(J17+J22+J23+J24,0)</f>
        <v>58326</v>
      </c>
      <c r="K16" s="1245" t="s">
        <v>1390</v>
      </c>
      <c r="L16" s="1246"/>
      <c r="M16" s="1202"/>
    </row>
    <row r="17" spans="1:37" s="1579" customFormat="1" ht="18" customHeight="1">
      <c r="A17" s="1112" t="s">
        <v>1355</v>
      </c>
      <c r="B17" s="308" t="s">
        <v>1391</v>
      </c>
      <c r="C17" s="24">
        <f ca="1">ROUND(F17*(F43+INDIRECT("'数据-取费表'!S"&amp;$G$1)),0)</f>
        <v>88106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21266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25110</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1837450</v>
      </c>
      <c r="D19" s="136" t="s">
        <v>1401</v>
      </c>
      <c r="E19" s="1542"/>
      <c r="F19" s="26"/>
      <c r="G19" s="1566"/>
      <c r="H19" s="1112" t="s">
        <v>1004</v>
      </c>
      <c r="I19" s="308" t="s">
        <v>1402</v>
      </c>
      <c r="J19" s="24">
        <f ca="1">IF(K19="按租金收入计税",ROUND(J6*M19/(1+'数据-取费表'!C42),0),ROUND(C29*M19*0.7,0))</f>
        <v>20754</v>
      </c>
      <c r="K19" s="1552" t="s">
        <v>1403</v>
      </c>
      <c r="L19" s="308" t="s">
        <v>1387</v>
      </c>
      <c r="M19" s="328">
        <f>IF(K19="按租金收入计税",'数据-取费表'!B51,'数据-取费表'!B50)</f>
        <v>1.2E-2</v>
      </c>
    </row>
    <row r="20" spans="1:37" s="1579" customFormat="1" ht="18" customHeight="1">
      <c r="A20" s="1112" t="s">
        <v>1007</v>
      </c>
      <c r="B20" s="308" t="s">
        <v>1404</v>
      </c>
      <c r="C20" s="24">
        <f ca="1">ROUND(C19*F20,0)</f>
        <v>36749</v>
      </c>
      <c r="D20" s="329" t="s">
        <v>1405</v>
      </c>
      <c r="E20" s="308" t="s">
        <v>1387</v>
      </c>
      <c r="F20" s="328">
        <f>'数据-取费表'!B37</f>
        <v>0.02</v>
      </c>
      <c r="G20" s="1578"/>
      <c r="H20" s="1112" t="s">
        <v>1354</v>
      </c>
      <c r="I20" s="160" t="s">
        <v>1406</v>
      </c>
      <c r="J20" s="25">
        <f ca="1">ROUND(M20*M21,0)</f>
        <v>512</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21.35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37060</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123612</v>
      </c>
      <c r="D23" s="335" t="str">
        <f>IF(F23&lt;=1,"(建造成本+管理费用)×利率×(建设周期÷2)","(建造成本+管理费用)×((1+利率)^(建设周期÷2)-1)")</f>
        <v>(建造成本+管理费用)×((1+利率)^(建设周期÷2)-1)</v>
      </c>
      <c r="E23" s="308" t="s">
        <v>1417</v>
      </c>
      <c r="F23" s="331">
        <f>'数据-取费表'!B20</f>
        <v>3</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8"/>
      <c r="H24" s="1247" t="s">
        <v>1358</v>
      </c>
      <c r="I24" s="1248" t="s">
        <v>1404</v>
      </c>
      <c r="J24" s="1249">
        <f ca="1">ROUND(J5*M24,0)</f>
        <v>0</v>
      </c>
      <c r="K24" s="1250" t="s">
        <v>1424</v>
      </c>
      <c r="L24" s="1248" t="s">
        <v>1420</v>
      </c>
      <c r="M24" s="1244">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7" t="s">
        <v>999</v>
      </c>
      <c r="I25" s="1252" t="s">
        <v>1428</v>
      </c>
      <c r="J25" s="316">
        <f ca="1">J5-J16</f>
        <v>-58326</v>
      </c>
      <c r="K25" s="1253" t="s">
        <v>1429</v>
      </c>
      <c r="L25" s="1254"/>
      <c r="M25" s="1255"/>
    </row>
    <row r="26" spans="1:37" ht="18" customHeight="1">
      <c r="A26" s="1112" t="s">
        <v>1002</v>
      </c>
      <c r="B26" s="308" t="s">
        <v>1430</v>
      </c>
      <c r="C26" s="24">
        <f ca="1">ROUND((C19+C20)*F26,0)</f>
        <v>281130</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2470665</v>
      </c>
      <c r="D29" s="1250"/>
      <c r="E29" s="1248"/>
      <c r="F29" s="1251"/>
      <c r="G29" s="1578"/>
      <c r="H29" s="340" t="s">
        <v>1001</v>
      </c>
      <c r="I29" s="341" t="s">
        <v>1444</v>
      </c>
      <c r="J29" s="342">
        <f ca="1">ROUND(J26/(1+F40)^F41,0)</f>
        <v>0</v>
      </c>
      <c r="K29" s="343" t="s">
        <v>1445</v>
      </c>
      <c r="L29" s="344"/>
      <c r="M29" s="345">
        <f ca="1">INDIRECT("'数据-取费表'!k"&amp;$G$1)</f>
        <v>440.53</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317944</v>
      </c>
      <c r="D30" s="1245" t="s">
        <v>1390</v>
      </c>
      <c r="E30" s="1246"/>
      <c r="F30" s="1202"/>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255209</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81040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173657</v>
      </c>
      <c r="D33" s="1552" t="s">
        <v>3190</v>
      </c>
      <c r="E33" s="308" t="s">
        <v>1387</v>
      </c>
      <c r="F33" s="328">
        <f>IF(D33="按票据","——",IF(D33="按租金收入计税",'数据-取费表'!B51,'数据-取费表'!B50))</f>
        <v>0.12</v>
      </c>
      <c r="G33" s="1566"/>
      <c r="H33" s="2927"/>
      <c r="I33" s="1580"/>
      <c r="J33" s="1581"/>
      <c r="K33" s="2928"/>
      <c r="L33" s="2927"/>
      <c r="M33" s="2927"/>
    </row>
    <row r="34" spans="1:18" ht="18" customHeight="1">
      <c r="A34" s="1199" t="s">
        <v>1354</v>
      </c>
      <c r="B34" s="160" t="s">
        <v>1406</v>
      </c>
      <c r="C34" s="25">
        <f ca="1">IF(项目基本情况!B11="自然人","——",ROUND(F34*F35,))</f>
        <v>512</v>
      </c>
      <c r="D34" s="330" t="s">
        <v>1407</v>
      </c>
      <c r="E34" s="308" t="s">
        <v>1408</v>
      </c>
      <c r="F34" s="331">
        <f>'数据-取费表'!B52</f>
        <v>24</v>
      </c>
      <c r="G34" s="1566"/>
      <c r="H34" s="2924"/>
      <c r="I34" s="1580"/>
      <c r="J34" s="1581"/>
      <c r="K34" s="2929"/>
      <c r="L34" s="2930"/>
      <c r="M34" s="2930"/>
    </row>
    <row r="35" spans="1:18" ht="18" customHeight="1">
      <c r="A35" s="1261"/>
      <c r="B35" s="1259"/>
      <c r="C35" s="29"/>
      <c r="D35" s="333"/>
      <c r="E35" s="308" t="s">
        <v>1412</v>
      </c>
      <c r="F35" s="309">
        <f ca="1">INDIRECT("'数据-取费表'!r"&amp;$G$1)</f>
        <v>21.35</v>
      </c>
      <c r="G35" s="1566"/>
      <c r="H35" s="2924"/>
      <c r="I35" s="1580"/>
      <c r="J35" s="1581"/>
      <c r="K35" s="2928"/>
      <c r="L35" s="2927"/>
      <c r="M35" s="2927"/>
    </row>
    <row r="36" spans="1:18" ht="18" customHeight="1">
      <c r="A36" s="1260" t="s">
        <v>1007</v>
      </c>
      <c r="B36" s="308" t="s">
        <v>1414</v>
      </c>
      <c r="C36" s="24">
        <f ca="1">ROUND(C29*F36,0)</f>
        <v>37060</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2854</v>
      </c>
      <c r="D37" s="1526" t="s">
        <v>1419</v>
      </c>
      <c r="E37" s="308" t="s">
        <v>1420</v>
      </c>
      <c r="F37" s="336">
        <f ca="1">INDIRECT("'数据-取费表'!Al"&amp;$G$1)</f>
        <v>1.5E-3</v>
      </c>
      <c r="G37" s="1566"/>
      <c r="H37" s="2927"/>
      <c r="I37" s="1580"/>
      <c r="J37" s="1581"/>
      <c r="K37" s="2768"/>
      <c r="L37" s="2927"/>
      <c r="M37" s="2927"/>
    </row>
    <row r="38" spans="1:18" ht="18" customHeight="1" thickBot="1">
      <c r="A38" s="1247" t="s">
        <v>1358</v>
      </c>
      <c r="B38" s="1248" t="s">
        <v>1404</v>
      </c>
      <c r="C38" s="1249">
        <f ca="1">ROUND(C5*F38,1)</f>
        <v>22821</v>
      </c>
      <c r="D38" s="1250" t="s">
        <v>1424</v>
      </c>
      <c r="E38" s="1248" t="s">
        <v>1420</v>
      </c>
      <c r="F38" s="1244">
        <f ca="1">INDIRECT("'数据-取费表'!Am"&amp;$G$1)</f>
        <v>1.4999999999999999E-2</v>
      </c>
      <c r="G38" s="1566"/>
      <c r="H38" s="2927"/>
      <c r="I38" s="1580"/>
      <c r="J38" s="1581"/>
      <c r="K38" s="2931"/>
      <c r="L38" s="2927"/>
      <c r="M38" s="2927"/>
    </row>
    <row r="39" spans="1:18" ht="24.6" customHeight="1" thickTop="1">
      <c r="A39" s="1237" t="s">
        <v>999</v>
      </c>
      <c r="B39" s="1252" t="s">
        <v>1448</v>
      </c>
      <c r="C39" s="316">
        <f ca="1">C5-C30</f>
        <v>1203453</v>
      </c>
      <c r="D39" s="1253" t="s">
        <v>1449</v>
      </c>
      <c r="E39" s="1254"/>
      <c r="F39" s="1255"/>
      <c r="G39" s="1566"/>
      <c r="H39" s="2927"/>
      <c r="I39" s="1580"/>
      <c r="J39" s="1581"/>
      <c r="K39" s="2931"/>
      <c r="L39" s="2927"/>
      <c r="M39" s="2927"/>
    </row>
    <row r="40" spans="1:18" ht="18" customHeight="1">
      <c r="A40" s="305" t="s">
        <v>1000</v>
      </c>
      <c r="B40" s="306" t="s">
        <v>1450</v>
      </c>
      <c r="C40" s="307">
        <f ca="1">ROUND(C39*(1-((1+F42)/(1+F40))^F41)/(F40-F42),0)</f>
        <v>25265080</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28.45</v>
      </c>
      <c r="G41" s="1566"/>
      <c r="H41" s="1351"/>
      <c r="I41" s="1580"/>
      <c r="J41" s="1581"/>
      <c r="K41" s="2768"/>
      <c r="L41" s="1351"/>
      <c r="M41" s="1351"/>
    </row>
    <row r="42" spans="1:18" ht="18" customHeight="1">
      <c r="A42" s="314"/>
      <c r="B42" s="315"/>
      <c r="C42" s="316"/>
      <c r="D42" s="333"/>
      <c r="E42" s="308" t="s">
        <v>1442</v>
      </c>
      <c r="F42" s="318">
        <f ca="1">INDIRECT("'数据-取费表'!v"&amp;$G$1)</f>
        <v>3.5000000000000003E-2</v>
      </c>
      <c r="G42" s="1566"/>
      <c r="H42" s="1351"/>
      <c r="I42" s="1580"/>
      <c r="J42" s="1581"/>
      <c r="K42" s="2768"/>
      <c r="L42" s="1351"/>
      <c r="M42" s="1351"/>
    </row>
    <row r="43" spans="1:18" ht="18" customHeight="1" thickBot="1">
      <c r="A43" s="340" t="s">
        <v>1001</v>
      </c>
      <c r="B43" s="341" t="s">
        <v>1452</v>
      </c>
      <c r="C43" s="342">
        <f ca="1">ROUND(C40/F43,0)</f>
        <v>57352</v>
      </c>
      <c r="D43" s="343" t="s">
        <v>1453</v>
      </c>
      <c r="E43" s="344" t="s">
        <v>1454</v>
      </c>
      <c r="F43" s="345">
        <f ca="1">INDIRECT("'数据-取费表'!k"&amp;$G$1)</f>
        <v>440.53</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f ca="1">C68-C40</f>
        <v>-30470751</v>
      </c>
      <c r="D45" s="1655" t="s">
        <v>1569</v>
      </c>
      <c r="E45" s="1582"/>
      <c r="F45" s="1582"/>
      <c r="O45" s="1585" t="s">
        <v>1484</v>
      </c>
      <c r="P45" s="1643"/>
      <c r="Q45" s="1643"/>
      <c r="R45" s="1643"/>
    </row>
    <row r="46" spans="1:18" s="1566" customFormat="1" ht="13.5" thickBot="1">
      <c r="A46" s="1586" t="s">
        <v>1485</v>
      </c>
      <c r="C46" s="1587">
        <f ca="1">ROUND(C45/10000,0)</f>
        <v>-3047</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7" t="s">
        <v>1365</v>
      </c>
      <c r="F47" s="1188"/>
      <c r="G47" s="730"/>
      <c r="I47" s="1596" t="s">
        <v>1491</v>
      </c>
      <c r="J47" s="1597" t="s">
        <v>3191</v>
      </c>
      <c r="K47" s="1598" t="s">
        <v>1492</v>
      </c>
      <c r="L47" s="1599">
        <f ca="1">INDIRECT("'数据-取费表'!d"&amp;$G$1)</f>
        <v>50</v>
      </c>
      <c r="M47" s="1562" t="str">
        <f>IF(ISNUMBER(FIND("住宅",C1)),"住宅","非住宅")</f>
        <v>非住宅</v>
      </c>
      <c r="O47" s="1600" t="s">
        <v>1008</v>
      </c>
      <c r="P47" s="1601" t="s">
        <v>1493</v>
      </c>
      <c r="Q47" s="1602">
        <f ca="1">C40+J29</f>
        <v>25265080</v>
      </c>
      <c r="R47" s="1602" t="s">
        <v>1494</v>
      </c>
    </row>
    <row r="48" spans="1:18" s="1566" customFormat="1" ht="28.5" thickBot="1">
      <c r="A48" s="1268" t="s">
        <v>1103</v>
      </c>
      <c r="B48" s="306" t="s">
        <v>1366</v>
      </c>
      <c r="C48" s="1541">
        <f ca="1">C49+C53+C55</f>
        <v>0</v>
      </c>
      <c r="D48" s="1270"/>
      <c r="E48" s="1271"/>
      <c r="F48" s="1092"/>
      <c r="G48" s="730"/>
      <c r="H48" s="731"/>
      <c r="I48" s="1603" t="s">
        <v>1495</v>
      </c>
      <c r="J48" s="1604" t="s">
        <v>3192</v>
      </c>
      <c r="K48" s="1605" t="s">
        <v>1496</v>
      </c>
      <c r="L48" s="1606">
        <f ca="1">INDIRECT("'数据-取费表'!f"&amp;$G$1)</f>
        <v>28.45</v>
      </c>
      <c r="O48" s="1600" t="s">
        <v>1009</v>
      </c>
      <c r="P48" s="1601" t="s">
        <v>1497</v>
      </c>
      <c r="Q48" s="1602" t="str">
        <f ca="1">J60</f>
        <v>0</v>
      </c>
      <c r="R48" s="1602" t="s">
        <v>1498</v>
      </c>
    </row>
    <row r="49" spans="1:18" s="1566" customFormat="1" ht="13.5" thickBot="1">
      <c r="A49" s="1105" t="s">
        <v>1104</v>
      </c>
      <c r="B49" s="1553" t="s">
        <v>1455</v>
      </c>
      <c r="C49" s="1272">
        <f ca="1">ROUND(F49*F51*F50*(1-F52),0)</f>
        <v>0</v>
      </c>
      <c r="D49" s="1184" t="s">
        <v>1369</v>
      </c>
      <c r="E49" s="1554" t="s">
        <v>1456</v>
      </c>
      <c r="F49" s="1189"/>
      <c r="G49" s="1607"/>
      <c r="H49" s="731"/>
      <c r="I49" s="1603" t="s">
        <v>1499</v>
      </c>
      <c r="J49" s="1608">
        <v>2000</v>
      </c>
      <c r="K49" s="1605" t="s">
        <v>1500</v>
      </c>
      <c r="L49" s="1609"/>
      <c r="O49" s="1610" t="s">
        <v>1010</v>
      </c>
      <c r="P49" s="1601" t="s">
        <v>1501</v>
      </c>
      <c r="Q49" s="1602">
        <f ca="1">C29</f>
        <v>2470665</v>
      </c>
      <c r="R49" s="1602" t="s">
        <v>1494</v>
      </c>
    </row>
    <row r="50" spans="1:18" s="1566" customFormat="1" ht="13.5" thickBot="1">
      <c r="A50" s="1106"/>
      <c r="B50" s="1109"/>
      <c r="C50" s="1110"/>
      <c r="D50" s="1083"/>
      <c r="E50" s="1185" t="s">
        <v>1371</v>
      </c>
      <c r="F50" s="1186">
        <f ca="1">F7</f>
        <v>440.53</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39</v>
      </c>
      <c r="K51" s="1616" t="s">
        <v>1506</v>
      </c>
      <c r="L51" s="1617">
        <f ca="1">ROUND(-PV(INDIRECT("'数据-取费表'!h"&amp;$G$1),J51,(C39-C13*C76),0),0)</f>
        <v>18990707</v>
      </c>
      <c r="M51" s="1618"/>
      <c r="O51" s="1610" t="s">
        <v>1012</v>
      </c>
      <c r="P51" s="1601" t="s">
        <v>1507</v>
      </c>
      <c r="Q51" s="1613">
        <f>J52</f>
        <v>0.09</v>
      </c>
      <c r="R51" s="1602"/>
    </row>
    <row r="52" spans="1:18" s="1566" customFormat="1" ht="13.5" thickBot="1">
      <c r="A52" s="1107"/>
      <c r="B52" s="1109"/>
      <c r="C52" s="1110"/>
      <c r="D52" s="1083"/>
      <c r="E52" s="1111" t="s">
        <v>1373</v>
      </c>
      <c r="F52" s="1183"/>
      <c r="I52" s="1619" t="s">
        <v>1508</v>
      </c>
      <c r="J52" s="1620">
        <v>0.09</v>
      </c>
      <c r="K52" s="1619" t="s">
        <v>1509</v>
      </c>
      <c r="L52" s="1620"/>
      <c r="O52" s="1610" t="s">
        <v>1013</v>
      </c>
      <c r="P52" s="1601" t="s">
        <v>1510</v>
      </c>
      <c r="Q52" s="1602">
        <f ca="1">J53</f>
        <v>28.45</v>
      </c>
      <c r="R52" s="1602" t="s">
        <v>1511</v>
      </c>
    </row>
    <row r="53" spans="1:18" s="1566" customFormat="1" ht="30.75" customHeight="1" thickBot="1">
      <c r="A53" s="1269" t="s">
        <v>1105</v>
      </c>
      <c r="B53" s="329" t="s">
        <v>1374</v>
      </c>
      <c r="C53" s="322">
        <f ca="1">ROUND(IF(F53="押一",C49/12*F11,IF(F53="押二",C49/12*2*F11,IF(F53="押三",C49/12*3*F11,C54*F11))),0)</f>
        <v>0</v>
      </c>
      <c r="D53" s="1548" t="s">
        <v>2859</v>
      </c>
      <c r="E53" s="319" t="s">
        <v>1375</v>
      </c>
      <c r="F53" s="1274"/>
      <c r="I53" s="1621" t="s">
        <v>1512</v>
      </c>
      <c r="J53" s="2384">
        <f ca="1">IF(M47="住宅",IF(D1="——",MAX(J51,L48),MAX(J51,L48-'数据-取费表'!B24)),IF(D1="——",MIN(J51,L48),MIN(J51,L48-'数据-取费表'!B24)))</f>
        <v>28.45</v>
      </c>
      <c r="K53" s="3287" t="s">
        <v>1513</v>
      </c>
      <c r="L53" s="3288"/>
      <c r="O53" s="1600" t="s">
        <v>1014</v>
      </c>
      <c r="P53" s="1601" t="s">
        <v>1514</v>
      </c>
      <c r="Q53" s="1602">
        <f ca="1">Q47+Q48</f>
        <v>25265080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1902412</v>
      </c>
      <c r="D56" s="1629"/>
      <c r="E56" s="1630"/>
      <c r="F56" s="1622"/>
      <c r="I56" s="1631" t="s">
        <v>1519</v>
      </c>
      <c r="J56" s="1632" t="s">
        <v>3164</v>
      </c>
      <c r="K56" s="1603" t="s">
        <v>1520</v>
      </c>
      <c r="L56" s="1606" t="str">
        <f ca="1">IF(L48&lt;J51,"——",L48-J51)</f>
        <v>——</v>
      </c>
      <c r="O56" s="1600" t="s">
        <v>1008</v>
      </c>
      <c r="P56" s="1601" t="s">
        <v>1493</v>
      </c>
      <c r="Q56" s="1602">
        <f ca="1">C40+J29</f>
        <v>25265080</v>
      </c>
      <c r="R56" s="1602" t="s">
        <v>1494</v>
      </c>
    </row>
    <row r="57" spans="1:18" s="1566" customFormat="1" ht="24.75" thickBot="1">
      <c r="A57" s="1633"/>
      <c r="B57" s="1080" t="s">
        <v>1443</v>
      </c>
      <c r="C57" s="244">
        <f ca="1">C29</f>
        <v>2470665</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247962</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208048</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207536</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512</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25265080</v>
      </c>
      <c r="R62" s="1602" t="s">
        <v>1015</v>
      </c>
    </row>
    <row r="63" spans="1:18" s="1566" customFormat="1" ht="13.5" thickBot="1">
      <c r="A63" s="332"/>
      <c r="B63" s="1086"/>
      <c r="C63" s="29"/>
      <c r="D63" s="1096"/>
      <c r="E63" s="1080" t="s">
        <v>1464</v>
      </c>
      <c r="F63" s="309">
        <f t="shared" ca="1" si="0"/>
        <v>21.35</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37060</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2854</v>
      </c>
      <c r="D65" s="1094" t="s">
        <v>1419</v>
      </c>
      <c r="E65" s="1080" t="s">
        <v>1420</v>
      </c>
      <c r="F65" s="336">
        <f t="shared" ca="1" si="0"/>
        <v>1.5E-3</v>
      </c>
      <c r="I65" s="1644" t="s">
        <v>1544</v>
      </c>
      <c r="J65" s="1645">
        <v>40</v>
      </c>
      <c r="K65" s="1645">
        <v>30</v>
      </c>
      <c r="L65" s="1645">
        <v>50</v>
      </c>
      <c r="M65" s="1647">
        <v>0.02</v>
      </c>
      <c r="O65" s="1600" t="s">
        <v>1008</v>
      </c>
      <c r="P65" s="1601" t="s">
        <v>1545</v>
      </c>
      <c r="Q65" s="1602">
        <f ca="1">C40+J29</f>
        <v>25265080</v>
      </c>
      <c r="R65" s="1602" t="s">
        <v>1494</v>
      </c>
    </row>
    <row r="66" spans="1:18" s="1566" customFormat="1" ht="16.5" thickBot="1">
      <c r="A66" s="1112" t="s">
        <v>1469</v>
      </c>
      <c r="B66" s="1080" t="s">
        <v>1404</v>
      </c>
      <c r="C66" s="24">
        <f ca="1">ROUND(C48*F66,0)</f>
        <v>0</v>
      </c>
      <c r="D66" s="1094" t="s">
        <v>1470</v>
      </c>
      <c r="E66" s="1080" t="s">
        <v>1387</v>
      </c>
      <c r="F66" s="318">
        <f t="shared" ca="1" si="0"/>
        <v>1.4999999999999999E-2</v>
      </c>
      <c r="O66" s="1600" t="s">
        <v>1009</v>
      </c>
      <c r="P66" s="1601" t="s">
        <v>1523</v>
      </c>
      <c r="Q66" s="1602">
        <f ca="1">L60</f>
        <v>0</v>
      </c>
      <c r="R66" s="1602" t="s">
        <v>1546</v>
      </c>
    </row>
    <row r="67" spans="1:18" s="1566" customFormat="1" ht="16.5" thickBot="1">
      <c r="A67" s="1087" t="s">
        <v>999</v>
      </c>
      <c r="B67" s="1097" t="s">
        <v>1428</v>
      </c>
      <c r="C67" s="322">
        <f ca="1">C48-C58</f>
        <v>-247962</v>
      </c>
      <c r="D67" s="1093" t="s">
        <v>1429</v>
      </c>
      <c r="E67" s="1098"/>
      <c r="F67" s="1099"/>
      <c r="O67" s="1610" t="s">
        <v>1010</v>
      </c>
      <c r="P67" s="1601" t="s">
        <v>1527</v>
      </c>
      <c r="Q67" s="1648">
        <f ca="1">L51</f>
        <v>18990707</v>
      </c>
      <c r="R67" s="1602" t="s">
        <v>1547</v>
      </c>
    </row>
    <row r="68" spans="1:18" s="1566" customFormat="1" ht="16.5" thickBot="1">
      <c r="A68" s="1077" t="s">
        <v>1000</v>
      </c>
      <c r="B68" s="1078" t="s">
        <v>1450</v>
      </c>
      <c r="C68" s="307">
        <f ca="1">ROUND(C67*(1-((1+F70)/(1+F68))^F69)/(F68-F70),0)</f>
        <v>-5205671</v>
      </c>
      <c r="D68" s="1095" t="s">
        <v>1434</v>
      </c>
      <c r="E68" s="1080" t="s">
        <v>1435</v>
      </c>
      <c r="F68" s="318">
        <f ca="1">F40</f>
        <v>5.5E-2</v>
      </c>
      <c r="O68" s="1610" t="s">
        <v>1011</v>
      </c>
      <c r="P68" s="1649" t="s">
        <v>1548</v>
      </c>
      <c r="Q68" s="1602">
        <f ca="1">ROUND(Q69-Q70*Q71,0)</f>
        <v>1041748</v>
      </c>
      <c r="R68" s="1602" t="s">
        <v>1019</v>
      </c>
    </row>
    <row r="69" spans="1:18" s="1566" customFormat="1" ht="13.5" thickBot="1">
      <c r="A69" s="1081"/>
      <c r="B69" s="1082"/>
      <c r="C69" s="312"/>
      <c r="D69" s="1100" t="s">
        <v>1438</v>
      </c>
      <c r="E69" s="1080" t="s">
        <v>1439</v>
      </c>
      <c r="F69" s="339">
        <f ca="1">F41</f>
        <v>28.45</v>
      </c>
      <c r="O69" s="1610" t="s">
        <v>1016</v>
      </c>
      <c r="P69" s="1649" t="s">
        <v>1549</v>
      </c>
      <c r="Q69" s="1602">
        <f ca="1">C39</f>
        <v>1203453</v>
      </c>
      <c r="R69" s="1602" t="s">
        <v>1494</v>
      </c>
    </row>
    <row r="70" spans="1:18" s="1566" customFormat="1" ht="13.5" thickBot="1">
      <c r="A70" s="1084"/>
      <c r="B70" s="1085"/>
      <c r="C70" s="316"/>
      <c r="D70" s="1096"/>
      <c r="E70" s="1080" t="s">
        <v>1442</v>
      </c>
      <c r="F70" s="1183">
        <f ca="1">F42</f>
        <v>3.5000000000000003E-2</v>
      </c>
      <c r="O70" s="1610" t="s">
        <v>1017</v>
      </c>
      <c r="P70" s="1649" t="s">
        <v>1550</v>
      </c>
      <c r="Q70" s="1602">
        <f ca="1">C13</f>
        <v>1902412</v>
      </c>
      <c r="R70" s="1602" t="s">
        <v>1494</v>
      </c>
    </row>
    <row r="71" spans="1:18" s="1566" customFormat="1" ht="13.5" thickBot="1">
      <c r="A71" s="1101" t="s">
        <v>1001</v>
      </c>
      <c r="B71" s="1102" t="s">
        <v>1452</v>
      </c>
      <c r="C71" s="342">
        <f ca="1">ROUND(C68/F71,0)</f>
        <v>-11817</v>
      </c>
      <c r="D71" s="1103" t="s">
        <v>1453</v>
      </c>
      <c r="E71" s="1104" t="s">
        <v>1454</v>
      </c>
      <c r="F71" s="345">
        <f ca="1">F43</f>
        <v>440.53</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161705</v>
      </c>
      <c r="D75" s="1566"/>
      <c r="E75" s="1566"/>
      <c r="F75" s="1566"/>
      <c r="K75" s="1584"/>
      <c r="L75" s="1566"/>
      <c r="O75" s="1600" t="s">
        <v>1014</v>
      </c>
      <c r="P75" s="1601" t="s">
        <v>1514</v>
      </c>
      <c r="Q75" s="1602">
        <f ca="1">Q65+Q66</f>
        <v>25265080</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0.86599999999999999</v>
      </c>
    </row>
    <row r="80" spans="1:18">
      <c r="B80" s="346" t="s">
        <v>1476</v>
      </c>
      <c r="C80" s="280">
        <f ca="1">ROUND(C75/C39,3)</f>
        <v>0.13400000000000001</v>
      </c>
    </row>
    <row r="81" spans="2:3">
      <c r="B81" s="276" t="s">
        <v>1477</v>
      </c>
      <c r="C81" s="244"/>
    </row>
    <row r="82" spans="2:3">
      <c r="B82" s="279" t="s">
        <v>1478</v>
      </c>
      <c r="C82" s="281">
        <f ca="1">1-C83</f>
        <v>0.92500000000000004</v>
      </c>
    </row>
    <row r="83" spans="2:3">
      <c r="B83" s="279" t="s">
        <v>1479</v>
      </c>
      <c r="C83" s="280">
        <f ca="1">ROUND(C13/C40,3)</f>
        <v>7.4999999999999997E-2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2527</v>
      </c>
      <c r="C2" s="2056" t="s">
        <v>2340</v>
      </c>
      <c r="D2" s="2057" t="s">
        <v>2341</v>
      </c>
      <c r="E2" s="2831">
        <f>SUM(E6:E13)</f>
        <v>440.53</v>
      </c>
      <c r="F2" s="2934"/>
      <c r="G2" s="1672"/>
      <c r="H2" s="1672"/>
      <c r="I2" s="1672"/>
      <c r="J2" s="1672"/>
      <c r="K2" s="1672"/>
      <c r="L2" s="1672"/>
      <c r="M2" s="1672"/>
      <c r="N2" s="1672"/>
      <c r="O2" s="1672"/>
      <c r="P2" s="1672"/>
      <c r="Q2" s="1672"/>
      <c r="R2" s="1672"/>
      <c r="S2" s="1672"/>
    </row>
    <row r="3" spans="1:22" ht="15.75">
      <c r="A3" s="2054" t="s">
        <v>1360</v>
      </c>
      <c r="B3" s="2825">
        <f ca="1">ROUND(B2*10000/E2,0)</f>
        <v>57363</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70" t="s">
        <v>2343</v>
      </c>
      <c r="C5" s="3371"/>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2527</v>
      </c>
      <c r="C6" s="2056" t="s">
        <v>2340</v>
      </c>
      <c r="D6" s="2936"/>
      <c r="E6" s="2830">
        <f>IF(OR(A6=0,F6="否"),0,'数据-取费表'!K6+'数据-取费表'!S6)</f>
        <v>440.53</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2" t="s">
        <v>1044</v>
      </c>
      <c r="B1" s="3373"/>
      <c r="C1" s="3374"/>
      <c r="D1" s="3375">
        <f>SUM(I10,I15,I20,I21,I23)</f>
        <v>0</v>
      </c>
      <c r="E1" s="3375"/>
      <c r="F1" s="3375"/>
      <c r="G1" s="3375"/>
      <c r="H1" s="3375"/>
      <c r="I1" s="3376"/>
    </row>
    <row r="2" spans="1:9">
      <c r="A2" s="3377" t="s">
        <v>1045</v>
      </c>
      <c r="B2" s="3378" t="s">
        <v>1046</v>
      </c>
      <c r="C2" s="3378"/>
      <c r="D2" s="1209" t="s">
        <v>1047</v>
      </c>
      <c r="E2" s="1209" t="s">
        <v>1048</v>
      </c>
      <c r="F2" s="1209" t="s">
        <v>1049</v>
      </c>
      <c r="G2" s="1209" t="s">
        <v>1050</v>
      </c>
      <c r="H2" s="1209" t="s">
        <v>1051</v>
      </c>
      <c r="I2" s="1210" t="s">
        <v>1052</v>
      </c>
    </row>
    <row r="3" spans="1:9">
      <c r="A3" s="3377"/>
      <c r="B3" s="3378" t="s">
        <v>1053</v>
      </c>
      <c r="C3" s="3378"/>
      <c r="D3" s="1211"/>
      <c r="E3" s="1209"/>
      <c r="F3" s="1212"/>
      <c r="G3" s="1212"/>
      <c r="H3" s="1213"/>
      <c r="I3" s="1214">
        <f>ROUND(D3*E3*F3*G3*H3/10000,0)</f>
        <v>0</v>
      </c>
    </row>
    <row r="4" spans="1:9">
      <c r="A4" s="3377"/>
      <c r="B4" s="3378" t="s">
        <v>1054</v>
      </c>
      <c r="C4" s="3378"/>
      <c r="D4" s="1211"/>
      <c r="E4" s="1209"/>
      <c r="F4" s="1212"/>
      <c r="G4" s="1212"/>
      <c r="H4" s="1213"/>
      <c r="I4" s="1214">
        <f t="shared" ref="I4:I9" si="0">ROUND(D4*E4*F4*G4*H4/10000,0)</f>
        <v>0</v>
      </c>
    </row>
    <row r="5" spans="1:9">
      <c r="A5" s="3377"/>
      <c r="B5" s="3378" t="s">
        <v>1055</v>
      </c>
      <c r="C5" s="3378"/>
      <c r="D5" s="1211"/>
      <c r="E5" s="1209"/>
      <c r="F5" s="1212"/>
      <c r="G5" s="1212"/>
      <c r="H5" s="1213"/>
      <c r="I5" s="1214">
        <f t="shared" si="0"/>
        <v>0</v>
      </c>
    </row>
    <row r="6" spans="1:9">
      <c r="A6" s="3377"/>
      <c r="B6" s="3378" t="s">
        <v>1056</v>
      </c>
      <c r="C6" s="3378"/>
      <c r="D6" s="1211"/>
      <c r="E6" s="1209"/>
      <c r="F6" s="1212"/>
      <c r="G6" s="1212"/>
      <c r="H6" s="1213"/>
      <c r="I6" s="1214">
        <f t="shared" si="0"/>
        <v>0</v>
      </c>
    </row>
    <row r="7" spans="1:9">
      <c r="A7" s="3377"/>
      <c r="B7" s="3378" t="s">
        <v>1057</v>
      </c>
      <c r="C7" s="3378"/>
      <c r="D7" s="1211"/>
      <c r="E7" s="1209"/>
      <c r="F7" s="1212"/>
      <c r="G7" s="1212"/>
      <c r="H7" s="1213"/>
      <c r="I7" s="1214">
        <f t="shared" si="0"/>
        <v>0</v>
      </c>
    </row>
    <row r="8" spans="1:9">
      <c r="A8" s="3377"/>
      <c r="B8" s="3378" t="s">
        <v>1058</v>
      </c>
      <c r="C8" s="3378"/>
      <c r="D8" s="1211"/>
      <c r="E8" s="1209"/>
      <c r="F8" s="1212"/>
      <c r="G8" s="1212"/>
      <c r="H8" s="1213"/>
      <c r="I8" s="1214">
        <f t="shared" si="0"/>
        <v>0</v>
      </c>
    </row>
    <row r="9" spans="1:9">
      <c r="A9" s="3377"/>
      <c r="B9" s="3378" t="s">
        <v>1059</v>
      </c>
      <c r="C9" s="3378"/>
      <c r="D9" s="1211"/>
      <c r="E9" s="1209"/>
      <c r="F9" s="1212"/>
      <c r="G9" s="1212"/>
      <c r="H9" s="1213"/>
      <c r="I9" s="1214">
        <f t="shared" si="0"/>
        <v>0</v>
      </c>
    </row>
    <row r="10" spans="1:9">
      <c r="A10" s="3377"/>
      <c r="B10" s="3379" t="s">
        <v>1060</v>
      </c>
      <c r="C10" s="3379"/>
      <c r="D10" s="1215"/>
      <c r="E10" s="1215" t="e">
        <f>ROUND(D1*10000/D10/H9,0)</f>
        <v>#DIV/0!</v>
      </c>
      <c r="F10" s="1216"/>
      <c r="G10" s="1216"/>
      <c r="H10" s="1217"/>
      <c r="I10" s="1218">
        <f>SUM(I3:I9)</f>
        <v>0</v>
      </c>
    </row>
    <row r="11" spans="1:9" ht="14.25">
      <c r="A11" s="3377" t="s">
        <v>1061</v>
      </c>
      <c r="B11" s="3378" t="s">
        <v>1062</v>
      </c>
      <c r="C11" s="3378"/>
      <c r="D11" s="1211" t="s">
        <v>1063</v>
      </c>
      <c r="E11" s="1211" t="s">
        <v>1064</v>
      </c>
      <c r="F11" s="1212" t="s">
        <v>1065</v>
      </c>
      <c r="G11" s="1212" t="s">
        <v>1051</v>
      </c>
      <c r="H11" s="1219" t="s">
        <v>1066</v>
      </c>
      <c r="I11" s="1210" t="s">
        <v>1052</v>
      </c>
    </row>
    <row r="12" spans="1:9">
      <c r="A12" s="3377"/>
      <c r="B12" s="3378" t="s">
        <v>1067</v>
      </c>
      <c r="C12" s="3378"/>
      <c r="D12" s="1211"/>
      <c r="E12" s="1211"/>
      <c r="F12" s="1212"/>
      <c r="G12" s="1213"/>
      <c r="H12" s="1220"/>
      <c r="I12" s="1210">
        <f>ROUND(D12*E12*F12*G12/10000,0)</f>
        <v>0</v>
      </c>
    </row>
    <row r="13" spans="1:9">
      <c r="A13" s="3377"/>
      <c r="B13" s="3378" t="s">
        <v>1068</v>
      </c>
      <c r="C13" s="3378"/>
      <c r="D13" s="1211"/>
      <c r="E13" s="1211"/>
      <c r="F13" s="1212"/>
      <c r="G13" s="1213"/>
      <c r="H13" s="1220"/>
      <c r="I13" s="1210">
        <f>ROUND(D13*E13*F13*G13/10000,0)</f>
        <v>0</v>
      </c>
    </row>
    <row r="14" spans="1:9">
      <c r="A14" s="3377"/>
      <c r="B14" s="3378" t="s">
        <v>1069</v>
      </c>
      <c r="C14" s="3378"/>
      <c r="D14" s="1211"/>
      <c r="E14" s="1211"/>
      <c r="F14" s="1212"/>
      <c r="G14" s="1213"/>
      <c r="H14" s="1220"/>
      <c r="I14" s="1210">
        <f>ROUND(D14*E14*F14*G14/10000,0)</f>
        <v>0</v>
      </c>
    </row>
    <row r="15" spans="1:9">
      <c r="A15" s="3377"/>
      <c r="B15" s="3379" t="s">
        <v>1060</v>
      </c>
      <c r="C15" s="3379"/>
      <c r="D15" s="1215"/>
      <c r="E15" s="1215">
        <f>SUM(E12:E14)</f>
        <v>0</v>
      </c>
      <c r="F15" s="1216"/>
      <c r="G15" s="1213"/>
      <c r="H15" s="1220"/>
      <c r="I15" s="1221">
        <f>SUM(I12:I14)</f>
        <v>0</v>
      </c>
    </row>
    <row r="16" spans="1:9" ht="24">
      <c r="A16" s="3377" t="s">
        <v>1070</v>
      </c>
      <c r="B16" s="3378" t="s">
        <v>1071</v>
      </c>
      <c r="C16" s="3378"/>
      <c r="D16" s="1211" t="s">
        <v>1047</v>
      </c>
      <c r="E16" s="1222" t="s">
        <v>1072</v>
      </c>
      <c r="F16" s="1212" t="s">
        <v>1073</v>
      </c>
      <c r="G16" s="1213" t="s">
        <v>1051</v>
      </c>
      <c r="H16" s="1219" t="s">
        <v>1066</v>
      </c>
      <c r="I16" s="1210" t="s">
        <v>1052</v>
      </c>
    </row>
    <row r="17" spans="1:9" ht="14.25">
      <c r="A17" s="3377"/>
      <c r="B17" s="3378" t="s">
        <v>1074</v>
      </c>
      <c r="C17" s="3378"/>
      <c r="D17" s="1211"/>
      <c r="E17" s="1211"/>
      <c r="F17" s="1212"/>
      <c r="G17" s="1213"/>
      <c r="H17" s="1223"/>
      <c r="I17" s="1224">
        <f>ROUND(D17*E17*F17*G17/10000,0)</f>
        <v>0</v>
      </c>
    </row>
    <row r="18" spans="1:9" ht="14.25">
      <c r="A18" s="3377"/>
      <c r="B18" s="3378" t="s">
        <v>1075</v>
      </c>
      <c r="C18" s="3378"/>
      <c r="D18" s="1211"/>
      <c r="E18" s="1211"/>
      <c r="F18" s="1212"/>
      <c r="G18" s="1213"/>
      <c r="H18" s="1223"/>
      <c r="I18" s="1224">
        <f>ROUND(D18*E18*F18*G18/10000,0)</f>
        <v>0</v>
      </c>
    </row>
    <row r="19" spans="1:9" ht="14.25">
      <c r="A19" s="3377"/>
      <c r="B19" s="3378" t="s">
        <v>1076</v>
      </c>
      <c r="C19" s="3378"/>
      <c r="D19" s="1211"/>
      <c r="E19" s="1211"/>
      <c r="F19" s="1212"/>
      <c r="G19" s="1213"/>
      <c r="H19" s="1223"/>
      <c r="I19" s="1224">
        <f>ROUND(D19*E19*F19*G19/10000,0)</f>
        <v>0</v>
      </c>
    </row>
    <row r="20" spans="1:9">
      <c r="A20" s="3377"/>
      <c r="B20" s="3379" t="s">
        <v>1060</v>
      </c>
      <c r="C20" s="3379"/>
      <c r="D20" s="1215">
        <f>SUM(D17:D19)</f>
        <v>0</v>
      </c>
      <c r="E20" s="1215"/>
      <c r="F20" s="1216"/>
      <c r="G20" s="1213"/>
      <c r="H20" s="1220"/>
      <c r="I20" s="1221">
        <f>SUM(I17:I19)</f>
        <v>0</v>
      </c>
    </row>
    <row r="21" spans="1:9">
      <c r="A21" s="3377" t="s">
        <v>1077</v>
      </c>
      <c r="B21" s="3381"/>
      <c r="C21" s="3381"/>
      <c r="D21" s="3381"/>
      <c r="E21" s="3381"/>
      <c r="F21" s="3381"/>
      <c r="G21" s="3381"/>
      <c r="H21" s="1500">
        <v>0.1</v>
      </c>
      <c r="I21" s="1218">
        <f>ROUND(I10*H21,0)</f>
        <v>0</v>
      </c>
    </row>
    <row r="22" spans="1:9" ht="14.25">
      <c r="A22" s="3382" t="s">
        <v>1078</v>
      </c>
      <c r="B22" s="3383"/>
      <c r="C22" s="3384"/>
      <c r="D22" s="1225" t="s">
        <v>1079</v>
      </c>
      <c r="E22" s="1225" t="s">
        <v>1080</v>
      </c>
      <c r="F22" s="1226" t="s">
        <v>1081</v>
      </c>
      <c r="G22" s="1226" t="s">
        <v>1082</v>
      </c>
      <c r="H22" s="1219" t="s">
        <v>1083</v>
      </c>
      <c r="I22" s="1210" t="s">
        <v>1084</v>
      </c>
    </row>
    <row r="23" spans="1:9" ht="14.25" thickBot="1">
      <c r="A23" s="3385"/>
      <c r="B23" s="3386"/>
      <c r="C23" s="3387"/>
      <c r="D23" s="1227"/>
      <c r="E23" s="1227"/>
      <c r="F23" s="1227"/>
      <c r="G23" s="1228"/>
      <c r="H23" s="1229"/>
      <c r="I23" s="1230">
        <f>ROUND(E23*D23*F23*(1-G23)/10000,0)</f>
        <v>0</v>
      </c>
    </row>
    <row r="26" spans="1:9">
      <c r="A26" s="1231" t="s">
        <v>1085</v>
      </c>
      <c r="B26" s="1231"/>
      <c r="C26" s="1231"/>
      <c r="D26" s="1231"/>
      <c r="E26" s="3388">
        <f>C27-C30-C31-C32</f>
        <v>0</v>
      </c>
      <c r="F26" s="3388"/>
      <c r="G26" s="3388"/>
      <c r="H26" s="1497" t="s">
        <v>1306</v>
      </c>
    </row>
    <row r="27" spans="1:9">
      <c r="A27" s="1232">
        <v>1</v>
      </c>
      <c r="B27" s="1233" t="s">
        <v>1086</v>
      </c>
      <c r="C27" s="1233">
        <f>C28+C29</f>
        <v>0</v>
      </c>
      <c r="D27" s="1233"/>
      <c r="E27" s="3389"/>
      <c r="F27" s="3389"/>
      <c r="G27" s="3389"/>
    </row>
    <row r="28" spans="1:9">
      <c r="A28" s="1234" t="s">
        <v>1087</v>
      </c>
      <c r="B28" s="1233" t="s">
        <v>1088</v>
      </c>
      <c r="C28" s="1233"/>
      <c r="D28" s="1233"/>
      <c r="E28" s="3389"/>
      <c r="F28" s="3389"/>
      <c r="G28" s="3389"/>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80"/>
      <c r="F32" s="3380"/>
      <c r="G32" s="3380"/>
    </row>
    <row r="33" spans="1:7" hidden="1">
      <c r="A33" s="3390" t="s">
        <v>1097</v>
      </c>
      <c r="B33" s="3391"/>
      <c r="C33" s="3391"/>
      <c r="D33" s="3392"/>
      <c r="E33" s="3388"/>
      <c r="F33" s="3388"/>
      <c r="G33" s="3388"/>
    </row>
    <row r="34" spans="1:7" hidden="1">
      <c r="A34" s="1236">
        <v>1</v>
      </c>
      <c r="B34" s="1233" t="s">
        <v>1098</v>
      </c>
      <c r="C34" s="1233"/>
      <c r="D34" s="1233"/>
      <c r="E34" s="3389"/>
      <c r="F34" s="3389"/>
      <c r="G34" s="3389"/>
    </row>
    <row r="35" spans="1:7" hidden="1">
      <c r="A35" s="1236">
        <v>2</v>
      </c>
      <c r="B35" s="1233" t="s">
        <v>1099</v>
      </c>
      <c r="C35" s="1233"/>
      <c r="D35" s="1233"/>
      <c r="E35" s="3389"/>
      <c r="F35" s="3389"/>
      <c r="G35" s="3389"/>
    </row>
    <row r="36" spans="1:7" hidden="1">
      <c r="A36" s="1236">
        <v>3</v>
      </c>
      <c r="B36" s="1233" t="s">
        <v>1100</v>
      </c>
      <c r="C36" s="1233"/>
      <c r="D36" s="1233"/>
      <c r="E36" s="3389"/>
      <c r="F36" s="3389"/>
      <c r="G36" s="3389"/>
    </row>
    <row r="37" spans="1:7" hidden="1">
      <c r="A37" s="1236">
        <v>4</v>
      </c>
      <c r="B37" s="1233" t="s">
        <v>1101</v>
      </c>
      <c r="C37" s="1233"/>
      <c r="D37" s="1233"/>
      <c r="E37" s="3389"/>
      <c r="F37" s="3389"/>
      <c r="G37" s="3389"/>
    </row>
    <row r="38" spans="1:7" hidden="1">
      <c r="A38" s="3390" t="s">
        <v>1102</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32481.79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0"/>
    </row>
    <row r="4" spans="1:29" ht="15">
      <c r="A4" s="361" t="s">
        <v>2356</v>
      </c>
      <c r="B4" s="362"/>
      <c r="C4" s="3340" t="s">
        <v>2357</v>
      </c>
      <c r="D4" s="3341"/>
      <c r="E4" s="3342" t="s">
        <v>2358</v>
      </c>
      <c r="F4" s="3343"/>
      <c r="G4" s="3340" t="s">
        <v>2359</v>
      </c>
      <c r="H4" s="3341"/>
      <c r="I4" s="3340" t="s">
        <v>2360</v>
      </c>
      <c r="J4" s="3341"/>
      <c r="K4" s="2073" t="s">
        <v>2361</v>
      </c>
      <c r="L4" s="2942"/>
      <c r="M4" s="2943"/>
      <c r="N4" s="2943"/>
      <c r="O4" s="2943"/>
      <c r="P4" s="3397" t="s">
        <v>2362</v>
      </c>
      <c r="Q4" s="3398"/>
      <c r="R4" s="3394" t="s">
        <v>2358</v>
      </c>
      <c r="S4" s="3395"/>
      <c r="T4" s="3394" t="s">
        <v>2359</v>
      </c>
      <c r="U4" s="3395"/>
      <c r="V4" s="3353" t="s">
        <v>2360</v>
      </c>
      <c r="W4" s="3353"/>
      <c r="X4" s="1537"/>
      <c r="Y4" s="3394" t="s">
        <v>2362</v>
      </c>
      <c r="Z4" s="3395"/>
      <c r="AA4" s="3393" t="s">
        <v>2358</v>
      </c>
      <c r="AB4" s="3393" t="s">
        <v>2359</v>
      </c>
      <c r="AC4" s="3393" t="s">
        <v>2360</v>
      </c>
    </row>
    <row r="5" spans="1:29" ht="15">
      <c r="A5" s="364"/>
      <c r="B5" s="365"/>
      <c r="C5" s="3329" t="s">
        <v>2363</v>
      </c>
      <c r="D5" s="3330"/>
      <c r="E5" s="3396" t="s">
        <v>2364</v>
      </c>
      <c r="F5" s="3328"/>
      <c r="G5" s="3329" t="s">
        <v>2365</v>
      </c>
      <c r="H5" s="3330"/>
      <c r="I5" s="3329" t="s">
        <v>2366</v>
      </c>
      <c r="J5" s="3330"/>
      <c r="K5" s="2074"/>
      <c r="L5" s="2942"/>
      <c r="M5" s="2943"/>
      <c r="N5" s="2943"/>
      <c r="O5" s="2943"/>
      <c r="P5" s="3399"/>
      <c r="Q5" s="3347"/>
      <c r="R5" s="3325"/>
      <c r="S5" s="3326"/>
      <c r="T5" s="3325"/>
      <c r="U5" s="3326"/>
      <c r="V5" s="3353"/>
      <c r="W5" s="3353"/>
      <c r="X5" s="1537"/>
      <c r="Y5" s="3325"/>
      <c r="Z5" s="3326"/>
      <c r="AA5" s="3319"/>
      <c r="AB5" s="3319"/>
      <c r="AC5" s="3319"/>
    </row>
    <row r="6" spans="1:29" ht="15.75" thickBot="1">
      <c r="A6" s="366"/>
      <c r="B6" s="367"/>
      <c r="C6" s="3331" t="s">
        <v>2367</v>
      </c>
      <c r="D6" s="3332"/>
      <c r="E6" s="3334" t="s">
        <v>2367</v>
      </c>
      <c r="F6" s="3335"/>
      <c r="G6" s="3331" t="s">
        <v>2367</v>
      </c>
      <c r="H6" s="3332"/>
      <c r="I6" s="3331" t="s">
        <v>2367</v>
      </c>
      <c r="J6" s="3332"/>
      <c r="K6" s="2074" t="s">
        <v>2368</v>
      </c>
      <c r="L6" s="2942"/>
      <c r="M6" s="2943"/>
      <c r="N6" s="2943"/>
      <c r="O6" s="2943"/>
      <c r="P6" s="3400"/>
      <c r="Q6" s="3349"/>
      <c r="R6" s="3325"/>
      <c r="S6" s="3326"/>
      <c r="T6" s="3350"/>
      <c r="U6" s="3351"/>
      <c r="V6" s="3353"/>
      <c r="W6" s="3353"/>
      <c r="X6" s="1537"/>
      <c r="Y6" s="3350"/>
      <c r="Z6" s="3351"/>
      <c r="AA6" s="3320"/>
      <c r="AB6" s="3320"/>
      <c r="AC6" s="3320"/>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21" t="s">
        <v>2370</v>
      </c>
      <c r="Q7" s="3355"/>
      <c r="R7" s="709" t="s">
        <v>23</v>
      </c>
      <c r="S7" s="710">
        <f t="shared" ref="S7:S15" si="0">F7</f>
        <v>0</v>
      </c>
      <c r="T7" s="709" t="s">
        <v>23</v>
      </c>
      <c r="U7" s="710">
        <f t="shared" ref="U7:U15" si="1">H7</f>
        <v>0</v>
      </c>
      <c r="V7" s="709" t="s">
        <v>23</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21" t="s">
        <v>2373</v>
      </c>
      <c r="Q8" s="3322"/>
      <c r="R8" s="709" t="s">
        <v>23</v>
      </c>
      <c r="S8" s="710">
        <f t="shared" si="0"/>
        <v>0</v>
      </c>
      <c r="T8" s="709" t="s">
        <v>23</v>
      </c>
      <c r="U8" s="710">
        <f t="shared" si="1"/>
        <v>0</v>
      </c>
      <c r="V8" s="709" t="s">
        <v>23</v>
      </c>
      <c r="W8" s="710">
        <f t="shared" si="2"/>
        <v>0</v>
      </c>
      <c r="X8" s="711"/>
      <c r="Y8" s="3321" t="s">
        <v>2373</v>
      </c>
      <c r="Z8" s="3322"/>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36"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36"/>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36"/>
      <c r="Q11" s="1525" t="str">
        <f t="shared" si="6"/>
        <v>容积率</v>
      </c>
      <c r="R11" s="709" t="s">
        <v>21</v>
      </c>
      <c r="S11" s="710" t="e">
        <f t="shared" si="0"/>
        <v>#N/A</v>
      </c>
      <c r="T11" s="709" t="s">
        <v>21</v>
      </c>
      <c r="U11" s="710" t="e">
        <f t="shared" si="1"/>
        <v>#N/A</v>
      </c>
      <c r="V11" s="709" t="s">
        <v>21</v>
      </c>
      <c r="W11" s="710" t="e">
        <f t="shared" si="2"/>
        <v>#N/A</v>
      </c>
      <c r="X11" s="711"/>
      <c r="Y11" s="3260"/>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36"/>
      <c r="Q12" s="1525">
        <f t="shared" si="6"/>
        <v>111</v>
      </c>
      <c r="R12" s="709" t="s">
        <v>21</v>
      </c>
      <c r="S12" s="710">
        <f t="shared" si="0"/>
        <v>100</v>
      </c>
      <c r="T12" s="709" t="s">
        <v>21</v>
      </c>
      <c r="U12" s="710">
        <f t="shared" si="1"/>
        <v>100</v>
      </c>
      <c r="V12" s="709" t="s">
        <v>21</v>
      </c>
      <c r="W12" s="710">
        <f t="shared" si="2"/>
        <v>100</v>
      </c>
      <c r="X12" s="711"/>
      <c r="Y12" s="326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36"/>
      <c r="Q13" s="1525">
        <f t="shared" si="6"/>
        <v>111</v>
      </c>
      <c r="R13" s="709" t="s">
        <v>21</v>
      </c>
      <c r="S13" s="710">
        <f t="shared" si="0"/>
        <v>100</v>
      </c>
      <c r="T13" s="709" t="s">
        <v>21</v>
      </c>
      <c r="U13" s="710">
        <f t="shared" si="1"/>
        <v>100</v>
      </c>
      <c r="V13" s="709" t="s">
        <v>21</v>
      </c>
      <c r="W13" s="710">
        <f t="shared" si="2"/>
        <v>100</v>
      </c>
      <c r="X13" s="711"/>
      <c r="Y13" s="3260"/>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36"/>
      <c r="Q14" s="1525">
        <f t="shared" si="6"/>
        <v>111</v>
      </c>
      <c r="R14" s="709" t="s">
        <v>21</v>
      </c>
      <c r="S14" s="710">
        <f t="shared" si="0"/>
        <v>100</v>
      </c>
      <c r="T14" s="709" t="s">
        <v>21</v>
      </c>
      <c r="U14" s="710">
        <f t="shared" si="1"/>
        <v>100</v>
      </c>
      <c r="V14" s="709" t="s">
        <v>21</v>
      </c>
      <c r="W14" s="710">
        <f t="shared" si="2"/>
        <v>100</v>
      </c>
      <c r="X14" s="711"/>
      <c r="Y14" s="3260"/>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6" t="s">
        <v>2381</v>
      </c>
      <c r="Q15" s="1534" t="str">
        <f t="shared" si="6"/>
        <v>居住社区成熟度</v>
      </c>
      <c r="R15" s="713" t="s">
        <v>21</v>
      </c>
      <c r="S15" s="714">
        <f t="shared" si="0"/>
        <v>100</v>
      </c>
      <c r="T15" s="713" t="s">
        <v>21</v>
      </c>
      <c r="U15" s="714">
        <f t="shared" si="1"/>
        <v>100</v>
      </c>
      <c r="V15" s="713" t="s">
        <v>21</v>
      </c>
      <c r="W15" s="714">
        <f t="shared" si="2"/>
        <v>100</v>
      </c>
      <c r="X15" s="1537"/>
      <c r="Y15" s="3358"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57"/>
      <c r="Q16" s="1534"/>
      <c r="R16" s="713"/>
      <c r="S16" s="714"/>
      <c r="T16" s="713"/>
      <c r="U16" s="714"/>
      <c r="V16" s="713"/>
      <c r="W16" s="714"/>
      <c r="X16" s="1537"/>
      <c r="Y16" s="3359"/>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7"/>
      <c r="Q17" s="1534" t="str">
        <f>B17</f>
        <v>交通便捷度</v>
      </c>
      <c r="R17" s="713" t="s">
        <v>21</v>
      </c>
      <c r="S17" s="714">
        <f>F17</f>
        <v>100</v>
      </c>
      <c r="T17" s="713" t="s">
        <v>21</v>
      </c>
      <c r="U17" s="714">
        <f>H17</f>
        <v>100</v>
      </c>
      <c r="V17" s="713" t="s">
        <v>21</v>
      </c>
      <c r="W17" s="714">
        <f>J17</f>
        <v>100</v>
      </c>
      <c r="X17" s="1537"/>
      <c r="Y17" s="3359"/>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57"/>
      <c r="Q18" s="1534"/>
      <c r="R18" s="713"/>
      <c r="S18" s="714"/>
      <c r="T18" s="713"/>
      <c r="U18" s="714"/>
      <c r="V18" s="713"/>
      <c r="W18" s="714"/>
      <c r="X18" s="1537"/>
      <c r="Y18" s="3359"/>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7"/>
      <c r="Q19" s="1534" t="str">
        <f>B19</f>
        <v>公共配套设施</v>
      </c>
      <c r="R19" s="713" t="s">
        <v>21</v>
      </c>
      <c r="S19" s="714">
        <f>F19</f>
        <v>100</v>
      </c>
      <c r="T19" s="713" t="s">
        <v>21</v>
      </c>
      <c r="U19" s="714">
        <f>H19</f>
        <v>100</v>
      </c>
      <c r="V19" s="713" t="s">
        <v>21</v>
      </c>
      <c r="W19" s="714">
        <f>J19</f>
        <v>100</v>
      </c>
      <c r="X19" s="1537"/>
      <c r="Y19" s="3359"/>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57"/>
      <c r="Q20" s="1534"/>
      <c r="R20" s="713"/>
      <c r="S20" s="714"/>
      <c r="T20" s="713"/>
      <c r="U20" s="714"/>
      <c r="V20" s="713"/>
      <c r="W20" s="714"/>
      <c r="X20" s="1537"/>
      <c r="Y20" s="3359"/>
      <c r="Z20" s="1538"/>
      <c r="AA20" s="1535">
        <v>1</v>
      </c>
      <c r="AB20" s="1535">
        <v>1</v>
      </c>
      <c r="AC20" s="1535">
        <v>1</v>
      </c>
    </row>
    <row r="21" spans="1:29" ht="28.5">
      <c r="A21" s="387"/>
      <c r="B21" s="1291"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7"/>
      <c r="Q21" s="1534" t="str">
        <f>B21</f>
        <v>基础设施水平</v>
      </c>
      <c r="R21" s="713" t="s">
        <v>17</v>
      </c>
      <c r="S21" s="714">
        <f>F21</f>
        <v>100</v>
      </c>
      <c r="T21" s="713" t="s">
        <v>17</v>
      </c>
      <c r="U21" s="714">
        <f>H21</f>
        <v>100</v>
      </c>
      <c r="V21" s="713" t="s">
        <v>17</v>
      </c>
      <c r="W21" s="714">
        <f>J21</f>
        <v>100</v>
      </c>
      <c r="X21" s="1537"/>
      <c r="Y21" s="3359"/>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7"/>
      <c r="G22" s="2088"/>
      <c r="H22" s="407"/>
      <c r="I22" s="406"/>
      <c r="J22" s="407"/>
      <c r="K22" s="2089"/>
      <c r="L22" s="2949"/>
      <c r="M22" s="2943"/>
      <c r="N22" s="2943"/>
      <c r="O22" s="2943"/>
      <c r="P22" s="3357"/>
      <c r="Q22" s="1534"/>
      <c r="R22" s="713"/>
      <c r="S22" s="714"/>
      <c r="T22" s="713"/>
      <c r="U22" s="714"/>
      <c r="V22" s="713"/>
      <c r="W22" s="714"/>
      <c r="X22" s="1537"/>
      <c r="Y22" s="3359"/>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7"/>
      <c r="Q23" s="1534" t="str">
        <f>B23</f>
        <v>自然及人文环境</v>
      </c>
      <c r="R23" s="713" t="s">
        <v>21</v>
      </c>
      <c r="S23" s="714">
        <f>F23</f>
        <v>100</v>
      </c>
      <c r="T23" s="713" t="s">
        <v>21</v>
      </c>
      <c r="U23" s="714">
        <f>H23</f>
        <v>100</v>
      </c>
      <c r="V23" s="713" t="s">
        <v>21</v>
      </c>
      <c r="W23" s="714">
        <f>J23</f>
        <v>100</v>
      </c>
      <c r="X23" s="1537"/>
      <c r="Y23" s="3359"/>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57"/>
      <c r="Q24" s="1534"/>
      <c r="R24" s="713"/>
      <c r="S24" s="714"/>
      <c r="T24" s="713"/>
      <c r="U24" s="714"/>
      <c r="V24" s="713"/>
      <c r="W24" s="714"/>
      <c r="X24" s="1537"/>
      <c r="Y24" s="3359"/>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57"/>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59"/>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57"/>
      <c r="Q26" s="1534" t="str">
        <f t="shared" si="11"/>
        <v>朝向</v>
      </c>
      <c r="R26" s="713" t="s">
        <v>21</v>
      </c>
      <c r="S26" s="714">
        <f t="shared" si="12"/>
        <v>100</v>
      </c>
      <c r="T26" s="713" t="s">
        <v>21</v>
      </c>
      <c r="U26" s="714">
        <f t="shared" si="13"/>
        <v>100</v>
      </c>
      <c r="V26" s="713" t="s">
        <v>21</v>
      </c>
      <c r="W26" s="714">
        <f t="shared" si="14"/>
        <v>100</v>
      </c>
      <c r="X26" s="1537"/>
      <c r="Y26" s="3359"/>
      <c r="Z26" s="1538" t="str">
        <f>Q26</f>
        <v>朝向</v>
      </c>
      <c r="AA26" s="1535">
        <f t="shared" si="15"/>
        <v>1</v>
      </c>
      <c r="AB26" s="1535">
        <f t="shared" si="16"/>
        <v>1</v>
      </c>
      <c r="AC26" s="1535">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57"/>
      <c r="Q27" s="1525">
        <f t="shared" si="11"/>
        <v>111</v>
      </c>
      <c r="R27" s="709" t="s">
        <v>21</v>
      </c>
      <c r="S27" s="710">
        <f t="shared" si="12"/>
        <v>100</v>
      </c>
      <c r="T27" s="709" t="s">
        <v>21</v>
      </c>
      <c r="U27" s="710">
        <f t="shared" si="13"/>
        <v>100</v>
      </c>
      <c r="V27" s="709" t="s">
        <v>21</v>
      </c>
      <c r="W27" s="710">
        <f t="shared" si="14"/>
        <v>100</v>
      </c>
      <c r="X27" s="711"/>
      <c r="Y27" s="3359"/>
      <c r="Z27" s="55">
        <f>Q27</f>
        <v>111</v>
      </c>
      <c r="AA27" s="1535">
        <f t="shared" si="15"/>
        <v>1</v>
      </c>
      <c r="AB27" s="1535">
        <f t="shared" si="16"/>
        <v>1</v>
      </c>
      <c r="AC27" s="1535">
        <f t="shared" si="17"/>
        <v>1</v>
      </c>
    </row>
    <row r="28" spans="1:29" ht="15">
      <c r="A28" s="387"/>
      <c r="B28" s="1293">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57"/>
      <c r="Q28" s="1534">
        <f t="shared" si="11"/>
        <v>111</v>
      </c>
      <c r="R28" s="713" t="s">
        <v>21</v>
      </c>
      <c r="S28" s="714">
        <f t="shared" si="12"/>
        <v>100</v>
      </c>
      <c r="T28" s="713" t="s">
        <v>21</v>
      </c>
      <c r="U28" s="714">
        <f t="shared" si="13"/>
        <v>100</v>
      </c>
      <c r="V28" s="713" t="s">
        <v>21</v>
      </c>
      <c r="W28" s="714">
        <f t="shared" si="14"/>
        <v>100</v>
      </c>
      <c r="X28" s="1537"/>
      <c r="Y28" s="3359"/>
      <c r="Z28" s="1538">
        <f t="shared" ref="Z28:Z46" si="18">Q28</f>
        <v>111</v>
      </c>
      <c r="AA28" s="1535">
        <f t="shared" si="15"/>
        <v>1</v>
      </c>
      <c r="AB28" s="1535">
        <f t="shared" si="16"/>
        <v>1</v>
      </c>
      <c r="AC28" s="1535">
        <f t="shared" si="17"/>
        <v>1</v>
      </c>
    </row>
    <row r="29" spans="1:29" ht="15">
      <c r="A29" s="387"/>
      <c r="B29" s="1293">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57"/>
      <c r="Q29" s="1534">
        <f t="shared" si="11"/>
        <v>111</v>
      </c>
      <c r="R29" s="713" t="s">
        <v>21</v>
      </c>
      <c r="S29" s="714">
        <f t="shared" si="12"/>
        <v>100</v>
      </c>
      <c r="T29" s="713" t="s">
        <v>21</v>
      </c>
      <c r="U29" s="714">
        <f t="shared" si="13"/>
        <v>100</v>
      </c>
      <c r="V29" s="713" t="s">
        <v>21</v>
      </c>
      <c r="W29" s="714">
        <f t="shared" si="14"/>
        <v>100</v>
      </c>
      <c r="X29" s="1537"/>
      <c r="Y29" s="3359"/>
      <c r="Z29" s="1538">
        <f t="shared" si="18"/>
        <v>111</v>
      </c>
      <c r="AA29" s="1535">
        <f t="shared" si="15"/>
        <v>1</v>
      </c>
      <c r="AB29" s="1535">
        <f t="shared" si="16"/>
        <v>1</v>
      </c>
      <c r="AC29" s="1535">
        <f t="shared" si="17"/>
        <v>1</v>
      </c>
    </row>
    <row r="30" spans="1:29" ht="15">
      <c r="A30" s="387"/>
      <c r="B30" s="1293">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57"/>
      <c r="Q30" s="1534">
        <f t="shared" si="11"/>
        <v>111</v>
      </c>
      <c r="R30" s="713" t="s">
        <v>21</v>
      </c>
      <c r="S30" s="714">
        <f t="shared" si="12"/>
        <v>100</v>
      </c>
      <c r="T30" s="713" t="s">
        <v>21</v>
      </c>
      <c r="U30" s="714">
        <f t="shared" si="13"/>
        <v>100</v>
      </c>
      <c r="V30" s="713" t="s">
        <v>21</v>
      </c>
      <c r="W30" s="714">
        <f t="shared" si="14"/>
        <v>100</v>
      </c>
      <c r="X30" s="1537"/>
      <c r="Y30" s="3359"/>
      <c r="Z30" s="1538">
        <f t="shared" si="18"/>
        <v>111</v>
      </c>
      <c r="AA30" s="1535">
        <f t="shared" si="15"/>
        <v>1</v>
      </c>
      <c r="AB30" s="1535">
        <f t="shared" si="16"/>
        <v>1</v>
      </c>
      <c r="AC30" s="1535">
        <f t="shared" si="17"/>
        <v>1</v>
      </c>
    </row>
    <row r="31" spans="1:29" ht="15.75" thickBot="1">
      <c r="A31" s="395"/>
      <c r="B31" s="1293">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57"/>
      <c r="Q31" s="1534">
        <f t="shared" si="11"/>
        <v>111</v>
      </c>
      <c r="R31" s="713" t="s">
        <v>21</v>
      </c>
      <c r="S31" s="714">
        <f t="shared" si="12"/>
        <v>100</v>
      </c>
      <c r="T31" s="713" t="s">
        <v>21</v>
      </c>
      <c r="U31" s="714">
        <f t="shared" si="13"/>
        <v>100</v>
      </c>
      <c r="V31" s="713" t="s">
        <v>21</v>
      </c>
      <c r="W31" s="714">
        <f t="shared" si="14"/>
        <v>100</v>
      </c>
      <c r="X31" s="1537"/>
      <c r="Y31" s="3359"/>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60" t="s">
        <v>2386</v>
      </c>
      <c r="Q32" s="1534" t="str">
        <f t="shared" si="11"/>
        <v>建筑类型</v>
      </c>
      <c r="R32" s="713" t="s">
        <v>21</v>
      </c>
      <c r="S32" s="714">
        <f t="shared" si="12"/>
        <v>100</v>
      </c>
      <c r="T32" s="713" t="s">
        <v>21</v>
      </c>
      <c r="U32" s="714">
        <f t="shared" si="13"/>
        <v>100</v>
      </c>
      <c r="V32" s="713" t="s">
        <v>21</v>
      </c>
      <c r="W32" s="714">
        <f t="shared" si="14"/>
        <v>100</v>
      </c>
      <c r="X32" s="1537"/>
      <c r="Y32" s="3363"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61"/>
      <c r="Q33" s="715" t="str">
        <f t="shared" si="11"/>
        <v>项目建筑规模</v>
      </c>
      <c r="R33" s="716" t="s">
        <v>21</v>
      </c>
      <c r="S33" s="717" t="e">
        <f t="shared" si="12"/>
        <v>#N/A</v>
      </c>
      <c r="T33" s="716" t="s">
        <v>21</v>
      </c>
      <c r="U33" s="717" t="e">
        <f t="shared" si="13"/>
        <v>#N/A</v>
      </c>
      <c r="V33" s="716" t="s">
        <v>21</v>
      </c>
      <c r="W33" s="717" t="e">
        <f t="shared" si="14"/>
        <v>#N/A</v>
      </c>
      <c r="X33" s="718"/>
      <c r="Y33" s="3363"/>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61"/>
      <c r="Q34" s="1534" t="str">
        <f t="shared" si="11"/>
        <v>建筑结构</v>
      </c>
      <c r="R34" s="713" t="s">
        <v>21</v>
      </c>
      <c r="S34" s="714">
        <f t="shared" si="12"/>
        <v>100</v>
      </c>
      <c r="T34" s="713" t="s">
        <v>21</v>
      </c>
      <c r="U34" s="714">
        <f t="shared" si="13"/>
        <v>100</v>
      </c>
      <c r="V34" s="713" t="s">
        <v>21</v>
      </c>
      <c r="W34" s="714">
        <f t="shared" si="14"/>
        <v>100</v>
      </c>
      <c r="X34" s="1537"/>
      <c r="Y34" s="3363"/>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61"/>
      <c r="Q35" s="1534" t="str">
        <f t="shared" si="11"/>
        <v>建筑品质</v>
      </c>
      <c r="R35" s="713" t="s">
        <v>21</v>
      </c>
      <c r="S35" s="714">
        <f t="shared" si="12"/>
        <v>100</v>
      </c>
      <c r="T35" s="713" t="s">
        <v>21</v>
      </c>
      <c r="U35" s="714">
        <f t="shared" si="13"/>
        <v>100</v>
      </c>
      <c r="V35" s="713" t="s">
        <v>21</v>
      </c>
      <c r="W35" s="714">
        <f t="shared" si="14"/>
        <v>100</v>
      </c>
      <c r="X35" s="1537"/>
      <c r="Y35" s="3363"/>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61"/>
      <c r="Q36" s="1534" t="str">
        <f t="shared" si="11"/>
        <v>公共部分装修</v>
      </c>
      <c r="R36" s="713" t="s">
        <v>21</v>
      </c>
      <c r="S36" s="714">
        <f t="shared" si="12"/>
        <v>100</v>
      </c>
      <c r="T36" s="713" t="s">
        <v>21</v>
      </c>
      <c r="U36" s="714">
        <f t="shared" si="13"/>
        <v>100</v>
      </c>
      <c r="V36" s="713" t="s">
        <v>21</v>
      </c>
      <c r="W36" s="714">
        <f t="shared" si="14"/>
        <v>100</v>
      </c>
      <c r="X36" s="1537"/>
      <c r="Y36" s="3363"/>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61"/>
      <c r="Q37" s="1525" t="str">
        <f t="shared" si="11"/>
        <v>成新度</v>
      </c>
      <c r="R37" s="709" t="s">
        <v>21</v>
      </c>
      <c r="S37" s="710" t="e">
        <f t="shared" si="12"/>
        <v>#N/A</v>
      </c>
      <c r="T37" s="709" t="s">
        <v>21</v>
      </c>
      <c r="U37" s="710" t="e">
        <f t="shared" si="13"/>
        <v>#N/A</v>
      </c>
      <c r="V37" s="709" t="s">
        <v>21</v>
      </c>
      <c r="W37" s="710" t="e">
        <f t="shared" si="14"/>
        <v>#N/A</v>
      </c>
      <c r="X37" s="711"/>
      <c r="Y37" s="3363"/>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61" t="s">
        <v>2386</v>
      </c>
      <c r="Q38" s="1534" t="str">
        <f t="shared" si="11"/>
        <v>物业管理</v>
      </c>
      <c r="R38" s="713" t="s">
        <v>21</v>
      </c>
      <c r="S38" s="714">
        <f t="shared" si="12"/>
        <v>100</v>
      </c>
      <c r="T38" s="713" t="s">
        <v>21</v>
      </c>
      <c r="U38" s="714">
        <f t="shared" si="13"/>
        <v>100</v>
      </c>
      <c r="V38" s="713" t="s">
        <v>21</v>
      </c>
      <c r="W38" s="714">
        <f t="shared" si="14"/>
        <v>100</v>
      </c>
      <c r="X38" s="1537"/>
      <c r="Y38" s="3363"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61"/>
      <c r="Q39" s="1534" t="str">
        <f t="shared" si="11"/>
        <v>市政基础设施</v>
      </c>
      <c r="R39" s="713" t="s">
        <v>21</v>
      </c>
      <c r="S39" s="714">
        <f t="shared" si="12"/>
        <v>100</v>
      </c>
      <c r="T39" s="713" t="s">
        <v>21</v>
      </c>
      <c r="U39" s="714">
        <f t="shared" si="13"/>
        <v>100</v>
      </c>
      <c r="V39" s="713" t="s">
        <v>21</v>
      </c>
      <c r="W39" s="714">
        <f t="shared" si="14"/>
        <v>100</v>
      </c>
      <c r="X39" s="1537"/>
      <c r="Y39" s="3363"/>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61"/>
      <c r="Q40" s="1534" t="str">
        <f t="shared" si="11"/>
        <v>房型</v>
      </c>
      <c r="R40" s="713" t="s">
        <v>21</v>
      </c>
      <c r="S40" s="714">
        <f t="shared" si="12"/>
        <v>100</v>
      </c>
      <c r="T40" s="713" t="s">
        <v>21</v>
      </c>
      <c r="U40" s="714">
        <f t="shared" si="13"/>
        <v>100</v>
      </c>
      <c r="V40" s="713" t="s">
        <v>21</v>
      </c>
      <c r="W40" s="714">
        <f t="shared" si="14"/>
        <v>100</v>
      </c>
      <c r="X40" s="1537"/>
      <c r="Y40" s="3363"/>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61"/>
      <c r="Q41" s="715" t="str">
        <f t="shared" si="11"/>
        <v>单套/主力户型建筑面积</v>
      </c>
      <c r="R41" s="716" t="s">
        <v>21</v>
      </c>
      <c r="S41" s="717">
        <f t="shared" si="12"/>
        <v>100</v>
      </c>
      <c r="T41" s="716" t="s">
        <v>21</v>
      </c>
      <c r="U41" s="717">
        <f t="shared" si="13"/>
        <v>100</v>
      </c>
      <c r="V41" s="716" t="s">
        <v>21</v>
      </c>
      <c r="W41" s="717">
        <f t="shared" si="14"/>
        <v>100</v>
      </c>
      <c r="X41" s="718"/>
      <c r="Y41" s="3363"/>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61"/>
      <c r="Q42" s="1534" t="str">
        <f t="shared" si="11"/>
        <v>内部装修</v>
      </c>
      <c r="R42" s="713" t="s">
        <v>21</v>
      </c>
      <c r="S42" s="714">
        <f t="shared" si="12"/>
        <v>100</v>
      </c>
      <c r="T42" s="713" t="s">
        <v>21</v>
      </c>
      <c r="U42" s="714">
        <f t="shared" si="13"/>
        <v>100</v>
      </c>
      <c r="V42" s="713" t="s">
        <v>21</v>
      </c>
      <c r="W42" s="714">
        <f t="shared" si="14"/>
        <v>100</v>
      </c>
      <c r="X42" s="1537"/>
      <c r="Y42" s="3363"/>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61"/>
      <c r="Q43" s="1534" t="str">
        <f t="shared" si="11"/>
        <v>内部装修维护情况</v>
      </c>
      <c r="R43" s="713" t="s">
        <v>21</v>
      </c>
      <c r="S43" s="714">
        <f t="shared" si="12"/>
        <v>100</v>
      </c>
      <c r="T43" s="713" t="s">
        <v>21</v>
      </c>
      <c r="U43" s="714">
        <f t="shared" si="13"/>
        <v>100</v>
      </c>
      <c r="V43" s="713" t="s">
        <v>21</v>
      </c>
      <c r="W43" s="714">
        <f t="shared" si="14"/>
        <v>100</v>
      </c>
      <c r="X43" s="1537"/>
      <c r="Y43" s="3363"/>
      <c r="Z43" s="1538" t="str">
        <f t="shared" si="18"/>
        <v>内部装修维护情况</v>
      </c>
      <c r="AA43" s="1535">
        <f t="shared" si="15"/>
        <v>1</v>
      </c>
      <c r="AB43" s="1535">
        <f t="shared" si="16"/>
        <v>1</v>
      </c>
      <c r="AC43" s="1535">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61"/>
      <c r="Q44" s="1525">
        <f t="shared" si="11"/>
        <v>111</v>
      </c>
      <c r="R44" s="709" t="s">
        <v>21</v>
      </c>
      <c r="S44" s="710">
        <f t="shared" si="12"/>
        <v>100</v>
      </c>
      <c r="T44" s="709" t="s">
        <v>21</v>
      </c>
      <c r="U44" s="710">
        <f t="shared" si="13"/>
        <v>100</v>
      </c>
      <c r="V44" s="709" t="s">
        <v>21</v>
      </c>
      <c r="W44" s="710">
        <f t="shared" si="14"/>
        <v>100</v>
      </c>
      <c r="X44" s="711"/>
      <c r="Y44" s="3363"/>
      <c r="Z44" s="55">
        <f t="shared" si="18"/>
        <v>111</v>
      </c>
      <c r="AA44" s="712">
        <f t="shared" si="15"/>
        <v>1</v>
      </c>
      <c r="AB44" s="712">
        <f t="shared" si="16"/>
        <v>1</v>
      </c>
      <c r="AC44" s="712">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61"/>
      <c r="Q45" s="1534">
        <f t="shared" si="11"/>
        <v>111</v>
      </c>
      <c r="R45" s="713" t="s">
        <v>21</v>
      </c>
      <c r="S45" s="714">
        <f t="shared" si="12"/>
        <v>100</v>
      </c>
      <c r="T45" s="713" t="s">
        <v>21</v>
      </c>
      <c r="U45" s="714">
        <f t="shared" si="13"/>
        <v>100</v>
      </c>
      <c r="V45" s="713" t="s">
        <v>21</v>
      </c>
      <c r="W45" s="714">
        <f t="shared" si="14"/>
        <v>100</v>
      </c>
      <c r="X45" s="1537"/>
      <c r="Y45" s="3363"/>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62"/>
      <c r="Q46" s="1534">
        <f t="shared" si="11"/>
        <v>111</v>
      </c>
      <c r="R46" s="713" t="s">
        <v>20</v>
      </c>
      <c r="S46" s="714">
        <f t="shared" si="12"/>
        <v>100</v>
      </c>
      <c r="T46" s="713" t="s">
        <v>20</v>
      </c>
      <c r="U46" s="714">
        <f t="shared" si="13"/>
        <v>100</v>
      </c>
      <c r="V46" s="713" t="s">
        <v>20</v>
      </c>
      <c r="W46" s="714">
        <f t="shared" si="14"/>
        <v>100</v>
      </c>
      <c r="X46" s="1537"/>
      <c r="Y46" s="3364"/>
      <c r="Z46" s="1538">
        <f t="shared" si="18"/>
        <v>111</v>
      </c>
      <c r="AA46" s="1535">
        <f t="shared" si="15"/>
        <v>1</v>
      </c>
      <c r="AB46" s="1535">
        <f t="shared" si="16"/>
        <v>1</v>
      </c>
      <c r="AC46" s="1535">
        <f t="shared" si="17"/>
        <v>1</v>
      </c>
    </row>
    <row r="47" spans="1:29" ht="15">
      <c r="A47" s="438" t="s">
        <v>2398</v>
      </c>
      <c r="B47" s="439"/>
      <c r="C47" s="1314" t="s">
        <v>19</v>
      </c>
      <c r="D47" s="1315"/>
      <c r="E47" s="1316"/>
      <c r="F47" s="1317"/>
      <c r="G47" s="1318"/>
      <c r="H47" s="1319"/>
      <c r="I47" s="1316"/>
      <c r="J47" s="1319"/>
      <c r="K47" s="2098"/>
      <c r="L47" s="2951"/>
      <c r="M47" s="2952"/>
      <c r="N47" s="2943"/>
      <c r="O47" s="2952"/>
      <c r="P47" s="3365" t="str">
        <f>A47</f>
        <v>成交单价（元/平方米）</v>
      </c>
      <c r="Q47" s="3365"/>
      <c r="R47" s="3366">
        <f>E47</f>
        <v>0</v>
      </c>
      <c r="S47" s="3366"/>
      <c r="T47" s="3366">
        <f>G47</f>
        <v>0</v>
      </c>
      <c r="U47" s="3366"/>
      <c r="V47" s="3366">
        <f>I47</f>
        <v>0</v>
      </c>
      <c r="W47" s="3366"/>
      <c r="X47" s="698"/>
      <c r="Y47" s="720"/>
      <c r="Z47" s="698"/>
      <c r="AA47" s="698"/>
      <c r="AB47" s="698"/>
      <c r="AC47" s="698"/>
    </row>
    <row r="48" spans="1:29" ht="15.75" thickBot="1">
      <c r="A48" s="445" t="s">
        <v>2399</v>
      </c>
      <c r="B48" s="446"/>
      <c r="C48" s="1320" t="e">
        <f>R49</f>
        <v>#DIV/0!</v>
      </c>
      <c r="D48" s="2536" t="s">
        <v>2879</v>
      </c>
      <c r="E48" s="1321" t="e">
        <f>R48</f>
        <v>#DIV/0!</v>
      </c>
      <c r="F48" s="2537"/>
      <c r="G48" s="1320" t="e">
        <f>T48</f>
        <v>#DIV/0!</v>
      </c>
      <c r="H48" s="2537"/>
      <c r="I48" s="1321" t="e">
        <f>V48</f>
        <v>#DIV/0!</v>
      </c>
      <c r="J48" s="2537"/>
      <c r="K48" s="2538">
        <f>F48+H48+J48</f>
        <v>0</v>
      </c>
      <c r="L48" s="2951"/>
      <c r="M48" s="2952"/>
      <c r="N48" s="2952"/>
      <c r="O48" s="2952"/>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8"/>
      <c r="Y48" s="698"/>
      <c r="Z48" s="698"/>
      <c r="AA48" s="698"/>
      <c r="AB48" s="698"/>
      <c r="AC48" s="698"/>
    </row>
    <row r="49" spans="1:29" ht="15.75" thickBot="1">
      <c r="A49" s="449" t="s">
        <v>2400</v>
      </c>
      <c r="B49" s="450"/>
      <c r="C49" s="1322" t="e">
        <f>R49</f>
        <v>#DIV/0!</v>
      </c>
      <c r="D49" s="1323"/>
      <c r="E49" s="1323"/>
      <c r="F49" s="1323"/>
      <c r="G49" s="1323"/>
      <c r="H49" s="1323"/>
      <c r="I49" s="1323"/>
      <c r="J49" s="1323"/>
      <c r="K49" s="2099"/>
      <c r="L49" s="2951"/>
      <c r="M49" s="2952"/>
      <c r="N49" s="2952"/>
      <c r="O49" s="295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估价对象为北京市房地产,属开发建设的，该项目尚在开发建设中。根据《国有土地使用证》[]，估价对象（分摊）出让国有建设用地使用权面积为1574.14平方米，规划建筑面积为32481.79平方米。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本次评估采用的主估价方法为基准地价系数修正法和基准地价系数修正法。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t="e">
        <f ca="1">IF(C2="——",C49,ROUND(B2*10000/D3,0))</f>
        <v>#DIV/0!</v>
      </c>
      <c r="C3" s="360" t="s">
        <v>2465</v>
      </c>
      <c r="D3" s="359">
        <f>IF(D1="",'数据-汇总表'!E3,SUMIF('数据-汇总表'!$C19:$C33,D1,'数据-汇总表'!$E19:$E33))</f>
        <v>32481.79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40" t="s">
        <v>2467</v>
      </c>
      <c r="D4" s="3341"/>
      <c r="E4" s="3342" t="s">
        <v>2468</v>
      </c>
      <c r="F4" s="3343"/>
      <c r="G4" s="3340" t="s">
        <v>2469</v>
      </c>
      <c r="H4" s="3341"/>
      <c r="I4" s="3340" t="s">
        <v>2470</v>
      </c>
      <c r="J4" s="3341"/>
      <c r="K4" s="567" t="s">
        <v>2471</v>
      </c>
      <c r="L4" s="2942"/>
      <c r="M4" s="2943"/>
      <c r="N4" s="2943"/>
      <c r="O4" s="2943"/>
      <c r="P4" s="3397" t="s">
        <v>2472</v>
      </c>
      <c r="Q4" s="3398"/>
      <c r="R4" s="3394" t="s">
        <v>2468</v>
      </c>
      <c r="S4" s="3395"/>
      <c r="T4" s="3394" t="s">
        <v>2469</v>
      </c>
      <c r="U4" s="3395"/>
      <c r="V4" s="3353" t="s">
        <v>2470</v>
      </c>
      <c r="W4" s="3353"/>
      <c r="X4" s="1537"/>
      <c r="Y4" s="3394" t="s">
        <v>2472</v>
      </c>
      <c r="Z4" s="3395"/>
      <c r="AA4" s="3393" t="s">
        <v>2468</v>
      </c>
      <c r="AB4" s="3353" t="s">
        <v>2469</v>
      </c>
      <c r="AC4" s="3393" t="s">
        <v>2470</v>
      </c>
    </row>
    <row r="5" spans="1:29" ht="15">
      <c r="A5" s="364"/>
      <c r="B5" s="365"/>
      <c r="C5" s="3329" t="s">
        <v>2363</v>
      </c>
      <c r="D5" s="3330"/>
      <c r="E5" s="3396" t="s">
        <v>2364</v>
      </c>
      <c r="F5" s="3328"/>
      <c r="G5" s="3329" t="s">
        <v>2365</v>
      </c>
      <c r="H5" s="3330"/>
      <c r="I5" s="3329" t="s">
        <v>2366</v>
      </c>
      <c r="J5" s="3330"/>
      <c r="K5" s="567"/>
      <c r="L5" s="2942"/>
      <c r="M5" s="2943"/>
      <c r="N5" s="2943"/>
      <c r="O5" s="2943"/>
      <c r="P5" s="3399"/>
      <c r="Q5" s="3347"/>
      <c r="R5" s="3325"/>
      <c r="S5" s="3326"/>
      <c r="T5" s="3325"/>
      <c r="U5" s="3326"/>
      <c r="V5" s="3353"/>
      <c r="W5" s="3353"/>
      <c r="X5" s="1537"/>
      <c r="Y5" s="3325"/>
      <c r="Z5" s="3326"/>
      <c r="AA5" s="3319"/>
      <c r="AB5" s="3353"/>
      <c r="AC5" s="3319"/>
    </row>
    <row r="6" spans="1:29" ht="15.75" thickBot="1">
      <c r="A6" s="366"/>
      <c r="B6" s="367"/>
      <c r="C6" s="3331" t="s">
        <v>2367</v>
      </c>
      <c r="D6" s="3332"/>
      <c r="E6" s="3334" t="s">
        <v>2367</v>
      </c>
      <c r="F6" s="3335"/>
      <c r="G6" s="3331" t="s">
        <v>2367</v>
      </c>
      <c r="H6" s="3332"/>
      <c r="I6" s="3331" t="s">
        <v>2367</v>
      </c>
      <c r="J6" s="3332"/>
      <c r="K6" s="567" t="s">
        <v>2368</v>
      </c>
      <c r="L6" s="2942"/>
      <c r="M6" s="2943"/>
      <c r="N6" s="2943"/>
      <c r="O6" s="2943"/>
      <c r="P6" s="3400"/>
      <c r="Q6" s="3349"/>
      <c r="R6" s="3325"/>
      <c r="S6" s="3326"/>
      <c r="T6" s="3350"/>
      <c r="U6" s="3351"/>
      <c r="V6" s="3353"/>
      <c r="W6" s="3353"/>
      <c r="X6" s="1537"/>
      <c r="Y6" s="3350"/>
      <c r="Z6" s="3351"/>
      <c r="AA6" s="3320"/>
      <c r="AB6" s="3353"/>
      <c r="AC6" s="3320"/>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21" t="s">
        <v>2370</v>
      </c>
      <c r="Q7" s="3355"/>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46" si="3">D8/F8</f>
        <v>#DIV/0!</v>
      </c>
      <c r="AB8" s="712" t="e">
        <f t="shared" ref="AB8:AB46" si="4">D8/H8</f>
        <v>#DIV/0!</v>
      </c>
      <c r="AC8" s="712"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36"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36"/>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36"/>
      <c r="Q11" s="1525"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36"/>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36"/>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36"/>
      <c r="Q14" s="1525">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6" t="s">
        <v>2381</v>
      </c>
      <c r="Q15" s="1534" t="str">
        <f t="shared" si="6"/>
        <v>商业繁华度</v>
      </c>
      <c r="R15" s="713" t="s">
        <v>17</v>
      </c>
      <c r="S15" s="714">
        <f t="shared" si="0"/>
        <v>100</v>
      </c>
      <c r="T15" s="713" t="s">
        <v>17</v>
      </c>
      <c r="U15" s="714">
        <f t="shared" si="1"/>
        <v>100</v>
      </c>
      <c r="V15" s="713" t="s">
        <v>17</v>
      </c>
      <c r="W15" s="714">
        <f t="shared" si="2"/>
        <v>100</v>
      </c>
      <c r="X15" s="1537"/>
      <c r="Y15" s="3358" t="s">
        <v>2381</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9"/>
      <c r="M16" s="2943"/>
      <c r="N16" s="2943"/>
      <c r="O16" s="2943"/>
      <c r="P16" s="3357"/>
      <c r="Q16" s="1534"/>
      <c r="R16" s="713"/>
      <c r="S16" s="714"/>
      <c r="T16" s="713"/>
      <c r="U16" s="714"/>
      <c r="V16" s="713"/>
      <c r="W16" s="714"/>
      <c r="X16" s="1537"/>
      <c r="Y16" s="3359"/>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7"/>
      <c r="Q17" s="1534" t="str">
        <f>B17</f>
        <v>交通便捷度</v>
      </c>
      <c r="R17" s="713" t="s">
        <v>17</v>
      </c>
      <c r="S17" s="714">
        <f>F17</f>
        <v>100</v>
      </c>
      <c r="T17" s="713" t="s">
        <v>17</v>
      </c>
      <c r="U17" s="714">
        <f>H17</f>
        <v>100</v>
      </c>
      <c r="V17" s="713" t="s">
        <v>17</v>
      </c>
      <c r="W17" s="714">
        <f>J17</f>
        <v>100</v>
      </c>
      <c r="X17" s="1537"/>
      <c r="Y17" s="3359"/>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9"/>
      <c r="M18" s="2943"/>
      <c r="N18" s="2943"/>
      <c r="O18" s="2943"/>
      <c r="P18" s="3357"/>
      <c r="Q18" s="1534"/>
      <c r="R18" s="713"/>
      <c r="S18" s="714"/>
      <c r="T18" s="713"/>
      <c r="U18" s="714"/>
      <c r="V18" s="713"/>
      <c r="W18" s="714"/>
      <c r="X18" s="1537"/>
      <c r="Y18" s="3359"/>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7"/>
      <c r="Q19" s="1534" t="str">
        <f>B19</f>
        <v>公共配套设施</v>
      </c>
      <c r="R19" s="713" t="s">
        <v>17</v>
      </c>
      <c r="S19" s="714">
        <f>F19</f>
        <v>100</v>
      </c>
      <c r="T19" s="713" t="s">
        <v>17</v>
      </c>
      <c r="U19" s="714">
        <f>H19</f>
        <v>100</v>
      </c>
      <c r="V19" s="713" t="s">
        <v>17</v>
      </c>
      <c r="W19" s="714">
        <f>J19</f>
        <v>100</v>
      </c>
      <c r="X19" s="1537"/>
      <c r="Y19" s="3359"/>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9"/>
      <c r="M20" s="2943"/>
      <c r="N20" s="2943"/>
      <c r="O20" s="2943"/>
      <c r="P20" s="3357"/>
      <c r="Q20" s="1534"/>
      <c r="R20" s="713"/>
      <c r="S20" s="714"/>
      <c r="T20" s="713"/>
      <c r="U20" s="714"/>
      <c r="V20" s="713"/>
      <c r="W20" s="714"/>
      <c r="X20" s="1537"/>
      <c r="Y20" s="3359"/>
      <c r="Z20" s="1538"/>
      <c r="AA20" s="1535">
        <v>1</v>
      </c>
      <c r="AB20" s="1535">
        <v>1</v>
      </c>
      <c r="AC20" s="1535">
        <v>1</v>
      </c>
    </row>
    <row r="21" spans="1:29" ht="28.5">
      <c r="A21" s="387"/>
      <c r="B21" s="1291"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7"/>
      <c r="Q21" s="1534" t="str">
        <f>B21</f>
        <v>基础设施水平</v>
      </c>
      <c r="R21" s="713" t="s">
        <v>17</v>
      </c>
      <c r="S21" s="714">
        <f>F21</f>
        <v>100</v>
      </c>
      <c r="T21" s="713" t="s">
        <v>17</v>
      </c>
      <c r="U21" s="714">
        <f>H21</f>
        <v>100</v>
      </c>
      <c r="V21" s="713" t="s">
        <v>17</v>
      </c>
      <c r="W21" s="714">
        <f>J21</f>
        <v>100</v>
      </c>
      <c r="X21" s="1537"/>
      <c r="Y21" s="3359"/>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2949"/>
      <c r="M22" s="2943"/>
      <c r="N22" s="2943"/>
      <c r="O22" s="2943"/>
      <c r="P22" s="3357"/>
      <c r="Q22" s="1534"/>
      <c r="R22" s="713"/>
      <c r="S22" s="714"/>
      <c r="T22" s="713"/>
      <c r="U22" s="714"/>
      <c r="V22" s="713"/>
      <c r="W22" s="714"/>
      <c r="X22" s="1537"/>
      <c r="Y22" s="3359"/>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7"/>
      <c r="Q23" s="1534" t="str">
        <f>B23</f>
        <v>自然及人文环境</v>
      </c>
      <c r="R23" s="713" t="s">
        <v>17</v>
      </c>
      <c r="S23" s="714">
        <f>F23</f>
        <v>100</v>
      </c>
      <c r="T23" s="713" t="s">
        <v>17</v>
      </c>
      <c r="U23" s="714">
        <f>H23</f>
        <v>100</v>
      </c>
      <c r="V23" s="713" t="s">
        <v>17</v>
      </c>
      <c r="W23" s="714">
        <f>J23</f>
        <v>100</v>
      </c>
      <c r="X23" s="1537"/>
      <c r="Y23" s="3359"/>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9"/>
      <c r="M24" s="2943"/>
      <c r="N24" s="2943"/>
      <c r="O24" s="2943"/>
      <c r="P24" s="3357"/>
      <c r="Q24" s="1534"/>
      <c r="R24" s="713"/>
      <c r="S24" s="714"/>
      <c r="T24" s="713"/>
      <c r="U24" s="714"/>
      <c r="V24" s="713"/>
      <c r="W24" s="714"/>
      <c r="X24" s="1537"/>
      <c r="Y24" s="3359"/>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7"/>
      <c r="Q25" s="1534" t="str">
        <f t="shared" ref="Q25:Q46" si="11">B25</f>
        <v>临街状况</v>
      </c>
      <c r="R25" s="713" t="s">
        <v>17</v>
      </c>
      <c r="S25" s="714">
        <f>F25</f>
        <v>100</v>
      </c>
      <c r="T25" s="713" t="s">
        <v>17</v>
      </c>
      <c r="U25" s="714">
        <f>H25</f>
        <v>100</v>
      </c>
      <c r="V25" s="713" t="s">
        <v>17</v>
      </c>
      <c r="W25" s="714">
        <f>J25</f>
        <v>100</v>
      </c>
      <c r="X25" s="1537"/>
      <c r="Y25" s="3359"/>
      <c r="Z25" s="1538" t="str">
        <f>Q25</f>
        <v>临街状况</v>
      </c>
      <c r="AA25" s="1535">
        <f t="shared" si="3"/>
        <v>1</v>
      </c>
      <c r="AB25" s="1535">
        <f t="shared" si="4"/>
        <v>1</v>
      </c>
      <c r="AC25" s="1535">
        <f t="shared" si="5"/>
        <v>1</v>
      </c>
    </row>
    <row r="26" spans="1:29" ht="15">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7"/>
      <c r="Q26" s="1534" t="str">
        <f t="shared" si="11"/>
        <v>平面位置/可视性</v>
      </c>
      <c r="R26" s="713" t="s">
        <v>17</v>
      </c>
      <c r="S26" s="714">
        <f>F26</f>
        <v>100</v>
      </c>
      <c r="T26" s="713" t="s">
        <v>17</v>
      </c>
      <c r="U26" s="714">
        <f>H26</f>
        <v>100</v>
      </c>
      <c r="V26" s="713" t="s">
        <v>17</v>
      </c>
      <c r="W26" s="714">
        <f>J26</f>
        <v>100</v>
      </c>
      <c r="X26" s="1537"/>
      <c r="Y26" s="3359"/>
      <c r="Z26" s="1538" t="str">
        <f>Q26</f>
        <v>平面位置/可视性</v>
      </c>
      <c r="AA26" s="1535">
        <f t="shared" si="3"/>
        <v>1</v>
      </c>
      <c r="AB26" s="1535">
        <f t="shared" si="4"/>
        <v>1</v>
      </c>
      <c r="AC26" s="1535">
        <f t="shared" si="5"/>
        <v>1</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57"/>
      <c r="Q27" s="1525" t="str">
        <f t="shared" si="11"/>
        <v>人流量</v>
      </c>
      <c r="R27" s="709" t="s">
        <v>17</v>
      </c>
      <c r="S27" s="710">
        <f>F27</f>
        <v>100</v>
      </c>
      <c r="T27" s="709" t="s">
        <v>17</v>
      </c>
      <c r="U27" s="710">
        <f>H27</f>
        <v>100</v>
      </c>
      <c r="V27" s="709" t="s">
        <v>17</v>
      </c>
      <c r="W27" s="710">
        <f>J27</f>
        <v>100</v>
      </c>
      <c r="X27" s="711"/>
      <c r="Y27" s="3359"/>
      <c r="Z27" s="55" t="str">
        <f>Q27</f>
        <v>人流量</v>
      </c>
      <c r="AA27" s="1535">
        <f>D27/F27</f>
        <v>1</v>
      </c>
      <c r="AB27" s="1535">
        <f>D27/H27</f>
        <v>1</v>
      </c>
      <c r="AC27" s="1535">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7"/>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59"/>
      <c r="Z28" s="1538" t="str">
        <f t="shared" ref="Z28:Z46" si="15">Q28</f>
        <v>楼层</v>
      </c>
      <c r="AA28" s="1535">
        <f t="shared" si="3"/>
        <v>1</v>
      </c>
      <c r="AB28" s="1535">
        <f t="shared" si="4"/>
        <v>1</v>
      </c>
      <c r="AC28" s="1535">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7"/>
      <c r="Q29" s="1534">
        <f t="shared" si="11"/>
        <v>111</v>
      </c>
      <c r="R29" s="713" t="s">
        <v>17</v>
      </c>
      <c r="S29" s="714">
        <f t="shared" si="12"/>
        <v>100</v>
      </c>
      <c r="T29" s="713" t="s">
        <v>17</v>
      </c>
      <c r="U29" s="714">
        <f t="shared" si="13"/>
        <v>100</v>
      </c>
      <c r="V29" s="713" t="s">
        <v>17</v>
      </c>
      <c r="W29" s="714">
        <f t="shared" si="14"/>
        <v>100</v>
      </c>
      <c r="X29" s="1537"/>
      <c r="Y29" s="3359"/>
      <c r="Z29" s="1538">
        <f t="shared" si="15"/>
        <v>111</v>
      </c>
      <c r="AA29" s="1535">
        <f t="shared" si="3"/>
        <v>1</v>
      </c>
      <c r="AB29" s="1535">
        <f t="shared" si="4"/>
        <v>1</v>
      </c>
      <c r="AC29" s="1535">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7"/>
      <c r="Q30" s="1534">
        <f t="shared" si="11"/>
        <v>111</v>
      </c>
      <c r="R30" s="713" t="s">
        <v>17</v>
      </c>
      <c r="S30" s="714">
        <f t="shared" si="12"/>
        <v>100</v>
      </c>
      <c r="T30" s="713" t="s">
        <v>17</v>
      </c>
      <c r="U30" s="714">
        <f t="shared" si="13"/>
        <v>100</v>
      </c>
      <c r="V30" s="713" t="s">
        <v>17</v>
      </c>
      <c r="W30" s="714">
        <f t="shared" si="14"/>
        <v>100</v>
      </c>
      <c r="X30" s="1537"/>
      <c r="Y30" s="3359"/>
      <c r="Z30" s="1538">
        <f t="shared" si="15"/>
        <v>111</v>
      </c>
      <c r="AA30" s="1535">
        <f t="shared" si="3"/>
        <v>1</v>
      </c>
      <c r="AB30" s="1535">
        <f t="shared" si="4"/>
        <v>1</v>
      </c>
      <c r="AC30" s="1535">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7"/>
      <c r="Q31" s="1534">
        <f t="shared" si="11"/>
        <v>111</v>
      </c>
      <c r="R31" s="713" t="s">
        <v>17</v>
      </c>
      <c r="S31" s="714">
        <f t="shared" si="12"/>
        <v>100</v>
      </c>
      <c r="T31" s="713" t="s">
        <v>17</v>
      </c>
      <c r="U31" s="714">
        <f t="shared" si="13"/>
        <v>100</v>
      </c>
      <c r="V31" s="713" t="s">
        <v>17</v>
      </c>
      <c r="W31" s="714">
        <f t="shared" si="14"/>
        <v>100</v>
      </c>
      <c r="X31" s="1537"/>
      <c r="Y31" s="3359"/>
      <c r="Z31" s="1538">
        <f t="shared" si="15"/>
        <v>111</v>
      </c>
      <c r="AA31" s="1535">
        <f t="shared" si="3"/>
        <v>1</v>
      </c>
      <c r="AB31" s="1535">
        <f t="shared" si="4"/>
        <v>1</v>
      </c>
      <c r="AC31" s="1535">
        <f t="shared" si="5"/>
        <v>1</v>
      </c>
    </row>
    <row r="32" spans="1:29" ht="15">
      <c r="A32" s="399" t="s">
        <v>2384</v>
      </c>
      <c r="B32" s="67" t="s">
        <v>2481</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60" t="s">
        <v>2386</v>
      </c>
      <c r="Q32" s="1534" t="str">
        <f t="shared" si="11"/>
        <v>商业类型</v>
      </c>
      <c r="R32" s="713" t="s">
        <v>17</v>
      </c>
      <c r="S32" s="714">
        <f t="shared" si="12"/>
        <v>100</v>
      </c>
      <c r="T32" s="713" t="s">
        <v>17</v>
      </c>
      <c r="U32" s="714">
        <f t="shared" si="13"/>
        <v>100</v>
      </c>
      <c r="V32" s="713" t="s">
        <v>17</v>
      </c>
      <c r="W32" s="714">
        <f t="shared" si="14"/>
        <v>100</v>
      </c>
      <c r="X32" s="1537"/>
      <c r="Y32" s="3363" t="s">
        <v>2386</v>
      </c>
      <c r="Z32" s="1538" t="str">
        <f t="shared" si="15"/>
        <v>商业类型</v>
      </c>
      <c r="AA32" s="1535">
        <f t="shared" si="3"/>
        <v>1</v>
      </c>
      <c r="AB32" s="1535">
        <f t="shared" si="4"/>
        <v>1</v>
      </c>
      <c r="AC32" s="1535">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61"/>
      <c r="Q33" s="715" t="str">
        <f t="shared" si="11"/>
        <v>项目建筑规模</v>
      </c>
      <c r="R33" s="716" t="s">
        <v>17</v>
      </c>
      <c r="S33" s="717" t="e">
        <f t="shared" si="12"/>
        <v>#N/A</v>
      </c>
      <c r="T33" s="716" t="s">
        <v>17</v>
      </c>
      <c r="U33" s="717" t="e">
        <f t="shared" si="13"/>
        <v>#N/A</v>
      </c>
      <c r="V33" s="716" t="s">
        <v>17</v>
      </c>
      <c r="W33" s="717" t="e">
        <f t="shared" si="14"/>
        <v>#N/A</v>
      </c>
      <c r="X33" s="718"/>
      <c r="Y33" s="3363"/>
      <c r="Z33" s="719" t="str">
        <f t="shared" si="15"/>
        <v>项目建筑规模</v>
      </c>
      <c r="AA33" s="1535" t="e">
        <f t="shared" si="3"/>
        <v>#N/A</v>
      </c>
      <c r="AB33" s="1535" t="e">
        <f t="shared" si="4"/>
        <v>#N/A</v>
      </c>
      <c r="AC33" s="1535" t="e">
        <f t="shared" si="5"/>
        <v>#N/A</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61"/>
      <c r="Q34" s="1534" t="str">
        <f t="shared" si="11"/>
        <v>建筑结构</v>
      </c>
      <c r="R34" s="713" t="s">
        <v>17</v>
      </c>
      <c r="S34" s="714">
        <f t="shared" si="12"/>
        <v>100</v>
      </c>
      <c r="T34" s="713" t="s">
        <v>17</v>
      </c>
      <c r="U34" s="714">
        <f t="shared" si="13"/>
        <v>100</v>
      </c>
      <c r="V34" s="713" t="s">
        <v>17</v>
      </c>
      <c r="W34" s="714">
        <f t="shared" si="14"/>
        <v>100</v>
      </c>
      <c r="X34" s="1537"/>
      <c r="Y34" s="3363"/>
      <c r="Z34" s="1538" t="str">
        <f t="shared" si="15"/>
        <v>建筑结构</v>
      </c>
      <c r="AA34" s="1535">
        <f t="shared" si="3"/>
        <v>1</v>
      </c>
      <c r="AB34" s="1535">
        <f t="shared" si="4"/>
        <v>1</v>
      </c>
      <c r="AC34" s="1535">
        <f t="shared" si="5"/>
        <v>1</v>
      </c>
    </row>
    <row r="35" spans="1:29" ht="15">
      <c r="A35" s="431"/>
      <c r="B35" s="381" t="s">
        <v>2482</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61"/>
      <c r="Q35" s="1534" t="str">
        <f t="shared" si="11"/>
        <v>公共部分装修</v>
      </c>
      <c r="R35" s="713" t="s">
        <v>17</v>
      </c>
      <c r="S35" s="714">
        <f t="shared" si="12"/>
        <v>100</v>
      </c>
      <c r="T35" s="713" t="s">
        <v>17</v>
      </c>
      <c r="U35" s="714">
        <f t="shared" si="13"/>
        <v>100</v>
      </c>
      <c r="V35" s="713" t="s">
        <v>17</v>
      </c>
      <c r="W35" s="714">
        <f t="shared" si="14"/>
        <v>100</v>
      </c>
      <c r="X35" s="1537"/>
      <c r="Y35" s="3363"/>
      <c r="Z35" s="1538" t="str">
        <f t="shared" si="15"/>
        <v>公共部分装修</v>
      </c>
      <c r="AA35" s="1535">
        <f t="shared" si="3"/>
        <v>1</v>
      </c>
      <c r="AB35" s="1535">
        <f t="shared" si="4"/>
        <v>1</v>
      </c>
      <c r="AC35" s="1535">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61"/>
      <c r="Q36" s="1534" t="str">
        <f t="shared" si="11"/>
        <v>成新度</v>
      </c>
      <c r="R36" s="713" t="s">
        <v>17</v>
      </c>
      <c r="S36" s="714" t="e">
        <f t="shared" si="12"/>
        <v>#N/A</v>
      </c>
      <c r="T36" s="713" t="s">
        <v>17</v>
      </c>
      <c r="U36" s="714" t="e">
        <f t="shared" si="13"/>
        <v>#N/A</v>
      </c>
      <c r="V36" s="713" t="s">
        <v>17</v>
      </c>
      <c r="W36" s="714" t="e">
        <f t="shared" si="14"/>
        <v>#N/A</v>
      </c>
      <c r="X36" s="1537"/>
      <c r="Y36" s="3363"/>
      <c r="Z36" s="1538" t="str">
        <f t="shared" si="15"/>
        <v>成新度</v>
      </c>
      <c r="AA36" s="1535" t="e">
        <f t="shared" si="3"/>
        <v>#N/A</v>
      </c>
      <c r="AB36" s="1535" t="e">
        <f t="shared" si="4"/>
        <v>#N/A</v>
      </c>
      <c r="AC36" s="1535" t="e">
        <f t="shared" si="5"/>
        <v>#N/A</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61"/>
      <c r="Q37" s="1525" t="str">
        <f t="shared" si="11"/>
        <v>市政基础设施</v>
      </c>
      <c r="R37" s="709" t="s">
        <v>17</v>
      </c>
      <c r="S37" s="710">
        <f t="shared" si="12"/>
        <v>100</v>
      </c>
      <c r="T37" s="709" t="s">
        <v>17</v>
      </c>
      <c r="U37" s="710">
        <f t="shared" si="13"/>
        <v>100</v>
      </c>
      <c r="V37" s="709" t="s">
        <v>17</v>
      </c>
      <c r="W37" s="710">
        <f t="shared" si="14"/>
        <v>100</v>
      </c>
      <c r="X37" s="711"/>
      <c r="Y37" s="3363"/>
      <c r="Z37" s="55" t="str">
        <f t="shared" si="15"/>
        <v>市政基础设施</v>
      </c>
      <c r="AA37" s="712">
        <f t="shared" si="3"/>
        <v>1</v>
      </c>
      <c r="AB37" s="712">
        <f t="shared" si="4"/>
        <v>1</v>
      </c>
      <c r="AC37" s="712">
        <f t="shared" si="5"/>
        <v>1</v>
      </c>
    </row>
    <row r="38" spans="1:29" ht="15">
      <c r="A38" s="431"/>
      <c r="B38" s="381" t="s">
        <v>2485</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61" t="s">
        <v>2386</v>
      </c>
      <c r="Q38" s="1534" t="str">
        <f t="shared" si="11"/>
        <v>业态</v>
      </c>
      <c r="R38" s="713" t="s">
        <v>17</v>
      </c>
      <c r="S38" s="714">
        <f t="shared" si="12"/>
        <v>100</v>
      </c>
      <c r="T38" s="713" t="s">
        <v>17</v>
      </c>
      <c r="U38" s="714">
        <f t="shared" si="13"/>
        <v>100</v>
      </c>
      <c r="V38" s="713" t="s">
        <v>17</v>
      </c>
      <c r="W38" s="714">
        <f t="shared" si="14"/>
        <v>100</v>
      </c>
      <c r="X38" s="1537"/>
      <c r="Y38" s="3363" t="s">
        <v>2386</v>
      </c>
      <c r="Z38" s="1538" t="str">
        <f t="shared" si="15"/>
        <v>业态</v>
      </c>
      <c r="AA38" s="1535">
        <f t="shared" si="3"/>
        <v>1</v>
      </c>
      <c r="AB38" s="1535">
        <f t="shared" si="4"/>
        <v>1</v>
      </c>
      <c r="AC38" s="1535">
        <f t="shared" si="5"/>
        <v>1</v>
      </c>
    </row>
    <row r="39" spans="1:29" ht="15">
      <c r="A39" s="431"/>
      <c r="B39" s="381" t="s">
        <v>2486</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61"/>
      <c r="Q39" s="1534" t="str">
        <f t="shared" si="11"/>
        <v>层高</v>
      </c>
      <c r="R39" s="713" t="s">
        <v>17</v>
      </c>
      <c r="S39" s="714">
        <f t="shared" si="12"/>
        <v>100</v>
      </c>
      <c r="T39" s="713" t="s">
        <v>17</v>
      </c>
      <c r="U39" s="714">
        <f t="shared" si="13"/>
        <v>100</v>
      </c>
      <c r="V39" s="713" t="s">
        <v>17</v>
      </c>
      <c r="W39" s="714">
        <f t="shared" si="14"/>
        <v>100</v>
      </c>
      <c r="X39" s="1537"/>
      <c r="Y39" s="3363"/>
      <c r="Z39" s="1538" t="str">
        <f t="shared" si="15"/>
        <v>层高</v>
      </c>
      <c r="AA39" s="1535">
        <f t="shared" si="3"/>
        <v>1</v>
      </c>
      <c r="AB39" s="1535">
        <f t="shared" si="4"/>
        <v>1</v>
      </c>
      <c r="AC39" s="1535">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61"/>
      <c r="Q40" s="1534" t="str">
        <f t="shared" si="11"/>
        <v>单套建筑面积</v>
      </c>
      <c r="R40" s="713" t="s">
        <v>17</v>
      </c>
      <c r="S40" s="714">
        <f t="shared" si="12"/>
        <v>100</v>
      </c>
      <c r="T40" s="713" t="s">
        <v>17</v>
      </c>
      <c r="U40" s="714">
        <f t="shared" si="13"/>
        <v>100</v>
      </c>
      <c r="V40" s="713" t="s">
        <v>17</v>
      </c>
      <c r="W40" s="714">
        <f t="shared" si="14"/>
        <v>100</v>
      </c>
      <c r="X40" s="1537"/>
      <c r="Y40" s="3363"/>
      <c r="Z40" s="1538" t="str">
        <f t="shared" si="15"/>
        <v>单套建筑面积</v>
      </c>
      <c r="AA40" s="1535">
        <f t="shared" si="3"/>
        <v>1</v>
      </c>
      <c r="AB40" s="1535">
        <f t="shared" si="4"/>
        <v>1</v>
      </c>
      <c r="AC40" s="1535">
        <f t="shared" si="5"/>
        <v>1</v>
      </c>
    </row>
    <row r="41" spans="1:29" s="430" customFormat="1" ht="15">
      <c r="A41" s="427"/>
      <c r="B41" s="153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61"/>
      <c r="Q41" s="715" t="str">
        <f t="shared" si="11"/>
        <v>进深比</v>
      </c>
      <c r="R41" s="716" t="s">
        <v>17</v>
      </c>
      <c r="S41" s="717">
        <f t="shared" si="12"/>
        <v>100</v>
      </c>
      <c r="T41" s="716" t="s">
        <v>17</v>
      </c>
      <c r="U41" s="717">
        <f t="shared" si="13"/>
        <v>100</v>
      </c>
      <c r="V41" s="716" t="s">
        <v>17</v>
      </c>
      <c r="W41" s="717">
        <f t="shared" si="14"/>
        <v>100</v>
      </c>
      <c r="X41" s="718"/>
      <c r="Y41" s="3363"/>
      <c r="Z41" s="719" t="str">
        <f t="shared" si="15"/>
        <v>进深比</v>
      </c>
      <c r="AA41" s="1535">
        <f t="shared" si="3"/>
        <v>1</v>
      </c>
      <c r="AB41" s="1535">
        <f t="shared" si="4"/>
        <v>1</v>
      </c>
      <c r="AC41" s="1535">
        <f t="shared" si="5"/>
        <v>1</v>
      </c>
    </row>
    <row r="42" spans="1:29" ht="15">
      <c r="A42" s="431"/>
      <c r="B42" s="381" t="s">
        <v>2489</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61"/>
      <c r="Q42" s="1534" t="str">
        <f t="shared" si="11"/>
        <v>内部装修</v>
      </c>
      <c r="R42" s="713" t="s">
        <v>17</v>
      </c>
      <c r="S42" s="714">
        <f t="shared" si="12"/>
        <v>100</v>
      </c>
      <c r="T42" s="713" t="s">
        <v>17</v>
      </c>
      <c r="U42" s="714">
        <f t="shared" si="13"/>
        <v>100</v>
      </c>
      <c r="V42" s="713" t="s">
        <v>17</v>
      </c>
      <c r="W42" s="714">
        <f t="shared" si="14"/>
        <v>100</v>
      </c>
      <c r="X42" s="1537"/>
      <c r="Y42" s="3363"/>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61"/>
      <c r="Q43" s="1534" t="str">
        <f t="shared" si="11"/>
        <v>内部装修维护情况</v>
      </c>
      <c r="R43" s="713" t="s">
        <v>17</v>
      </c>
      <c r="S43" s="714">
        <f t="shared" si="12"/>
        <v>100</v>
      </c>
      <c r="T43" s="713" t="s">
        <v>17</v>
      </c>
      <c r="U43" s="714">
        <f t="shared" si="13"/>
        <v>100</v>
      </c>
      <c r="V43" s="713" t="s">
        <v>17</v>
      </c>
      <c r="W43" s="714">
        <f t="shared" si="14"/>
        <v>100</v>
      </c>
      <c r="X43" s="1537"/>
      <c r="Y43" s="3363"/>
      <c r="Z43" s="1538" t="str">
        <f t="shared" si="15"/>
        <v>内部装修维护情况</v>
      </c>
      <c r="AA43" s="1535">
        <f t="shared" si="3"/>
        <v>1</v>
      </c>
      <c r="AB43" s="1535">
        <f t="shared" si="4"/>
        <v>1</v>
      </c>
      <c r="AC43" s="1535">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61"/>
      <c r="Q44" s="1525">
        <f t="shared" si="11"/>
        <v>111</v>
      </c>
      <c r="R44" s="709" t="s">
        <v>17</v>
      </c>
      <c r="S44" s="710">
        <f t="shared" si="12"/>
        <v>100</v>
      </c>
      <c r="T44" s="709" t="s">
        <v>17</v>
      </c>
      <c r="U44" s="710">
        <f t="shared" si="13"/>
        <v>100</v>
      </c>
      <c r="V44" s="709" t="s">
        <v>17</v>
      </c>
      <c r="W44" s="710">
        <f t="shared" si="14"/>
        <v>100</v>
      </c>
      <c r="X44" s="711"/>
      <c r="Y44" s="3363"/>
      <c r="Z44" s="55">
        <f t="shared" si="15"/>
        <v>111</v>
      </c>
      <c r="AA44" s="712">
        <f t="shared" si="3"/>
        <v>1</v>
      </c>
      <c r="AB44" s="712">
        <f t="shared" si="4"/>
        <v>1</v>
      </c>
      <c r="AC44" s="712">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61"/>
      <c r="Q45" s="1534">
        <f t="shared" si="11"/>
        <v>111</v>
      </c>
      <c r="R45" s="713" t="s">
        <v>17</v>
      </c>
      <c r="S45" s="714">
        <f t="shared" si="12"/>
        <v>100</v>
      </c>
      <c r="T45" s="713" t="s">
        <v>17</v>
      </c>
      <c r="U45" s="714">
        <f t="shared" si="13"/>
        <v>100</v>
      </c>
      <c r="V45" s="713" t="s">
        <v>17</v>
      </c>
      <c r="W45" s="714">
        <f t="shared" si="14"/>
        <v>100</v>
      </c>
      <c r="X45" s="1537"/>
      <c r="Y45" s="3363"/>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62"/>
      <c r="Q46" s="1534">
        <f t="shared" si="11"/>
        <v>111</v>
      </c>
      <c r="R46" s="713" t="s">
        <v>17</v>
      </c>
      <c r="S46" s="714">
        <f t="shared" si="12"/>
        <v>100</v>
      </c>
      <c r="T46" s="713" t="s">
        <v>17</v>
      </c>
      <c r="U46" s="714">
        <f t="shared" si="13"/>
        <v>100</v>
      </c>
      <c r="V46" s="713" t="s">
        <v>17</v>
      </c>
      <c r="W46" s="714">
        <f t="shared" si="14"/>
        <v>100</v>
      </c>
      <c r="X46" s="1537"/>
      <c r="Y46" s="3364"/>
      <c r="Z46" s="1538">
        <f t="shared" si="15"/>
        <v>111</v>
      </c>
      <c r="AA46" s="1535">
        <f t="shared" si="3"/>
        <v>1</v>
      </c>
      <c r="AB46" s="1535">
        <f t="shared" si="4"/>
        <v>1</v>
      </c>
      <c r="AC46" s="1535">
        <f t="shared" si="5"/>
        <v>1</v>
      </c>
    </row>
    <row r="47" spans="1:29" ht="15">
      <c r="A47" s="438" t="s">
        <v>2398</v>
      </c>
      <c r="B47" s="439"/>
      <c r="C47" s="1314" t="s">
        <v>1</v>
      </c>
      <c r="D47" s="1315"/>
      <c r="E47" s="1316"/>
      <c r="F47" s="1317"/>
      <c r="G47" s="1318"/>
      <c r="H47" s="1319"/>
      <c r="I47" s="1316"/>
      <c r="J47" s="1319"/>
      <c r="K47" s="722"/>
      <c r="L47" s="2951"/>
      <c r="M47" s="2952"/>
      <c r="N47" s="2943"/>
      <c r="O47" s="2952"/>
      <c r="P47" s="3365" t="str">
        <f>A47</f>
        <v>成交单价（元/平方米）</v>
      </c>
      <c r="Q47" s="3365"/>
      <c r="R47" s="3353">
        <f>E47</f>
        <v>0</v>
      </c>
      <c r="S47" s="3353"/>
      <c r="T47" s="3353">
        <f>G47</f>
        <v>0</v>
      </c>
      <c r="U47" s="3353"/>
      <c r="V47" s="3353">
        <f>I47</f>
        <v>0</v>
      </c>
      <c r="W47" s="3353"/>
      <c r="X47" s="698"/>
      <c r="Y47" s="720"/>
      <c r="Z47" s="698"/>
      <c r="AA47" s="698"/>
      <c r="AB47" s="698"/>
      <c r="AC47" s="698"/>
    </row>
    <row r="48" spans="1:29" ht="15.75" thickBot="1">
      <c r="A48" s="445" t="s">
        <v>2490</v>
      </c>
      <c r="B48" s="446"/>
      <c r="C48" s="1320" t="e">
        <f>R49</f>
        <v>#DIV/0!</v>
      </c>
      <c r="D48" s="2536" t="s">
        <v>2879</v>
      </c>
      <c r="E48" s="1321" t="e">
        <f>R48</f>
        <v>#DIV/0!</v>
      </c>
      <c r="F48" s="2537"/>
      <c r="G48" s="1320" t="e">
        <f>T48</f>
        <v>#DIV/0!</v>
      </c>
      <c r="H48" s="2537"/>
      <c r="I48" s="1321" t="e">
        <f>V48</f>
        <v>#DIV/0!</v>
      </c>
      <c r="J48" s="2537"/>
      <c r="K48" s="2539">
        <f>F48+H48+J48</f>
        <v>0</v>
      </c>
      <c r="L48" s="2951"/>
      <c r="M48" s="2952"/>
      <c r="N48" s="2943"/>
      <c r="O48" s="2952"/>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8"/>
      <c r="Y48" s="698"/>
      <c r="Z48" s="698"/>
      <c r="AA48" s="698"/>
      <c r="AB48" s="698"/>
      <c r="AC48" s="698"/>
    </row>
    <row r="49" spans="1:29" ht="15.75" thickBot="1">
      <c r="A49" s="449" t="s">
        <v>2491</v>
      </c>
      <c r="B49" s="450"/>
      <c r="C49" s="1323" t="e">
        <f>R49</f>
        <v>#DIV/0!</v>
      </c>
      <c r="D49" s="1323"/>
      <c r="E49" s="1323"/>
      <c r="F49" s="1323"/>
      <c r="G49" s="1323"/>
      <c r="H49" s="1323"/>
      <c r="I49" s="1323"/>
      <c r="J49" s="1323"/>
      <c r="K49" s="723"/>
      <c r="L49" s="2951"/>
      <c r="M49" s="2952"/>
      <c r="N49" s="2943"/>
      <c r="O49" s="295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3" customFormat="1" ht="15">
      <c r="A59" s="466"/>
      <c r="B59" s="467"/>
      <c r="C59" s="1343">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89"/>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32481.79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40" t="s">
        <v>2467</v>
      </c>
      <c r="D4" s="3341"/>
      <c r="E4" s="3342" t="s">
        <v>2468</v>
      </c>
      <c r="F4" s="3343"/>
      <c r="G4" s="3340" t="s">
        <v>2469</v>
      </c>
      <c r="H4" s="3341"/>
      <c r="I4" s="3340" t="s">
        <v>2470</v>
      </c>
      <c r="J4" s="3341"/>
      <c r="K4" s="567" t="s">
        <v>2471</v>
      </c>
      <c r="L4" s="1043"/>
      <c r="M4" s="1044"/>
      <c r="N4" s="1044"/>
      <c r="O4" s="1044"/>
      <c r="P4" s="3397" t="s">
        <v>2472</v>
      </c>
      <c r="Q4" s="3398"/>
      <c r="R4" s="3394" t="s">
        <v>2468</v>
      </c>
      <c r="S4" s="3395"/>
      <c r="T4" s="3394" t="s">
        <v>2469</v>
      </c>
      <c r="U4" s="3395"/>
      <c r="V4" s="3353" t="s">
        <v>2470</v>
      </c>
      <c r="W4" s="3353"/>
      <c r="X4" s="1537"/>
      <c r="Y4" s="3394" t="s">
        <v>2472</v>
      </c>
      <c r="Z4" s="3395"/>
      <c r="AA4" s="3393" t="s">
        <v>2468</v>
      </c>
      <c r="AB4" s="3319" t="s">
        <v>2469</v>
      </c>
      <c r="AC4" s="3393" t="s">
        <v>2470</v>
      </c>
    </row>
    <row r="5" spans="1:29" ht="15">
      <c r="A5" s="364"/>
      <c r="B5" s="365"/>
      <c r="C5" s="3329" t="s">
        <v>2363</v>
      </c>
      <c r="D5" s="3330"/>
      <c r="E5" s="3396" t="s">
        <v>2364</v>
      </c>
      <c r="F5" s="3328"/>
      <c r="G5" s="3329" t="s">
        <v>2365</v>
      </c>
      <c r="H5" s="3330"/>
      <c r="I5" s="3329" t="s">
        <v>2366</v>
      </c>
      <c r="J5" s="3330"/>
      <c r="K5" s="567"/>
      <c r="L5" s="1043"/>
      <c r="M5" s="1044"/>
      <c r="N5" s="1044"/>
      <c r="O5" s="1044"/>
      <c r="P5" s="3399"/>
      <c r="Q5" s="3347"/>
      <c r="R5" s="3325"/>
      <c r="S5" s="3326"/>
      <c r="T5" s="3325"/>
      <c r="U5" s="3326"/>
      <c r="V5" s="3353"/>
      <c r="W5" s="3353"/>
      <c r="X5" s="1537"/>
      <c r="Y5" s="3325"/>
      <c r="Z5" s="3326"/>
      <c r="AA5" s="3319"/>
      <c r="AB5" s="3319"/>
      <c r="AC5" s="3319"/>
    </row>
    <row r="6" spans="1:29" ht="15.75" thickBot="1">
      <c r="A6" s="366"/>
      <c r="B6" s="367"/>
      <c r="C6" s="3331" t="s">
        <v>2367</v>
      </c>
      <c r="D6" s="3332"/>
      <c r="E6" s="3334" t="s">
        <v>2367</v>
      </c>
      <c r="F6" s="3335"/>
      <c r="G6" s="3331" t="s">
        <v>2367</v>
      </c>
      <c r="H6" s="3332"/>
      <c r="I6" s="3331" t="s">
        <v>2367</v>
      </c>
      <c r="J6" s="3332"/>
      <c r="K6" s="567" t="s">
        <v>2368</v>
      </c>
      <c r="L6" s="1043"/>
      <c r="M6" s="1044"/>
      <c r="N6" s="1044"/>
      <c r="O6" s="1044"/>
      <c r="P6" s="3400"/>
      <c r="Q6" s="3349"/>
      <c r="R6" s="3325"/>
      <c r="S6" s="3326"/>
      <c r="T6" s="3350"/>
      <c r="U6" s="3351"/>
      <c r="V6" s="3353"/>
      <c r="W6" s="3353"/>
      <c r="X6" s="1537"/>
      <c r="Y6" s="3350"/>
      <c r="Z6" s="3351"/>
      <c r="AA6" s="3320"/>
      <c r="AB6" s="3320"/>
      <c r="AC6" s="3320"/>
    </row>
    <row r="7" spans="1:29" s="113" customFormat="1" ht="15.75" thickBot="1">
      <c r="A7" s="368" t="s">
        <v>2369</v>
      </c>
      <c r="B7" s="369"/>
      <c r="C7" s="370">
        <f>'数据-取费表'!B2</f>
        <v>44411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1" t="s">
        <v>2370</v>
      </c>
      <c r="Q7" s="3355"/>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1" t="s">
        <v>2373</v>
      </c>
      <c r="Q8" s="3322"/>
      <c r="R8" s="709" t="s">
        <v>17</v>
      </c>
      <c r="S8" s="710">
        <f t="shared" si="0"/>
        <v>0</v>
      </c>
      <c r="T8" s="709" t="s">
        <v>17</v>
      </c>
      <c r="U8" s="710">
        <f t="shared" si="1"/>
        <v>0</v>
      </c>
      <c r="V8" s="709" t="s">
        <v>17</v>
      </c>
      <c r="W8" s="710">
        <f t="shared" si="2"/>
        <v>0</v>
      </c>
      <c r="X8" s="711"/>
      <c r="Y8" s="3321" t="s">
        <v>2373</v>
      </c>
      <c r="Z8" s="3322"/>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65"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65"/>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65"/>
      <c r="Q11" s="1525"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65"/>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65"/>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65"/>
      <c r="Q14" s="1525">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58" t="s">
        <v>2381</v>
      </c>
      <c r="Q15" s="1534" t="str">
        <f t="shared" si="6"/>
        <v>产业集聚程度</v>
      </c>
      <c r="R15" s="713" t="s">
        <v>17</v>
      </c>
      <c r="S15" s="714">
        <f t="shared" si="0"/>
        <v>100</v>
      </c>
      <c r="T15" s="713" t="s">
        <v>17</v>
      </c>
      <c r="U15" s="714">
        <f t="shared" si="1"/>
        <v>100</v>
      </c>
      <c r="V15" s="713" t="s">
        <v>17</v>
      </c>
      <c r="W15" s="714">
        <f t="shared" si="2"/>
        <v>100</v>
      </c>
      <c r="X15" s="1537"/>
      <c r="Y15" s="3358"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59"/>
      <c r="Q16" s="1534"/>
      <c r="R16" s="713"/>
      <c r="S16" s="714"/>
      <c r="T16" s="713"/>
      <c r="U16" s="714"/>
      <c r="V16" s="713"/>
      <c r="W16" s="714"/>
      <c r="X16" s="1537"/>
      <c r="Y16" s="3359"/>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59"/>
      <c r="Q17" s="1534" t="str">
        <f>B17</f>
        <v>交通便捷度</v>
      </c>
      <c r="R17" s="713" t="s">
        <v>17</v>
      </c>
      <c r="S17" s="714">
        <f>F17</f>
        <v>100</v>
      </c>
      <c r="T17" s="713" t="s">
        <v>17</v>
      </c>
      <c r="U17" s="714">
        <f>H17</f>
        <v>100</v>
      </c>
      <c r="V17" s="713" t="s">
        <v>17</v>
      </c>
      <c r="W17" s="714">
        <f>J17</f>
        <v>100</v>
      </c>
      <c r="X17" s="1537"/>
      <c r="Y17" s="3359"/>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59"/>
      <c r="Q18" s="1534"/>
      <c r="R18" s="713"/>
      <c r="S18" s="714"/>
      <c r="T18" s="713"/>
      <c r="U18" s="714"/>
      <c r="V18" s="713"/>
      <c r="W18" s="714"/>
      <c r="X18" s="1537"/>
      <c r="Y18" s="3359"/>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59"/>
      <c r="Q19" s="1534" t="str">
        <f>B19</f>
        <v>公共配套设施</v>
      </c>
      <c r="R19" s="713" t="s">
        <v>17</v>
      </c>
      <c r="S19" s="714">
        <f>F19</f>
        <v>100</v>
      </c>
      <c r="T19" s="713" t="s">
        <v>17</v>
      </c>
      <c r="U19" s="714">
        <f>H19</f>
        <v>100</v>
      </c>
      <c r="V19" s="713" t="s">
        <v>17</v>
      </c>
      <c r="W19" s="714">
        <f>J19</f>
        <v>100</v>
      </c>
      <c r="X19" s="1537"/>
      <c r="Y19" s="3359"/>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59"/>
      <c r="Q20" s="1534"/>
      <c r="R20" s="713"/>
      <c r="S20" s="714"/>
      <c r="T20" s="713"/>
      <c r="U20" s="714"/>
      <c r="V20" s="713"/>
      <c r="W20" s="714"/>
      <c r="X20" s="1537"/>
      <c r="Y20" s="3359"/>
      <c r="Z20" s="1538"/>
      <c r="AA20" s="1535">
        <v>1</v>
      </c>
      <c r="AB20" s="1535">
        <v>1</v>
      </c>
      <c r="AC20" s="1535">
        <v>1</v>
      </c>
    </row>
    <row r="21" spans="1:29" ht="28.5">
      <c r="A21" s="387"/>
      <c r="B21" s="1291"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59"/>
      <c r="Q21" s="1534" t="str">
        <f>B21</f>
        <v>基础设施水平</v>
      </c>
      <c r="R21" s="713" t="s">
        <v>17</v>
      </c>
      <c r="S21" s="714">
        <f>F21</f>
        <v>100</v>
      </c>
      <c r="T21" s="713" t="s">
        <v>17</v>
      </c>
      <c r="U21" s="714">
        <f>H21</f>
        <v>100</v>
      </c>
      <c r="V21" s="713" t="s">
        <v>17</v>
      </c>
      <c r="W21" s="714">
        <f>J21</f>
        <v>100</v>
      </c>
      <c r="X21" s="1537"/>
      <c r="Y21" s="3359"/>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1053"/>
      <c r="M22" s="1044"/>
      <c r="N22" s="1044"/>
      <c r="O22" s="1052"/>
      <c r="P22" s="3359"/>
      <c r="Q22" s="1534"/>
      <c r="R22" s="713"/>
      <c r="S22" s="714"/>
      <c r="T22" s="713"/>
      <c r="U22" s="714"/>
      <c r="V22" s="713"/>
      <c r="W22" s="714"/>
      <c r="X22" s="1537"/>
      <c r="Y22" s="3359"/>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59"/>
      <c r="Q23" s="1534" t="str">
        <f>B23</f>
        <v>环境质量</v>
      </c>
      <c r="R23" s="713" t="s">
        <v>17</v>
      </c>
      <c r="S23" s="714">
        <f>F23</f>
        <v>100</v>
      </c>
      <c r="T23" s="713" t="s">
        <v>17</v>
      </c>
      <c r="U23" s="714">
        <f>H23</f>
        <v>100</v>
      </c>
      <c r="V23" s="713" t="s">
        <v>17</v>
      </c>
      <c r="W23" s="714">
        <f>J23</f>
        <v>100</v>
      </c>
      <c r="X23" s="1537"/>
      <c r="Y23" s="3359"/>
      <c r="Z23" s="1538" t="str">
        <f>Q23</f>
        <v>环境质量</v>
      </c>
      <c r="AA23" s="1535">
        <f t="shared" si="3"/>
        <v>1</v>
      </c>
      <c r="AB23" s="1535">
        <f t="shared" si="4"/>
        <v>1</v>
      </c>
      <c r="AC23" s="1535">
        <f t="shared" si="5"/>
        <v>1</v>
      </c>
    </row>
    <row r="24" spans="1:29" ht="15">
      <c r="A24" s="387"/>
      <c r="B24" s="1291"/>
      <c r="C24" s="406"/>
      <c r="D24" s="407"/>
      <c r="E24" s="2082"/>
      <c r="F24" s="408"/>
      <c r="G24" s="2081"/>
      <c r="H24" s="407"/>
      <c r="I24" s="2082"/>
      <c r="J24" s="407"/>
      <c r="K24" s="572"/>
      <c r="L24" s="1053"/>
      <c r="M24" s="1044"/>
      <c r="N24" s="1044"/>
      <c r="O24" s="1052"/>
      <c r="P24" s="3359"/>
      <c r="Q24" s="1534"/>
      <c r="R24" s="713"/>
      <c r="S24" s="714"/>
      <c r="T24" s="713"/>
      <c r="U24" s="714"/>
      <c r="V24" s="713"/>
      <c r="W24" s="714"/>
      <c r="X24" s="1537"/>
      <c r="Y24" s="3359"/>
      <c r="Z24" s="1538"/>
      <c r="AA24" s="1535">
        <v>1</v>
      </c>
      <c r="AB24" s="1535">
        <v>1</v>
      </c>
      <c r="AC24" s="1535">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59"/>
      <c r="Q25" s="1534">
        <f>B25</f>
        <v>111</v>
      </c>
      <c r="R25" s="713" t="s">
        <v>17</v>
      </c>
      <c r="S25" s="714">
        <f>F25</f>
        <v>100</v>
      </c>
      <c r="T25" s="713" t="s">
        <v>17</v>
      </c>
      <c r="U25" s="714">
        <f>H25</f>
        <v>100</v>
      </c>
      <c r="V25" s="713" t="s">
        <v>17</v>
      </c>
      <c r="W25" s="714">
        <f>J25</f>
        <v>100</v>
      </c>
      <c r="X25" s="1537"/>
      <c r="Y25" s="3359"/>
      <c r="Z25" s="1538">
        <f>Q25</f>
        <v>111</v>
      </c>
      <c r="AA25" s="1535">
        <f t="shared" si="3"/>
        <v>1</v>
      </c>
      <c r="AB25" s="1535">
        <f t="shared" si="4"/>
        <v>1</v>
      </c>
      <c r="AC25" s="1535">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59"/>
      <c r="Q26" s="1534">
        <f t="shared" ref="Q26:Q40" si="11">B26</f>
        <v>111</v>
      </c>
      <c r="R26" s="713" t="s">
        <v>17</v>
      </c>
      <c r="S26" s="714">
        <f>F26</f>
        <v>100</v>
      </c>
      <c r="T26" s="713" t="s">
        <v>17</v>
      </c>
      <c r="U26" s="714">
        <f>H26</f>
        <v>100</v>
      </c>
      <c r="V26" s="713" t="s">
        <v>17</v>
      </c>
      <c r="W26" s="714">
        <f>J26</f>
        <v>100</v>
      </c>
      <c r="X26" s="1537"/>
      <c r="Y26" s="3359"/>
      <c r="Z26" s="1538">
        <f>Q26</f>
        <v>111</v>
      </c>
      <c r="AA26" s="1535">
        <f t="shared" si="3"/>
        <v>1</v>
      </c>
      <c r="AB26" s="1535">
        <f t="shared" si="4"/>
        <v>1</v>
      </c>
      <c r="AC26" s="1535">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59"/>
      <c r="Q27" s="1525">
        <f t="shared" si="11"/>
        <v>111</v>
      </c>
      <c r="R27" s="709" t="s">
        <v>17</v>
      </c>
      <c r="S27" s="710">
        <f>F27</f>
        <v>100</v>
      </c>
      <c r="T27" s="709" t="s">
        <v>17</v>
      </c>
      <c r="U27" s="710">
        <f>H27</f>
        <v>100</v>
      </c>
      <c r="V27" s="709" t="s">
        <v>17</v>
      </c>
      <c r="W27" s="710">
        <f>J27</f>
        <v>100</v>
      </c>
      <c r="X27" s="711"/>
      <c r="Y27" s="3359"/>
      <c r="Z27" s="55">
        <f>Q27</f>
        <v>111</v>
      </c>
      <c r="AA27" s="1535">
        <f>D27/F27</f>
        <v>1</v>
      </c>
      <c r="AB27" s="1535">
        <f>D27/H27</f>
        <v>1</v>
      </c>
      <c r="AC27" s="1535">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59"/>
      <c r="Q28" s="1534">
        <f t="shared" si="11"/>
        <v>111</v>
      </c>
      <c r="R28" s="713" t="s">
        <v>17</v>
      </c>
      <c r="S28" s="714">
        <f t="shared" ref="S28:S40" si="12">F28</f>
        <v>100</v>
      </c>
      <c r="T28" s="713" t="s">
        <v>17</v>
      </c>
      <c r="U28" s="714">
        <f t="shared" ref="U28:U40" si="13">H28</f>
        <v>100</v>
      </c>
      <c r="V28" s="713" t="s">
        <v>17</v>
      </c>
      <c r="W28" s="714">
        <f t="shared" ref="W28:W40" si="14">J28</f>
        <v>100</v>
      </c>
      <c r="X28" s="1537"/>
      <c r="Y28" s="3359"/>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404" t="s">
        <v>2386</v>
      </c>
      <c r="Q29" s="1534" t="str">
        <f t="shared" si="11"/>
        <v>建筑类型</v>
      </c>
      <c r="R29" s="713" t="s">
        <v>17</v>
      </c>
      <c r="S29" s="714">
        <f t="shared" si="12"/>
        <v>100</v>
      </c>
      <c r="T29" s="713" t="s">
        <v>17</v>
      </c>
      <c r="U29" s="714">
        <f t="shared" si="13"/>
        <v>100</v>
      </c>
      <c r="V29" s="713" t="s">
        <v>17</v>
      </c>
      <c r="W29" s="714">
        <f t="shared" si="14"/>
        <v>100</v>
      </c>
      <c r="X29" s="1537"/>
      <c r="Y29" s="3363"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63"/>
      <c r="Q30" s="715" t="str">
        <f t="shared" si="11"/>
        <v>项目建筑规模</v>
      </c>
      <c r="R30" s="716" t="s">
        <v>17</v>
      </c>
      <c r="S30" s="717" t="e">
        <f t="shared" si="12"/>
        <v>#N/A</v>
      </c>
      <c r="T30" s="716" t="s">
        <v>17</v>
      </c>
      <c r="U30" s="717" t="e">
        <f t="shared" si="13"/>
        <v>#N/A</v>
      </c>
      <c r="V30" s="716" t="s">
        <v>17</v>
      </c>
      <c r="W30" s="717" t="e">
        <f t="shared" si="14"/>
        <v>#N/A</v>
      </c>
      <c r="X30" s="718"/>
      <c r="Y30" s="3363"/>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63"/>
      <c r="Q31" s="1534" t="str">
        <f t="shared" si="11"/>
        <v>建筑结构</v>
      </c>
      <c r="R31" s="713" t="s">
        <v>17</v>
      </c>
      <c r="S31" s="714">
        <f t="shared" si="12"/>
        <v>100</v>
      </c>
      <c r="T31" s="713" t="s">
        <v>17</v>
      </c>
      <c r="U31" s="714">
        <f t="shared" si="13"/>
        <v>100</v>
      </c>
      <c r="V31" s="713" t="s">
        <v>17</v>
      </c>
      <c r="W31" s="714">
        <f t="shared" si="14"/>
        <v>100</v>
      </c>
      <c r="X31" s="1537"/>
      <c r="Y31" s="3363"/>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63"/>
      <c r="Q32" s="1534" t="str">
        <f t="shared" si="11"/>
        <v>公共部分装修</v>
      </c>
      <c r="R32" s="713" t="s">
        <v>17</v>
      </c>
      <c r="S32" s="714">
        <f t="shared" si="12"/>
        <v>100</v>
      </c>
      <c r="T32" s="713" t="s">
        <v>17</v>
      </c>
      <c r="U32" s="714">
        <f t="shared" si="13"/>
        <v>100</v>
      </c>
      <c r="V32" s="713" t="s">
        <v>17</v>
      </c>
      <c r="W32" s="714">
        <f t="shared" si="14"/>
        <v>100</v>
      </c>
      <c r="X32" s="1537"/>
      <c r="Y32" s="3363"/>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63"/>
      <c r="Q33" s="1534" t="str">
        <f t="shared" si="11"/>
        <v>成新度</v>
      </c>
      <c r="R33" s="713" t="s">
        <v>17</v>
      </c>
      <c r="S33" s="714" t="e">
        <f t="shared" si="12"/>
        <v>#N/A</v>
      </c>
      <c r="T33" s="713" t="s">
        <v>17</v>
      </c>
      <c r="U33" s="714" t="e">
        <f t="shared" si="13"/>
        <v>#N/A</v>
      </c>
      <c r="V33" s="713" t="s">
        <v>17</v>
      </c>
      <c r="W33" s="714" t="e">
        <f t="shared" si="14"/>
        <v>#N/A</v>
      </c>
      <c r="X33" s="1537"/>
      <c r="Y33" s="3363"/>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63"/>
      <c r="Q34" s="1525" t="str">
        <f t="shared" si="11"/>
        <v>物业管理</v>
      </c>
      <c r="R34" s="709" t="s">
        <v>17</v>
      </c>
      <c r="S34" s="710">
        <f t="shared" si="12"/>
        <v>100</v>
      </c>
      <c r="T34" s="709" t="s">
        <v>17</v>
      </c>
      <c r="U34" s="710">
        <f t="shared" si="13"/>
        <v>100</v>
      </c>
      <c r="V34" s="709" t="s">
        <v>17</v>
      </c>
      <c r="W34" s="710">
        <f t="shared" si="14"/>
        <v>100</v>
      </c>
      <c r="X34" s="711"/>
      <c r="Y34" s="3363"/>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63" t="s">
        <v>2386</v>
      </c>
      <c r="Q35" s="1534" t="str">
        <f t="shared" si="11"/>
        <v>市政基础设施</v>
      </c>
      <c r="R35" s="713" t="s">
        <v>17</v>
      </c>
      <c r="S35" s="714">
        <f t="shared" si="12"/>
        <v>100</v>
      </c>
      <c r="T35" s="713" t="s">
        <v>17</v>
      </c>
      <c r="U35" s="714">
        <f t="shared" si="13"/>
        <v>100</v>
      </c>
      <c r="V35" s="713" t="s">
        <v>17</v>
      </c>
      <c r="W35" s="714">
        <f t="shared" si="14"/>
        <v>100</v>
      </c>
      <c r="X35" s="1537"/>
      <c r="Y35" s="3363"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63"/>
      <c r="Q36" s="1534" t="str">
        <f t="shared" si="11"/>
        <v>内部装修</v>
      </c>
      <c r="R36" s="713" t="s">
        <v>17</v>
      </c>
      <c r="S36" s="714">
        <f t="shared" si="12"/>
        <v>100</v>
      </c>
      <c r="T36" s="713" t="s">
        <v>17</v>
      </c>
      <c r="U36" s="714">
        <f t="shared" si="13"/>
        <v>100</v>
      </c>
      <c r="V36" s="713" t="s">
        <v>17</v>
      </c>
      <c r="W36" s="714">
        <f t="shared" si="14"/>
        <v>100</v>
      </c>
      <c r="X36" s="1537"/>
      <c r="Y36" s="3363"/>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63"/>
      <c r="Q37" s="1534" t="str">
        <f t="shared" si="11"/>
        <v>内部装修状况</v>
      </c>
      <c r="R37" s="713" t="s">
        <v>17</v>
      </c>
      <c r="S37" s="714">
        <f t="shared" si="12"/>
        <v>100</v>
      </c>
      <c r="T37" s="713" t="s">
        <v>17</v>
      </c>
      <c r="U37" s="714">
        <f t="shared" si="13"/>
        <v>100</v>
      </c>
      <c r="V37" s="713" t="s">
        <v>17</v>
      </c>
      <c r="W37" s="714">
        <f t="shared" si="14"/>
        <v>100</v>
      </c>
      <c r="X37" s="1537"/>
      <c r="Y37" s="3363"/>
      <c r="Z37" s="1538" t="str">
        <f t="shared" si="15"/>
        <v>内部装修状况</v>
      </c>
      <c r="AA37" s="1535">
        <f t="shared" si="3"/>
        <v>1</v>
      </c>
      <c r="AB37" s="1535">
        <f t="shared" si="4"/>
        <v>1</v>
      </c>
      <c r="AC37" s="1535">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63"/>
      <c r="Q38" s="715">
        <f t="shared" si="11"/>
        <v>111</v>
      </c>
      <c r="R38" s="716" t="s">
        <v>17</v>
      </c>
      <c r="S38" s="717">
        <f t="shared" si="12"/>
        <v>100</v>
      </c>
      <c r="T38" s="716" t="s">
        <v>17</v>
      </c>
      <c r="U38" s="717">
        <f t="shared" si="13"/>
        <v>100</v>
      </c>
      <c r="V38" s="716" t="s">
        <v>17</v>
      </c>
      <c r="W38" s="717">
        <f t="shared" si="14"/>
        <v>100</v>
      </c>
      <c r="X38" s="718"/>
      <c r="Y38" s="3363"/>
      <c r="Z38" s="719">
        <f t="shared" si="15"/>
        <v>111</v>
      </c>
      <c r="AA38" s="1535">
        <f t="shared" si="3"/>
        <v>1</v>
      </c>
      <c r="AB38" s="1535">
        <f t="shared" si="4"/>
        <v>1</v>
      </c>
      <c r="AC38" s="1535">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63"/>
      <c r="Q39" s="1534">
        <f t="shared" si="11"/>
        <v>111</v>
      </c>
      <c r="R39" s="713" t="s">
        <v>17</v>
      </c>
      <c r="S39" s="714">
        <f t="shared" si="12"/>
        <v>100</v>
      </c>
      <c r="T39" s="713" t="s">
        <v>17</v>
      </c>
      <c r="U39" s="714">
        <f t="shared" si="13"/>
        <v>100</v>
      </c>
      <c r="V39" s="713" t="s">
        <v>17</v>
      </c>
      <c r="W39" s="714">
        <f t="shared" si="14"/>
        <v>100</v>
      </c>
      <c r="X39" s="1537"/>
      <c r="Y39" s="3363"/>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64"/>
      <c r="Q40" s="1534">
        <f t="shared" si="11"/>
        <v>111</v>
      </c>
      <c r="R40" s="713" t="s">
        <v>17</v>
      </c>
      <c r="S40" s="714">
        <f t="shared" si="12"/>
        <v>100</v>
      </c>
      <c r="T40" s="713" t="s">
        <v>17</v>
      </c>
      <c r="U40" s="714">
        <f t="shared" si="13"/>
        <v>100</v>
      </c>
      <c r="V40" s="713" t="s">
        <v>17</v>
      </c>
      <c r="W40" s="714">
        <f t="shared" si="14"/>
        <v>100</v>
      </c>
      <c r="X40" s="1537"/>
      <c r="Y40" s="3364"/>
      <c r="Z40" s="1538">
        <f t="shared" si="15"/>
        <v>111</v>
      </c>
      <c r="AA40" s="1535">
        <f t="shared" si="3"/>
        <v>1</v>
      </c>
      <c r="AB40" s="1535">
        <f t="shared" si="4"/>
        <v>1</v>
      </c>
      <c r="AC40" s="1535">
        <f t="shared" si="5"/>
        <v>1</v>
      </c>
    </row>
    <row r="41" spans="1:29" ht="15">
      <c r="A41" s="438" t="s">
        <v>2398</v>
      </c>
      <c r="B41" s="439"/>
      <c r="C41" s="1314" t="s">
        <v>1</v>
      </c>
      <c r="D41" s="1315"/>
      <c r="E41" s="1316"/>
      <c r="F41" s="1317"/>
      <c r="G41" s="1318"/>
      <c r="H41" s="1319"/>
      <c r="I41" s="1316"/>
      <c r="J41" s="1319"/>
      <c r="K41" s="722"/>
      <c r="L41" s="1056"/>
      <c r="M41" s="1057"/>
      <c r="N41" s="1044"/>
      <c r="O41" s="1057"/>
      <c r="P41" s="3365" t="str">
        <f>A41</f>
        <v>成交单价（元/平方米）</v>
      </c>
      <c r="Q41" s="3365"/>
      <c r="R41" s="3366">
        <f>E41</f>
        <v>0</v>
      </c>
      <c r="S41" s="3366"/>
      <c r="T41" s="3366">
        <f>G41</f>
        <v>0</v>
      </c>
      <c r="U41" s="3366"/>
      <c r="V41" s="3366">
        <f>I41</f>
        <v>0</v>
      </c>
      <c r="W41" s="3366"/>
      <c r="X41" s="698"/>
      <c r="Y41" s="720"/>
      <c r="Z41" s="698"/>
      <c r="AA41" s="698"/>
      <c r="AB41" s="698"/>
      <c r="AC41" s="698"/>
    </row>
    <row r="42" spans="1:29" ht="15.75" thickBot="1">
      <c r="A42" s="445" t="s">
        <v>2490</v>
      </c>
      <c r="B42" s="446"/>
      <c r="C42" s="1320" t="e">
        <f>R43</f>
        <v>#DIV/0!</v>
      </c>
      <c r="D42" s="2536" t="s">
        <v>2879</v>
      </c>
      <c r="E42" s="1321" t="e">
        <f>R42</f>
        <v>#DIV/0!</v>
      </c>
      <c r="F42" s="2537"/>
      <c r="G42" s="1320" t="e">
        <f>T42</f>
        <v>#DIV/0!</v>
      </c>
      <c r="H42" s="2537"/>
      <c r="I42" s="1321" t="e">
        <f>V42</f>
        <v>#DIV/0!</v>
      </c>
      <c r="J42" s="2537"/>
      <c r="K42" s="2539">
        <f>F42+H42+J42</f>
        <v>0</v>
      </c>
      <c r="L42" s="1056"/>
      <c r="M42" s="1057"/>
      <c r="N42" s="1044"/>
      <c r="O42" s="1057"/>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698"/>
      <c r="Y42" s="698"/>
      <c r="Z42" s="698"/>
      <c r="AA42" s="698"/>
      <c r="AB42" s="698"/>
      <c r="AC42" s="698"/>
    </row>
    <row r="43" spans="1:29" ht="15.75" thickBot="1">
      <c r="A43" s="449" t="s">
        <v>2491</v>
      </c>
      <c r="B43" s="450"/>
      <c r="C43" s="1323" t="e">
        <f>R43</f>
        <v>#DIV/0!</v>
      </c>
      <c r="D43" s="1323"/>
      <c r="E43" s="1323"/>
      <c r="F43" s="1323"/>
      <c r="G43" s="1323"/>
      <c r="H43" s="1323"/>
      <c r="I43" s="1323"/>
      <c r="J43" s="1323"/>
      <c r="K43" s="723"/>
      <c r="L43" s="1056"/>
      <c r="M43" s="1057"/>
      <c r="N43" s="1057"/>
      <c r="O43" s="1057"/>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9"/>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1" t="s">
        <v>2466</v>
      </c>
      <c r="B4" s="362"/>
      <c r="C4" s="3340" t="s">
        <v>2467</v>
      </c>
      <c r="D4" s="3341"/>
      <c r="E4" s="3342" t="s">
        <v>2468</v>
      </c>
      <c r="F4" s="3343"/>
      <c r="G4" s="3340" t="s">
        <v>2469</v>
      </c>
      <c r="H4" s="3341"/>
      <c r="I4" s="3340" t="s">
        <v>2470</v>
      </c>
      <c r="J4" s="3341"/>
      <c r="K4" s="567" t="s">
        <v>2471</v>
      </c>
      <c r="L4" s="2942"/>
      <c r="M4" s="2943"/>
      <c r="N4" s="2943"/>
      <c r="O4" s="2943"/>
      <c r="P4" s="3397" t="s">
        <v>2472</v>
      </c>
      <c r="Q4" s="3398"/>
      <c r="R4" s="3394" t="s">
        <v>2468</v>
      </c>
      <c r="S4" s="3395"/>
      <c r="T4" s="3394" t="s">
        <v>2469</v>
      </c>
      <c r="U4" s="3395"/>
      <c r="V4" s="3353" t="s">
        <v>2470</v>
      </c>
      <c r="W4" s="3353"/>
      <c r="X4" s="1537"/>
      <c r="Y4" s="3394" t="s">
        <v>2472</v>
      </c>
      <c r="Z4" s="3395"/>
      <c r="AA4" s="3393" t="s">
        <v>2468</v>
      </c>
      <c r="AB4" s="3319" t="s">
        <v>2469</v>
      </c>
      <c r="AC4" s="3393" t="s">
        <v>2470</v>
      </c>
    </row>
    <row r="5" spans="1:29" ht="15">
      <c r="A5" s="364"/>
      <c r="B5" s="365"/>
      <c r="C5" s="3329" t="s">
        <v>2363</v>
      </c>
      <c r="D5" s="3330"/>
      <c r="E5" s="3396" t="s">
        <v>2364</v>
      </c>
      <c r="F5" s="3328"/>
      <c r="G5" s="3329" t="s">
        <v>2365</v>
      </c>
      <c r="H5" s="3330"/>
      <c r="I5" s="3329" t="s">
        <v>2366</v>
      </c>
      <c r="J5" s="3330"/>
      <c r="K5" s="567"/>
      <c r="L5" s="2942"/>
      <c r="M5" s="2943"/>
      <c r="N5" s="2943"/>
      <c r="O5" s="2943"/>
      <c r="P5" s="3399"/>
      <c r="Q5" s="3347"/>
      <c r="R5" s="3325"/>
      <c r="S5" s="3326"/>
      <c r="T5" s="3325"/>
      <c r="U5" s="3326"/>
      <c r="V5" s="3353"/>
      <c r="W5" s="3353"/>
      <c r="X5" s="1537"/>
      <c r="Y5" s="3325"/>
      <c r="Z5" s="3326"/>
      <c r="AA5" s="3319"/>
      <c r="AB5" s="3319"/>
      <c r="AC5" s="3319"/>
    </row>
    <row r="6" spans="1:29" ht="15.75" thickBot="1">
      <c r="A6" s="366"/>
      <c r="B6" s="367"/>
      <c r="C6" s="3331" t="s">
        <v>2367</v>
      </c>
      <c r="D6" s="3332"/>
      <c r="E6" s="3334" t="s">
        <v>2367</v>
      </c>
      <c r="F6" s="3335"/>
      <c r="G6" s="3331" t="s">
        <v>2367</v>
      </c>
      <c r="H6" s="3332"/>
      <c r="I6" s="3331" t="s">
        <v>2367</v>
      </c>
      <c r="J6" s="3332"/>
      <c r="K6" s="567" t="s">
        <v>2368</v>
      </c>
      <c r="L6" s="2942"/>
      <c r="M6" s="2943"/>
      <c r="N6" s="2943"/>
      <c r="O6" s="2943"/>
      <c r="P6" s="3400"/>
      <c r="Q6" s="3349"/>
      <c r="R6" s="3325"/>
      <c r="S6" s="3326"/>
      <c r="T6" s="3350"/>
      <c r="U6" s="3351"/>
      <c r="V6" s="3353"/>
      <c r="W6" s="3353"/>
      <c r="X6" s="1537"/>
      <c r="Y6" s="3350"/>
      <c r="Z6" s="3351"/>
      <c r="AA6" s="3320"/>
      <c r="AB6" s="3320"/>
      <c r="AC6" s="3320"/>
    </row>
    <row r="7" spans="1:29" s="113" customFormat="1" ht="15.75" thickBot="1">
      <c r="A7" s="368" t="s">
        <v>2369</v>
      </c>
      <c r="B7" s="369"/>
      <c r="C7" s="370">
        <f>'数据-取费表'!B2</f>
        <v>44411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1" t="s">
        <v>2370</v>
      </c>
      <c r="Q7" s="3355"/>
      <c r="R7" s="709" t="s">
        <v>17</v>
      </c>
      <c r="S7" s="710">
        <f t="shared" ref="S7:S14" si="0">F7</f>
        <v>0</v>
      </c>
      <c r="T7" s="709" t="s">
        <v>17</v>
      </c>
      <c r="U7" s="710">
        <f t="shared" ref="U7:U14" si="1">H7</f>
        <v>0</v>
      </c>
      <c r="V7" s="709" t="s">
        <v>17</v>
      </c>
      <c r="W7" s="710">
        <f t="shared" ref="W7:W14" si="2">J7</f>
        <v>0</v>
      </c>
      <c r="X7" s="711"/>
      <c r="Y7" s="3321" t="s">
        <v>2370</v>
      </c>
      <c r="Z7" s="3322"/>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65" t="s">
        <v>2376</v>
      </c>
      <c r="Q9" s="1525" t="str">
        <f t="shared" ref="Q9:Q14" si="6">B9</f>
        <v>用途</v>
      </c>
      <c r="R9" s="709" t="s">
        <v>17</v>
      </c>
      <c r="S9" s="710">
        <f t="shared" si="0"/>
        <v>100</v>
      </c>
      <c r="T9" s="709" t="s">
        <v>17</v>
      </c>
      <c r="U9" s="710">
        <f t="shared" si="1"/>
        <v>100</v>
      </c>
      <c r="V9" s="709" t="s">
        <v>17</v>
      </c>
      <c r="W9" s="710">
        <f t="shared" si="2"/>
        <v>100</v>
      </c>
      <c r="X9" s="711"/>
      <c r="Y9" s="3260"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65"/>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65"/>
      <c r="Q11" s="1525">
        <f t="shared" si="6"/>
        <v>111</v>
      </c>
      <c r="R11" s="709" t="s">
        <v>17</v>
      </c>
      <c r="S11" s="710">
        <f t="shared" si="0"/>
        <v>100</v>
      </c>
      <c r="T11" s="709" t="s">
        <v>17</v>
      </c>
      <c r="U11" s="710">
        <f t="shared" si="1"/>
        <v>100</v>
      </c>
      <c r="V11" s="709" t="s">
        <v>17</v>
      </c>
      <c r="W11" s="710">
        <f t="shared" si="2"/>
        <v>100</v>
      </c>
      <c r="X11" s="711"/>
      <c r="Y11" s="326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65"/>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65"/>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58" t="s">
        <v>2381</v>
      </c>
      <c r="Q14" s="1534" t="str">
        <f t="shared" si="6"/>
        <v>交通便捷度</v>
      </c>
      <c r="R14" s="713" t="s">
        <v>17</v>
      </c>
      <c r="S14" s="714">
        <f t="shared" si="0"/>
        <v>100</v>
      </c>
      <c r="T14" s="713" t="s">
        <v>17</v>
      </c>
      <c r="U14" s="714">
        <f t="shared" si="1"/>
        <v>100</v>
      </c>
      <c r="V14" s="713" t="s">
        <v>17</v>
      </c>
      <c r="W14" s="714">
        <f t="shared" si="2"/>
        <v>100</v>
      </c>
      <c r="X14" s="1537"/>
      <c r="Y14" s="3358"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59"/>
      <c r="Q15" s="1534"/>
      <c r="R15" s="713"/>
      <c r="S15" s="714"/>
      <c r="T15" s="713"/>
      <c r="U15" s="714"/>
      <c r="V15" s="713"/>
      <c r="W15" s="714"/>
      <c r="X15" s="1537"/>
      <c r="Y15" s="3359"/>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59"/>
      <c r="Q16" s="1534" t="str">
        <f>B16</f>
        <v>公共配套设施</v>
      </c>
      <c r="R16" s="713" t="s">
        <v>17</v>
      </c>
      <c r="S16" s="714">
        <f>F16</f>
        <v>100</v>
      </c>
      <c r="T16" s="713" t="s">
        <v>17</v>
      </c>
      <c r="U16" s="714">
        <f>H16</f>
        <v>100</v>
      </c>
      <c r="V16" s="713" t="s">
        <v>17</v>
      </c>
      <c r="W16" s="714">
        <f>J16</f>
        <v>100</v>
      </c>
      <c r="X16" s="1537"/>
      <c r="Y16" s="3359"/>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59"/>
      <c r="Q17" s="1534"/>
      <c r="R17" s="713"/>
      <c r="S17" s="714"/>
      <c r="T17" s="713"/>
      <c r="U17" s="714"/>
      <c r="V17" s="713"/>
      <c r="W17" s="714"/>
      <c r="X17" s="1537"/>
      <c r="Y17" s="3359"/>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59"/>
      <c r="Q18" s="1534" t="str">
        <f>B18</f>
        <v>基础设施水平</v>
      </c>
      <c r="R18" s="713" t="s">
        <v>17</v>
      </c>
      <c r="S18" s="714">
        <f>F18</f>
        <v>100</v>
      </c>
      <c r="T18" s="713" t="s">
        <v>17</v>
      </c>
      <c r="U18" s="714">
        <f>H18</f>
        <v>100</v>
      </c>
      <c r="V18" s="713" t="s">
        <v>17</v>
      </c>
      <c r="W18" s="714">
        <f>J18</f>
        <v>100</v>
      </c>
      <c r="X18" s="1537"/>
      <c r="Y18" s="3359"/>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0"/>
      <c r="L19" s="2949"/>
      <c r="M19" s="2943"/>
      <c r="N19" s="2943"/>
      <c r="O19" s="2943"/>
      <c r="P19" s="3359"/>
      <c r="Q19" s="1534"/>
      <c r="R19" s="713"/>
      <c r="S19" s="714"/>
      <c r="T19" s="713"/>
      <c r="U19" s="714"/>
      <c r="V19" s="713"/>
      <c r="W19" s="714"/>
      <c r="X19" s="1537"/>
      <c r="Y19" s="3359"/>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59"/>
      <c r="Q20" s="1534" t="str">
        <f>B20</f>
        <v>自然及人文环境</v>
      </c>
      <c r="R20" s="713" t="s">
        <v>17</v>
      </c>
      <c r="S20" s="714">
        <f>F20</f>
        <v>100</v>
      </c>
      <c r="T20" s="713" t="s">
        <v>17</v>
      </c>
      <c r="U20" s="714">
        <f>H20</f>
        <v>100</v>
      </c>
      <c r="V20" s="713" t="s">
        <v>17</v>
      </c>
      <c r="W20" s="714">
        <f>J20</f>
        <v>100</v>
      </c>
      <c r="X20" s="1537"/>
      <c r="Y20" s="3359"/>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59"/>
      <c r="Q21" s="1534"/>
      <c r="R21" s="713"/>
      <c r="S21" s="714"/>
      <c r="T21" s="713"/>
      <c r="U21" s="714"/>
      <c r="V21" s="713"/>
      <c r="W21" s="714"/>
      <c r="X21" s="1537"/>
      <c r="Y21" s="3359"/>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59"/>
      <c r="Q22" s="1534" t="str">
        <f>B22</f>
        <v>楼层</v>
      </c>
      <c r="R22" s="713" t="s">
        <v>17</v>
      </c>
      <c r="S22" s="714">
        <f>F22</f>
        <v>100</v>
      </c>
      <c r="T22" s="713" t="s">
        <v>17</v>
      </c>
      <c r="U22" s="714">
        <f>H22</f>
        <v>100</v>
      </c>
      <c r="V22" s="713" t="s">
        <v>17</v>
      </c>
      <c r="W22" s="714">
        <f>J22</f>
        <v>100</v>
      </c>
      <c r="X22" s="1537"/>
      <c r="Y22" s="3359"/>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59"/>
      <c r="Q23" s="1534">
        <f>B23</f>
        <v>111</v>
      </c>
      <c r="R23" s="713" t="s">
        <v>17</v>
      </c>
      <c r="S23" s="714">
        <f>F23</f>
        <v>100</v>
      </c>
      <c r="T23" s="713" t="s">
        <v>17</v>
      </c>
      <c r="U23" s="714">
        <f>H23</f>
        <v>100</v>
      </c>
      <c r="V23" s="713" t="s">
        <v>17</v>
      </c>
      <c r="W23" s="714">
        <f>J23</f>
        <v>100</v>
      </c>
      <c r="X23" s="1537"/>
      <c r="Y23" s="3359"/>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59"/>
      <c r="Q24" s="1534">
        <f t="shared" ref="Q24:Q36" si="11">B24</f>
        <v>111</v>
      </c>
      <c r="R24" s="713" t="s">
        <v>17</v>
      </c>
      <c r="S24" s="714">
        <f>F24</f>
        <v>100</v>
      </c>
      <c r="T24" s="713" t="s">
        <v>17</v>
      </c>
      <c r="U24" s="714">
        <f>H24</f>
        <v>100</v>
      </c>
      <c r="V24" s="713" t="s">
        <v>17</v>
      </c>
      <c r="W24" s="714">
        <f>J24</f>
        <v>100</v>
      </c>
      <c r="X24" s="1537"/>
      <c r="Y24" s="3359"/>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59"/>
      <c r="Q25" s="1525">
        <f t="shared" si="11"/>
        <v>111</v>
      </c>
      <c r="R25" s="709" t="s">
        <v>17</v>
      </c>
      <c r="S25" s="710">
        <f>F25</f>
        <v>100</v>
      </c>
      <c r="T25" s="709" t="s">
        <v>17</v>
      </c>
      <c r="U25" s="710">
        <f>H25</f>
        <v>100</v>
      </c>
      <c r="V25" s="709" t="s">
        <v>17</v>
      </c>
      <c r="W25" s="710">
        <f>J25</f>
        <v>100</v>
      </c>
      <c r="X25" s="711"/>
      <c r="Y25" s="3359"/>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4"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63"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63"/>
      <c r="Q27" s="715" t="str">
        <f t="shared" si="11"/>
        <v>项目停车位配比</v>
      </c>
      <c r="R27" s="716" t="s">
        <v>17</v>
      </c>
      <c r="S27" s="717">
        <f t="shared" si="12"/>
        <v>100</v>
      </c>
      <c r="T27" s="716" t="s">
        <v>17</v>
      </c>
      <c r="U27" s="717">
        <f t="shared" si="13"/>
        <v>100</v>
      </c>
      <c r="V27" s="716" t="s">
        <v>17</v>
      </c>
      <c r="W27" s="717">
        <f t="shared" si="14"/>
        <v>100</v>
      </c>
      <c r="X27" s="718"/>
      <c r="Y27" s="3363"/>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63"/>
      <c r="Q28" s="1534" t="str">
        <f t="shared" si="11"/>
        <v>公共部分装修</v>
      </c>
      <c r="R28" s="713" t="s">
        <v>17</v>
      </c>
      <c r="S28" s="714">
        <f t="shared" si="12"/>
        <v>100</v>
      </c>
      <c r="T28" s="713" t="s">
        <v>17</v>
      </c>
      <c r="U28" s="714">
        <f t="shared" si="13"/>
        <v>100</v>
      </c>
      <c r="V28" s="713" t="s">
        <v>17</v>
      </c>
      <c r="W28" s="714">
        <f t="shared" si="14"/>
        <v>100</v>
      </c>
      <c r="X28" s="1537"/>
      <c r="Y28" s="3363"/>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63"/>
      <c r="Q29" s="1534" t="str">
        <f t="shared" si="11"/>
        <v>成新率</v>
      </c>
      <c r="R29" s="713" t="s">
        <v>17</v>
      </c>
      <c r="S29" s="714" t="e">
        <f t="shared" si="12"/>
        <v>#N/A</v>
      </c>
      <c r="T29" s="713" t="s">
        <v>17</v>
      </c>
      <c r="U29" s="714" t="e">
        <f t="shared" si="13"/>
        <v>#N/A</v>
      </c>
      <c r="V29" s="713" t="s">
        <v>17</v>
      </c>
      <c r="W29" s="714" t="e">
        <f t="shared" si="14"/>
        <v>#N/A</v>
      </c>
      <c r="X29" s="1537"/>
      <c r="Y29" s="3363"/>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63"/>
      <c r="Q30" s="1534" t="str">
        <f t="shared" si="11"/>
        <v>物业等级</v>
      </c>
      <c r="R30" s="713" t="s">
        <v>17</v>
      </c>
      <c r="S30" s="714">
        <f t="shared" si="12"/>
        <v>100</v>
      </c>
      <c r="T30" s="713" t="s">
        <v>17</v>
      </c>
      <c r="U30" s="714">
        <f t="shared" si="13"/>
        <v>100</v>
      </c>
      <c r="V30" s="713" t="s">
        <v>17</v>
      </c>
      <c r="W30" s="714">
        <f t="shared" si="14"/>
        <v>100</v>
      </c>
      <c r="X30" s="1537"/>
      <c r="Y30" s="3363"/>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63"/>
      <c r="Q31" s="1525" t="str">
        <f t="shared" si="11"/>
        <v>停车位面积</v>
      </c>
      <c r="R31" s="709" t="s">
        <v>17</v>
      </c>
      <c r="S31" s="710" t="e">
        <f t="shared" si="12"/>
        <v>#N/A</v>
      </c>
      <c r="T31" s="709" t="s">
        <v>17</v>
      </c>
      <c r="U31" s="710" t="e">
        <f t="shared" si="13"/>
        <v>#N/A</v>
      </c>
      <c r="V31" s="709" t="s">
        <v>17</v>
      </c>
      <c r="W31" s="710" t="e">
        <f t="shared" si="14"/>
        <v>#N/A</v>
      </c>
      <c r="X31" s="711"/>
      <c r="Y31" s="3363"/>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63" t="s">
        <v>2386</v>
      </c>
      <c r="Q32" s="1534" t="str">
        <f t="shared" si="11"/>
        <v>车位类型</v>
      </c>
      <c r="R32" s="713" t="s">
        <v>17</v>
      </c>
      <c r="S32" s="714">
        <f t="shared" si="12"/>
        <v>100</v>
      </c>
      <c r="T32" s="713" t="s">
        <v>17</v>
      </c>
      <c r="U32" s="714">
        <f t="shared" si="13"/>
        <v>100</v>
      </c>
      <c r="V32" s="713" t="s">
        <v>17</v>
      </c>
      <c r="W32" s="714">
        <f t="shared" si="14"/>
        <v>100</v>
      </c>
      <c r="X32" s="1537"/>
      <c r="Y32" s="3363"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63"/>
      <c r="Q33" s="1534" t="str">
        <f t="shared" si="11"/>
        <v>是否直接入户</v>
      </c>
      <c r="R33" s="713" t="s">
        <v>17</v>
      </c>
      <c r="S33" s="714">
        <f t="shared" si="12"/>
        <v>100</v>
      </c>
      <c r="T33" s="713" t="s">
        <v>17</v>
      </c>
      <c r="U33" s="714">
        <f t="shared" si="13"/>
        <v>100</v>
      </c>
      <c r="V33" s="713" t="s">
        <v>17</v>
      </c>
      <c r="W33" s="714">
        <f t="shared" si="14"/>
        <v>100</v>
      </c>
      <c r="X33" s="1537"/>
      <c r="Y33" s="3363"/>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63"/>
      <c r="Q34" s="1534">
        <f t="shared" si="11"/>
        <v>111</v>
      </c>
      <c r="R34" s="713" t="s">
        <v>17</v>
      </c>
      <c r="S34" s="714">
        <f t="shared" si="12"/>
        <v>100</v>
      </c>
      <c r="T34" s="713" t="s">
        <v>17</v>
      </c>
      <c r="U34" s="714">
        <f t="shared" si="13"/>
        <v>100</v>
      </c>
      <c r="V34" s="713" t="s">
        <v>17</v>
      </c>
      <c r="W34" s="714">
        <f t="shared" si="14"/>
        <v>100</v>
      </c>
      <c r="X34" s="1537"/>
      <c r="Y34" s="3363"/>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63"/>
      <c r="Q35" s="715">
        <f t="shared" si="11"/>
        <v>111</v>
      </c>
      <c r="R35" s="716" t="s">
        <v>17</v>
      </c>
      <c r="S35" s="717">
        <f t="shared" si="12"/>
        <v>100</v>
      </c>
      <c r="T35" s="716" t="s">
        <v>17</v>
      </c>
      <c r="U35" s="717">
        <f t="shared" si="13"/>
        <v>100</v>
      </c>
      <c r="V35" s="716" t="s">
        <v>17</v>
      </c>
      <c r="W35" s="717">
        <f t="shared" si="14"/>
        <v>100</v>
      </c>
      <c r="X35" s="718"/>
      <c r="Y35" s="3363"/>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63"/>
      <c r="Q36" s="1534">
        <f t="shared" si="11"/>
        <v>111</v>
      </c>
      <c r="R36" s="713" t="s">
        <v>17</v>
      </c>
      <c r="S36" s="714">
        <f t="shared" si="12"/>
        <v>100</v>
      </c>
      <c r="T36" s="713" t="s">
        <v>17</v>
      </c>
      <c r="U36" s="714">
        <f t="shared" si="13"/>
        <v>100</v>
      </c>
      <c r="V36" s="713" t="s">
        <v>17</v>
      </c>
      <c r="W36" s="714">
        <f t="shared" si="14"/>
        <v>100</v>
      </c>
      <c r="X36" s="1537"/>
      <c r="Y36" s="3363"/>
      <c r="Z36" s="1538">
        <f t="shared" si="15"/>
        <v>111</v>
      </c>
      <c r="AA36" s="1535">
        <f t="shared" si="3"/>
        <v>1</v>
      </c>
      <c r="AB36" s="1535">
        <f t="shared" si="4"/>
        <v>1</v>
      </c>
      <c r="AC36" s="1535">
        <f t="shared" si="5"/>
        <v>1</v>
      </c>
    </row>
    <row r="37" spans="1:29" ht="15">
      <c r="A37" s="438" t="s">
        <v>2541</v>
      </c>
      <c r="B37" s="2157" t="s">
        <v>2542</v>
      </c>
      <c r="C37" s="1314" t="s">
        <v>1</v>
      </c>
      <c r="D37" s="1315"/>
      <c r="E37" s="1316"/>
      <c r="F37" s="1317"/>
      <c r="G37" s="1318"/>
      <c r="H37" s="1319"/>
      <c r="I37" s="1316"/>
      <c r="J37" s="1319"/>
      <c r="K37" s="576"/>
      <c r="L37" s="2951"/>
      <c r="M37" s="2952"/>
      <c r="N37" s="2943"/>
      <c r="O37" s="2952"/>
      <c r="P37" s="3365" t="str">
        <f>A37</f>
        <v>成交单价</v>
      </c>
      <c r="Q37" s="3365"/>
      <c r="R37" s="3366">
        <f>E37</f>
        <v>0</v>
      </c>
      <c r="S37" s="3366"/>
      <c r="T37" s="3366">
        <f>G37</f>
        <v>0</v>
      </c>
      <c r="U37" s="3366"/>
      <c r="V37" s="3366">
        <f>I37</f>
        <v>0</v>
      </c>
      <c r="W37" s="3366"/>
      <c r="X37" s="698"/>
      <c r="Y37" s="720"/>
      <c r="Z37" s="698"/>
      <c r="AA37" s="698"/>
      <c r="AB37" s="698"/>
      <c r="AC37" s="698"/>
    </row>
    <row r="38" spans="1:29" ht="15.75" thickBot="1">
      <c r="A38" s="445" t="s">
        <v>2543</v>
      </c>
      <c r="B38" s="446" t="str">
        <f>B37</f>
        <v>元/车位</v>
      </c>
      <c r="C38" s="1320" t="e">
        <f>R39</f>
        <v>#DIV/0!</v>
      </c>
      <c r="D38" s="2536" t="s">
        <v>2879</v>
      </c>
      <c r="E38" s="1321" t="e">
        <f>R38</f>
        <v>#DIV/0!</v>
      </c>
      <c r="F38" s="2537"/>
      <c r="G38" s="1320" t="e">
        <f>T38</f>
        <v>#DIV/0!</v>
      </c>
      <c r="H38" s="2537"/>
      <c r="I38" s="1321" t="e">
        <f>V38</f>
        <v>#DIV/0!</v>
      </c>
      <c r="J38" s="2537"/>
      <c r="K38" s="2539">
        <f>F38+H38+J38</f>
        <v>0</v>
      </c>
      <c r="L38" s="2951"/>
      <c r="M38" s="2952"/>
      <c r="N38" s="2952"/>
      <c r="O38" s="2952"/>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698"/>
      <c r="Y38" s="698"/>
      <c r="Z38" s="698"/>
      <c r="AA38" s="698"/>
      <c r="AB38" s="698"/>
      <c r="AC38" s="698"/>
    </row>
    <row r="39" spans="1:29" ht="15.75" thickBot="1">
      <c r="A39" s="449" t="s">
        <v>2544</v>
      </c>
      <c r="B39" s="450"/>
      <c r="C39" s="1323" t="e">
        <f>R39</f>
        <v>#DIV/0!</v>
      </c>
      <c r="D39" s="1323"/>
      <c r="E39" s="1323"/>
      <c r="F39" s="1323"/>
      <c r="G39" s="1323"/>
      <c r="H39" s="1323"/>
      <c r="I39" s="1323"/>
      <c r="J39" s="1323"/>
      <c r="K39" s="577"/>
      <c r="L39" s="2951"/>
      <c r="M39" s="2952"/>
      <c r="N39" s="2952"/>
      <c r="O39" s="2952"/>
      <c r="P39" s="3401" t="str">
        <f>A39</f>
        <v>估价对象XX用房的比较价值（楼面单价，元/平方米）</v>
      </c>
      <c r="Q39" s="3402"/>
      <c r="R39" s="3405" t="e">
        <f>IF(F1="售价",ROUND(IF(D38="简单平均",AVERAGE(R38:W38),R38*F38+T38*H38+V38*J38),0),ROUND(IF(D38="简单平均",AVERAGE(R38:V38),R38*F38+T38*H38+V38*J38),1))</f>
        <v>#DIV/0!</v>
      </c>
      <c r="S39" s="3405"/>
      <c r="T39" s="3405"/>
      <c r="U39" s="3405"/>
      <c r="V39" s="3405"/>
      <c r="W39" s="3405"/>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3" customFormat="1" ht="15">
      <c r="A49" s="466"/>
      <c r="B49" s="467"/>
      <c r="C49" s="1337">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89"/>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40" t="s">
        <v>2467</v>
      </c>
      <c r="D4" s="3341"/>
      <c r="E4" s="3342" t="s">
        <v>2468</v>
      </c>
      <c r="F4" s="3343"/>
      <c r="G4" s="3340" t="s">
        <v>2469</v>
      </c>
      <c r="H4" s="3341"/>
      <c r="I4" s="3340" t="s">
        <v>2470</v>
      </c>
      <c r="J4" s="3341"/>
      <c r="K4" s="567" t="s">
        <v>2471</v>
      </c>
      <c r="L4" s="2942"/>
      <c r="M4" s="2943"/>
      <c r="N4" s="2943"/>
      <c r="O4" s="2943"/>
      <c r="P4" s="3397" t="s">
        <v>2472</v>
      </c>
      <c r="Q4" s="3398"/>
      <c r="R4" s="3394" t="s">
        <v>2468</v>
      </c>
      <c r="S4" s="3395"/>
      <c r="T4" s="3394" t="s">
        <v>2469</v>
      </c>
      <c r="U4" s="3395"/>
      <c r="V4" s="3353" t="s">
        <v>2470</v>
      </c>
      <c r="W4" s="3353"/>
      <c r="X4" s="1537"/>
      <c r="Y4" s="3394" t="s">
        <v>2472</v>
      </c>
      <c r="Z4" s="3395"/>
      <c r="AA4" s="3393" t="s">
        <v>2468</v>
      </c>
      <c r="AB4" s="3319" t="s">
        <v>2469</v>
      </c>
      <c r="AC4" s="3393" t="s">
        <v>2470</v>
      </c>
    </row>
    <row r="5" spans="1:29" ht="15">
      <c r="A5" s="364"/>
      <c r="B5" s="365"/>
      <c r="C5" s="3329" t="s">
        <v>2363</v>
      </c>
      <c r="D5" s="3330"/>
      <c r="E5" s="3396" t="s">
        <v>2364</v>
      </c>
      <c r="F5" s="3328"/>
      <c r="G5" s="3329" t="s">
        <v>2365</v>
      </c>
      <c r="H5" s="3330"/>
      <c r="I5" s="3329" t="s">
        <v>2366</v>
      </c>
      <c r="J5" s="3330"/>
      <c r="K5" s="567"/>
      <c r="L5" s="2942"/>
      <c r="M5" s="2943"/>
      <c r="N5" s="2943"/>
      <c r="O5" s="2943"/>
      <c r="P5" s="3399"/>
      <c r="Q5" s="3347"/>
      <c r="R5" s="3325"/>
      <c r="S5" s="3326"/>
      <c r="T5" s="3325"/>
      <c r="U5" s="3326"/>
      <c r="V5" s="3353"/>
      <c r="W5" s="3353"/>
      <c r="X5" s="1537"/>
      <c r="Y5" s="3325"/>
      <c r="Z5" s="3326"/>
      <c r="AA5" s="3319"/>
      <c r="AB5" s="3319"/>
      <c r="AC5" s="3319"/>
    </row>
    <row r="6" spans="1:29" ht="15.75" thickBot="1">
      <c r="A6" s="366"/>
      <c r="B6" s="367"/>
      <c r="C6" s="3331" t="s">
        <v>2367</v>
      </c>
      <c r="D6" s="3332"/>
      <c r="E6" s="3334" t="s">
        <v>2367</v>
      </c>
      <c r="F6" s="3335"/>
      <c r="G6" s="3331" t="s">
        <v>2367</v>
      </c>
      <c r="H6" s="3332"/>
      <c r="I6" s="3331" t="s">
        <v>2367</v>
      </c>
      <c r="J6" s="3332"/>
      <c r="K6" s="567" t="s">
        <v>2368</v>
      </c>
      <c r="L6" s="2942"/>
      <c r="M6" s="2943"/>
      <c r="N6" s="2943"/>
      <c r="O6" s="2943"/>
      <c r="P6" s="3400"/>
      <c r="Q6" s="3349"/>
      <c r="R6" s="3325"/>
      <c r="S6" s="3326"/>
      <c r="T6" s="3350"/>
      <c r="U6" s="3351"/>
      <c r="V6" s="3353"/>
      <c r="W6" s="3353"/>
      <c r="X6" s="1537"/>
      <c r="Y6" s="3350"/>
      <c r="Z6" s="3351"/>
      <c r="AA6" s="3320"/>
      <c r="AB6" s="3320"/>
      <c r="AC6" s="3320"/>
    </row>
    <row r="7" spans="1:29" s="113" customFormat="1" ht="15.75" thickBot="1">
      <c r="A7" s="368" t="s">
        <v>2369</v>
      </c>
      <c r="B7" s="369"/>
      <c r="C7" s="370">
        <f>'数据-取费表'!B2</f>
        <v>44411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21" t="s">
        <v>2370</v>
      </c>
      <c r="Q7" s="3355"/>
      <c r="R7" s="709" t="s">
        <v>17</v>
      </c>
      <c r="S7" s="710">
        <f t="shared" ref="S7:S14" si="0">F7</f>
        <v>0</v>
      </c>
      <c r="T7" s="709" t="s">
        <v>17</v>
      </c>
      <c r="U7" s="710">
        <f t="shared" ref="U7:U14" si="1">H7</f>
        <v>0</v>
      </c>
      <c r="V7" s="709" t="s">
        <v>17</v>
      </c>
      <c r="W7" s="710">
        <f t="shared" ref="W7:W14" si="2">J7</f>
        <v>0</v>
      </c>
      <c r="X7" s="711"/>
      <c r="Y7" s="3321" t="s">
        <v>2370</v>
      </c>
      <c r="Z7" s="3322"/>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65" t="s">
        <v>2376</v>
      </c>
      <c r="Q9" s="1525" t="str">
        <f t="shared" ref="Q9:Q14" si="6">B9</f>
        <v>用途</v>
      </c>
      <c r="R9" s="709" t="s">
        <v>17</v>
      </c>
      <c r="S9" s="710">
        <f t="shared" si="0"/>
        <v>100</v>
      </c>
      <c r="T9" s="709" t="s">
        <v>17</v>
      </c>
      <c r="U9" s="710">
        <f t="shared" si="1"/>
        <v>100</v>
      </c>
      <c r="V9" s="709" t="s">
        <v>17</v>
      </c>
      <c r="W9" s="710">
        <f t="shared" si="2"/>
        <v>100</v>
      </c>
      <c r="X9" s="711"/>
      <c r="Y9" s="3260"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65"/>
      <c r="Q10" s="1525" t="str">
        <f t="shared" si="6"/>
        <v>土地使用年限（年）</v>
      </c>
      <c r="R10" s="709" t="s">
        <v>17</v>
      </c>
      <c r="S10" s="710">
        <f t="shared" si="0"/>
        <v>100</v>
      </c>
      <c r="T10" s="709" t="s">
        <v>17</v>
      </c>
      <c r="U10" s="710">
        <f t="shared" si="1"/>
        <v>100</v>
      </c>
      <c r="V10" s="709" t="s">
        <v>17</v>
      </c>
      <c r="W10" s="710">
        <f t="shared" si="2"/>
        <v>100</v>
      </c>
      <c r="X10" s="711"/>
      <c r="Y10" s="3260"/>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65"/>
      <c r="Q11" s="1525">
        <f t="shared" si="6"/>
        <v>111</v>
      </c>
      <c r="R11" s="709" t="s">
        <v>17</v>
      </c>
      <c r="S11" s="710">
        <f t="shared" si="0"/>
        <v>100</v>
      </c>
      <c r="T11" s="709" t="s">
        <v>17</v>
      </c>
      <c r="U11" s="710">
        <f t="shared" si="1"/>
        <v>100</v>
      </c>
      <c r="V11" s="709" t="s">
        <v>17</v>
      </c>
      <c r="W11" s="710">
        <f t="shared" si="2"/>
        <v>100</v>
      </c>
      <c r="X11" s="711"/>
      <c r="Y11" s="3260"/>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65"/>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65"/>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58" t="s">
        <v>2381</v>
      </c>
      <c r="Q14" s="1534" t="str">
        <f t="shared" si="6"/>
        <v>交通便捷度</v>
      </c>
      <c r="R14" s="713" t="s">
        <v>17</v>
      </c>
      <c r="S14" s="714">
        <f t="shared" si="0"/>
        <v>100</v>
      </c>
      <c r="T14" s="713" t="s">
        <v>17</v>
      </c>
      <c r="U14" s="714">
        <f t="shared" si="1"/>
        <v>100</v>
      </c>
      <c r="V14" s="713" t="s">
        <v>17</v>
      </c>
      <c r="W14" s="714">
        <f t="shared" si="2"/>
        <v>100</v>
      </c>
      <c r="X14" s="1537"/>
      <c r="Y14" s="3358"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59"/>
      <c r="Q15" s="1534"/>
      <c r="R15" s="713"/>
      <c r="S15" s="714"/>
      <c r="T15" s="713"/>
      <c r="U15" s="714"/>
      <c r="V15" s="713"/>
      <c r="W15" s="714"/>
      <c r="X15" s="1537"/>
      <c r="Y15" s="3359"/>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59"/>
      <c r="Q16" s="1534" t="str">
        <f>B16</f>
        <v>公共配套设施</v>
      </c>
      <c r="R16" s="713" t="s">
        <v>17</v>
      </c>
      <c r="S16" s="714">
        <f>F16</f>
        <v>100</v>
      </c>
      <c r="T16" s="713" t="s">
        <v>17</v>
      </c>
      <c r="U16" s="714">
        <f>H16</f>
        <v>100</v>
      </c>
      <c r="V16" s="713" t="s">
        <v>17</v>
      </c>
      <c r="W16" s="714">
        <f>J16</f>
        <v>100</v>
      </c>
      <c r="X16" s="1537"/>
      <c r="Y16" s="3359"/>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59"/>
      <c r="Q17" s="1534"/>
      <c r="R17" s="713"/>
      <c r="S17" s="714"/>
      <c r="T17" s="713"/>
      <c r="U17" s="714"/>
      <c r="V17" s="713"/>
      <c r="W17" s="714"/>
      <c r="X17" s="1537"/>
      <c r="Y17" s="3359"/>
      <c r="Z17" s="1538"/>
      <c r="AA17" s="1535">
        <v>1</v>
      </c>
      <c r="AB17" s="1535">
        <v>1</v>
      </c>
      <c r="AC17" s="1535">
        <v>1</v>
      </c>
    </row>
    <row r="18" spans="1:29" ht="28.5">
      <c r="A18" s="387"/>
      <c r="B18" s="1291"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59"/>
      <c r="Q18" s="1534" t="str">
        <f>B18</f>
        <v>基础设施水平</v>
      </c>
      <c r="R18" s="713" t="s">
        <v>17</v>
      </c>
      <c r="S18" s="714">
        <f>F18</f>
        <v>100</v>
      </c>
      <c r="T18" s="713" t="s">
        <v>17</v>
      </c>
      <c r="U18" s="714">
        <f>H18</f>
        <v>100</v>
      </c>
      <c r="V18" s="713" t="s">
        <v>17</v>
      </c>
      <c r="W18" s="714">
        <f>J18</f>
        <v>100</v>
      </c>
      <c r="X18" s="1537"/>
      <c r="Y18" s="3359"/>
      <c r="Z18" s="1538" t="str">
        <f>Q18</f>
        <v>基础设施水平</v>
      </c>
      <c r="AA18" s="1535">
        <f t="shared" ref="AA18" si="8">D18/F18</f>
        <v>1</v>
      </c>
      <c r="AB18" s="1535">
        <f t="shared" ref="AB18" si="9">D18/H18</f>
        <v>1</v>
      </c>
      <c r="AC18" s="1535">
        <f t="shared" ref="AC18" si="10">D18/J18</f>
        <v>1</v>
      </c>
    </row>
    <row r="19" spans="1:29" ht="15">
      <c r="A19" s="387"/>
      <c r="B19" s="1291"/>
      <c r="C19" s="2085"/>
      <c r="D19" s="409"/>
      <c r="E19" s="2085"/>
      <c r="F19" s="412"/>
      <c r="G19" s="2085"/>
      <c r="H19" s="407"/>
      <c r="I19" s="406"/>
      <c r="J19" s="407"/>
      <c r="K19" s="1290"/>
      <c r="L19" s="2949"/>
      <c r="M19" s="2943"/>
      <c r="N19" s="2943"/>
      <c r="O19" s="3001"/>
      <c r="P19" s="3359"/>
      <c r="Q19" s="1534"/>
      <c r="R19" s="713"/>
      <c r="S19" s="714"/>
      <c r="T19" s="713"/>
      <c r="U19" s="714"/>
      <c r="V19" s="713"/>
      <c r="W19" s="714"/>
      <c r="X19" s="1537"/>
      <c r="Y19" s="3359"/>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59"/>
      <c r="Q20" s="1534" t="str">
        <f>B20</f>
        <v>自然及人文环境</v>
      </c>
      <c r="R20" s="713" t="s">
        <v>17</v>
      </c>
      <c r="S20" s="714">
        <f>F20</f>
        <v>100</v>
      </c>
      <c r="T20" s="713" t="s">
        <v>17</v>
      </c>
      <c r="U20" s="714">
        <f>H20</f>
        <v>100</v>
      </c>
      <c r="V20" s="713" t="s">
        <v>17</v>
      </c>
      <c r="W20" s="714">
        <f>J20</f>
        <v>100</v>
      </c>
      <c r="X20" s="1537"/>
      <c r="Y20" s="3359"/>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59"/>
      <c r="Q21" s="1534"/>
      <c r="R21" s="713"/>
      <c r="S21" s="714"/>
      <c r="T21" s="713"/>
      <c r="U21" s="714"/>
      <c r="V21" s="713"/>
      <c r="W21" s="714"/>
      <c r="X21" s="1537"/>
      <c r="Y21" s="3359"/>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59"/>
      <c r="Q22" s="1534" t="str">
        <f>B22</f>
        <v>楼层</v>
      </c>
      <c r="R22" s="713" t="s">
        <v>17</v>
      </c>
      <c r="S22" s="714">
        <f>F22</f>
        <v>100</v>
      </c>
      <c r="T22" s="713" t="s">
        <v>17</v>
      </c>
      <c r="U22" s="714">
        <f>H22</f>
        <v>100</v>
      </c>
      <c r="V22" s="713" t="s">
        <v>17</v>
      </c>
      <c r="W22" s="714">
        <f>J22</f>
        <v>100</v>
      </c>
      <c r="X22" s="1537"/>
      <c r="Y22" s="3359"/>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59"/>
      <c r="Q23" s="1534">
        <f>B23</f>
        <v>111</v>
      </c>
      <c r="R23" s="713" t="s">
        <v>17</v>
      </c>
      <c r="S23" s="714">
        <f>F23</f>
        <v>100</v>
      </c>
      <c r="T23" s="713" t="s">
        <v>17</v>
      </c>
      <c r="U23" s="714">
        <f>H23</f>
        <v>100</v>
      </c>
      <c r="V23" s="713" t="s">
        <v>17</v>
      </c>
      <c r="W23" s="714">
        <f>J23</f>
        <v>100</v>
      </c>
      <c r="X23" s="1537"/>
      <c r="Y23" s="3359"/>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59"/>
      <c r="Q24" s="1534">
        <f t="shared" ref="Q24:Q34" si="11">B24</f>
        <v>111</v>
      </c>
      <c r="R24" s="713" t="s">
        <v>17</v>
      </c>
      <c r="S24" s="714">
        <f>F24</f>
        <v>100</v>
      </c>
      <c r="T24" s="713" t="s">
        <v>17</v>
      </c>
      <c r="U24" s="714">
        <f>H24</f>
        <v>100</v>
      </c>
      <c r="V24" s="713" t="s">
        <v>17</v>
      </c>
      <c r="W24" s="714">
        <f>J24</f>
        <v>100</v>
      </c>
      <c r="X24" s="1537"/>
      <c r="Y24" s="3359"/>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59"/>
      <c r="Q25" s="1525">
        <f t="shared" si="11"/>
        <v>111</v>
      </c>
      <c r="R25" s="709" t="s">
        <v>17</v>
      </c>
      <c r="S25" s="710">
        <f>F25</f>
        <v>100</v>
      </c>
      <c r="T25" s="709" t="s">
        <v>17</v>
      </c>
      <c r="U25" s="710">
        <f>H25</f>
        <v>100</v>
      </c>
      <c r="V25" s="709" t="s">
        <v>17</v>
      </c>
      <c r="W25" s="710">
        <f>J25</f>
        <v>100</v>
      </c>
      <c r="X25" s="711"/>
      <c r="Y25" s="3359"/>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4"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63"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63"/>
      <c r="Q27" s="715" t="str">
        <f t="shared" si="11"/>
        <v>成新率</v>
      </c>
      <c r="R27" s="716" t="s">
        <v>17</v>
      </c>
      <c r="S27" s="717" t="e">
        <f t="shared" si="12"/>
        <v>#N/A</v>
      </c>
      <c r="T27" s="716" t="s">
        <v>17</v>
      </c>
      <c r="U27" s="717" t="e">
        <f t="shared" si="13"/>
        <v>#N/A</v>
      </c>
      <c r="V27" s="716" t="s">
        <v>17</v>
      </c>
      <c r="W27" s="717" t="e">
        <f t="shared" si="14"/>
        <v>#N/A</v>
      </c>
      <c r="X27" s="718"/>
      <c r="Y27" s="3363"/>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63"/>
      <c r="Q28" s="1534" t="str">
        <f t="shared" si="11"/>
        <v>物业等级</v>
      </c>
      <c r="R28" s="713" t="s">
        <v>17</v>
      </c>
      <c r="S28" s="714">
        <f t="shared" si="12"/>
        <v>100</v>
      </c>
      <c r="T28" s="713" t="s">
        <v>17</v>
      </c>
      <c r="U28" s="714">
        <f t="shared" si="13"/>
        <v>100</v>
      </c>
      <c r="V28" s="713" t="s">
        <v>17</v>
      </c>
      <c r="W28" s="714">
        <f t="shared" si="14"/>
        <v>100</v>
      </c>
      <c r="X28" s="1537"/>
      <c r="Y28" s="3363"/>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63"/>
      <c r="Q29" s="1534" t="str">
        <f t="shared" si="11"/>
        <v>有无电梯</v>
      </c>
      <c r="R29" s="713" t="s">
        <v>17</v>
      </c>
      <c r="S29" s="714">
        <f t="shared" si="12"/>
        <v>100</v>
      </c>
      <c r="T29" s="713" t="s">
        <v>17</v>
      </c>
      <c r="U29" s="714">
        <f t="shared" si="13"/>
        <v>100</v>
      </c>
      <c r="V29" s="713" t="s">
        <v>17</v>
      </c>
      <c r="W29" s="714">
        <f t="shared" si="14"/>
        <v>100</v>
      </c>
      <c r="X29" s="1537"/>
      <c r="Y29" s="3363"/>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63"/>
      <c r="Q30" s="1534" t="str">
        <f t="shared" si="11"/>
        <v>建筑面积</v>
      </c>
      <c r="R30" s="713" t="s">
        <v>17</v>
      </c>
      <c r="S30" s="714" t="e">
        <f t="shared" si="12"/>
        <v>#N/A</v>
      </c>
      <c r="T30" s="713" t="s">
        <v>17</v>
      </c>
      <c r="U30" s="714" t="e">
        <f t="shared" si="13"/>
        <v>#N/A</v>
      </c>
      <c r="V30" s="713" t="s">
        <v>17</v>
      </c>
      <c r="W30" s="714" t="e">
        <f t="shared" si="14"/>
        <v>#N/A</v>
      </c>
      <c r="X30" s="1537"/>
      <c r="Y30" s="3363"/>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63"/>
      <c r="Q31" s="1525" t="str">
        <f t="shared" si="11"/>
        <v>是否封闭</v>
      </c>
      <c r="R31" s="709" t="s">
        <v>17</v>
      </c>
      <c r="S31" s="710">
        <f t="shared" si="12"/>
        <v>100</v>
      </c>
      <c r="T31" s="709" t="s">
        <v>17</v>
      </c>
      <c r="U31" s="710">
        <f t="shared" si="13"/>
        <v>100</v>
      </c>
      <c r="V31" s="709" t="s">
        <v>17</v>
      </c>
      <c r="W31" s="710">
        <f t="shared" si="14"/>
        <v>100</v>
      </c>
      <c r="X31" s="711"/>
      <c r="Y31" s="3363"/>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63" t="s">
        <v>2386</v>
      </c>
      <c r="Q32" s="1534">
        <f t="shared" si="11"/>
        <v>111</v>
      </c>
      <c r="R32" s="713" t="s">
        <v>17</v>
      </c>
      <c r="S32" s="714">
        <f t="shared" si="12"/>
        <v>100</v>
      </c>
      <c r="T32" s="713" t="s">
        <v>17</v>
      </c>
      <c r="U32" s="714">
        <f t="shared" si="13"/>
        <v>100</v>
      </c>
      <c r="V32" s="713" t="s">
        <v>17</v>
      </c>
      <c r="W32" s="714">
        <f t="shared" si="14"/>
        <v>100</v>
      </c>
      <c r="X32" s="1537"/>
      <c r="Y32" s="3363"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63"/>
      <c r="Q33" s="1534">
        <f t="shared" si="11"/>
        <v>111</v>
      </c>
      <c r="R33" s="713" t="s">
        <v>17</v>
      </c>
      <c r="S33" s="714">
        <f t="shared" si="12"/>
        <v>100</v>
      </c>
      <c r="T33" s="713" t="s">
        <v>17</v>
      </c>
      <c r="U33" s="714">
        <f t="shared" si="13"/>
        <v>100</v>
      </c>
      <c r="V33" s="713" t="s">
        <v>17</v>
      </c>
      <c r="W33" s="714">
        <f t="shared" si="14"/>
        <v>100</v>
      </c>
      <c r="X33" s="1537"/>
      <c r="Y33" s="3363"/>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63"/>
      <c r="Q34" s="1534">
        <f t="shared" si="11"/>
        <v>111</v>
      </c>
      <c r="R34" s="713" t="s">
        <v>17</v>
      </c>
      <c r="S34" s="714">
        <f t="shared" si="12"/>
        <v>100</v>
      </c>
      <c r="T34" s="713" t="s">
        <v>17</v>
      </c>
      <c r="U34" s="714">
        <f t="shared" si="13"/>
        <v>100</v>
      </c>
      <c r="V34" s="713" t="s">
        <v>17</v>
      </c>
      <c r="W34" s="714">
        <f t="shared" si="14"/>
        <v>100</v>
      </c>
      <c r="X34" s="1537"/>
      <c r="Y34" s="3363"/>
      <c r="Z34" s="1538">
        <f t="shared" si="15"/>
        <v>111</v>
      </c>
      <c r="AA34" s="1535">
        <f t="shared" si="3"/>
        <v>1</v>
      </c>
      <c r="AB34" s="1535">
        <f t="shared" si="4"/>
        <v>1</v>
      </c>
      <c r="AC34" s="1535">
        <f t="shared" si="5"/>
        <v>1</v>
      </c>
    </row>
    <row r="35" spans="1:30" ht="15">
      <c r="A35" s="438" t="s">
        <v>2398</v>
      </c>
      <c r="B35" s="439"/>
      <c r="C35" s="1314" t="s">
        <v>1</v>
      </c>
      <c r="D35" s="1315"/>
      <c r="E35" s="1316"/>
      <c r="F35" s="1317"/>
      <c r="G35" s="1318"/>
      <c r="H35" s="1319"/>
      <c r="I35" s="1316"/>
      <c r="J35" s="1319"/>
      <c r="K35" s="722"/>
      <c r="L35" s="2951"/>
      <c r="M35" s="2952"/>
      <c r="N35" s="2943"/>
      <c r="O35" s="2952"/>
      <c r="P35" s="3365" t="str">
        <f>A35</f>
        <v>成交单价（元/平方米）</v>
      </c>
      <c r="Q35" s="3365"/>
      <c r="R35" s="3366">
        <f>E35</f>
        <v>0</v>
      </c>
      <c r="S35" s="3366"/>
      <c r="T35" s="3366">
        <f>G35</f>
        <v>0</v>
      </c>
      <c r="U35" s="3366"/>
      <c r="V35" s="3366">
        <f>I35</f>
        <v>0</v>
      </c>
      <c r="W35" s="3366"/>
      <c r="X35" s="698"/>
      <c r="Y35" s="720"/>
      <c r="Z35" s="698"/>
      <c r="AA35" s="698"/>
      <c r="AB35" s="698"/>
      <c r="AC35" s="698"/>
    </row>
    <row r="36" spans="1:30" ht="15.75" thickBot="1">
      <c r="A36" s="445" t="s">
        <v>2490</v>
      </c>
      <c r="B36" s="446"/>
      <c r="C36" s="1320" t="e">
        <f>R37</f>
        <v>#DIV/0!</v>
      </c>
      <c r="D36" s="2536" t="s">
        <v>2879</v>
      </c>
      <c r="E36" s="1321" t="e">
        <f>R36</f>
        <v>#DIV/0!</v>
      </c>
      <c r="F36" s="2537"/>
      <c r="G36" s="1320" t="e">
        <f>T36</f>
        <v>#DIV/0!</v>
      </c>
      <c r="H36" s="2537"/>
      <c r="I36" s="1321" t="e">
        <f>V36</f>
        <v>#DIV/0!</v>
      </c>
      <c r="J36" s="2537"/>
      <c r="K36" s="2539">
        <f>F36+H36+J36</f>
        <v>0</v>
      </c>
      <c r="L36" s="2951"/>
      <c r="M36" s="2952"/>
      <c r="N36" s="2943"/>
      <c r="O36" s="2952"/>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698"/>
      <c r="Y36" s="698"/>
      <c r="Z36" s="698"/>
      <c r="AA36" s="698"/>
      <c r="AB36" s="698"/>
      <c r="AC36" s="698"/>
    </row>
    <row r="37" spans="1:30" ht="15.75" thickBot="1">
      <c r="A37" s="449" t="s">
        <v>2491</v>
      </c>
      <c r="B37" s="450"/>
      <c r="C37" s="1323" t="e">
        <f>R37</f>
        <v>#DIV/0!</v>
      </c>
      <c r="D37" s="1323"/>
      <c r="E37" s="1323"/>
      <c r="F37" s="1323"/>
      <c r="G37" s="1323"/>
      <c r="H37" s="1323"/>
      <c r="I37" s="1323"/>
      <c r="J37" s="1323"/>
      <c r="K37" s="723"/>
      <c r="L37" s="2951"/>
      <c r="M37" s="2952"/>
      <c r="N37" s="2952"/>
      <c r="O37" s="2952"/>
      <c r="P37" s="3401" t="str">
        <f>A37</f>
        <v>估价对象XX用房的比较价值（楼面单价，元/平方米）</v>
      </c>
      <c r="Q37" s="3402"/>
      <c r="R37" s="3405" t="e">
        <f>IF(F1="售价",ROUND(IF(D36="简单平均",AVERAGE(R36:W36),R36*F36+T36*H36+V36*J36),0),ROUND(IF(D36="简单平均",AVERAGE(R36:V36),R36*F36+T36*H36+V36*J36),1))</f>
        <v>#DIV/0!</v>
      </c>
      <c r="S37" s="3405"/>
      <c r="T37" s="3405"/>
      <c r="U37" s="3405"/>
      <c r="V37" s="3405"/>
      <c r="W37" s="3405"/>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3">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40" t="s">
        <v>2467</v>
      </c>
      <c r="D4" s="3341"/>
      <c r="E4" s="3342" t="s">
        <v>2468</v>
      </c>
      <c r="F4" s="3343"/>
      <c r="G4" s="3340" t="s">
        <v>2469</v>
      </c>
      <c r="H4" s="3341"/>
      <c r="I4" s="3340" t="s">
        <v>2470</v>
      </c>
      <c r="J4" s="3341"/>
      <c r="K4" s="567" t="s">
        <v>2471</v>
      </c>
      <c r="L4" s="2942"/>
      <c r="M4" s="2943"/>
      <c r="N4" s="2943"/>
      <c r="O4" s="2943"/>
      <c r="P4" s="3397" t="s">
        <v>2472</v>
      </c>
      <c r="Q4" s="3398"/>
      <c r="R4" s="3394" t="s">
        <v>2468</v>
      </c>
      <c r="S4" s="3395"/>
      <c r="T4" s="3394" t="s">
        <v>2469</v>
      </c>
      <c r="U4" s="3395"/>
      <c r="V4" s="3353" t="s">
        <v>2470</v>
      </c>
      <c r="W4" s="3353"/>
      <c r="X4" s="1537"/>
      <c r="Y4" s="3394" t="s">
        <v>2472</v>
      </c>
      <c r="Z4" s="3395"/>
      <c r="AA4" s="3393" t="s">
        <v>2468</v>
      </c>
      <c r="AB4" s="3319" t="s">
        <v>2469</v>
      </c>
      <c r="AC4" s="3393" t="s">
        <v>2470</v>
      </c>
    </row>
    <row r="5" spans="1:30" ht="15">
      <c r="A5" s="364"/>
      <c r="B5" s="365"/>
      <c r="C5" s="3329" t="s">
        <v>2363</v>
      </c>
      <c r="D5" s="3330"/>
      <c r="E5" s="3396" t="s">
        <v>2364</v>
      </c>
      <c r="F5" s="3328"/>
      <c r="G5" s="3329" t="s">
        <v>2365</v>
      </c>
      <c r="H5" s="3330"/>
      <c r="I5" s="3329" t="s">
        <v>2366</v>
      </c>
      <c r="J5" s="3330"/>
      <c r="K5" s="567"/>
      <c r="L5" s="2942"/>
      <c r="M5" s="2943"/>
      <c r="N5" s="2943"/>
      <c r="O5" s="2943"/>
      <c r="P5" s="3399"/>
      <c r="Q5" s="3347"/>
      <c r="R5" s="3325"/>
      <c r="S5" s="3326"/>
      <c r="T5" s="3325"/>
      <c r="U5" s="3326"/>
      <c r="V5" s="3353"/>
      <c r="W5" s="3353"/>
      <c r="X5" s="1537"/>
      <c r="Y5" s="3325"/>
      <c r="Z5" s="3326"/>
      <c r="AA5" s="3319"/>
      <c r="AB5" s="3319"/>
      <c r="AC5" s="3319"/>
    </row>
    <row r="6" spans="1:30" ht="15.75" thickBot="1">
      <c r="A6" s="366"/>
      <c r="B6" s="367"/>
      <c r="C6" s="3331" t="s">
        <v>2367</v>
      </c>
      <c r="D6" s="3332"/>
      <c r="E6" s="3334" t="s">
        <v>2367</v>
      </c>
      <c r="F6" s="3335"/>
      <c r="G6" s="3331" t="s">
        <v>2367</v>
      </c>
      <c r="H6" s="3332"/>
      <c r="I6" s="3331" t="s">
        <v>2367</v>
      </c>
      <c r="J6" s="3332"/>
      <c r="K6" s="567" t="s">
        <v>2368</v>
      </c>
      <c r="L6" s="2942"/>
      <c r="M6" s="2943"/>
      <c r="N6" s="2943"/>
      <c r="O6" s="2943"/>
      <c r="P6" s="3400"/>
      <c r="Q6" s="3349"/>
      <c r="R6" s="3325"/>
      <c r="S6" s="3326"/>
      <c r="T6" s="3350"/>
      <c r="U6" s="3351"/>
      <c r="V6" s="3353"/>
      <c r="W6" s="3353"/>
      <c r="X6" s="1537"/>
      <c r="Y6" s="3350"/>
      <c r="Z6" s="3351"/>
      <c r="AA6" s="3320"/>
      <c r="AB6" s="3320"/>
      <c r="AC6" s="3320"/>
    </row>
    <row r="7" spans="1:30" s="113" customFormat="1" ht="15.75" thickBot="1">
      <c r="A7" s="368" t="s">
        <v>2369</v>
      </c>
      <c r="B7" s="369"/>
      <c r="C7" s="370">
        <f>'数据-取费表'!B2</f>
        <v>44411</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21" t="s">
        <v>2370</v>
      </c>
      <c r="Q7" s="3355"/>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65"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6"/>
      <c r="M10" s="2947"/>
      <c r="N10" s="2947"/>
      <c r="O10" s="3000"/>
      <c r="P10" s="3365"/>
      <c r="Q10" s="1525" t="str">
        <f t="shared" si="6"/>
        <v>土地使用年限（年）</v>
      </c>
      <c r="R10" s="709" t="s">
        <v>17</v>
      </c>
      <c r="S10" s="710">
        <f t="shared" si="0"/>
        <v>125</v>
      </c>
      <c r="T10" s="709" t="s">
        <v>17</v>
      </c>
      <c r="U10" s="710">
        <f t="shared" si="1"/>
        <v>125</v>
      </c>
      <c r="V10" s="709" t="s">
        <v>17</v>
      </c>
      <c r="W10" s="710">
        <f t="shared" si="2"/>
        <v>125</v>
      </c>
      <c r="X10" s="711"/>
      <c r="Y10" s="3260"/>
      <c r="Z10" s="55" t="str">
        <f t="shared" si="7"/>
        <v>土地使用年限（年）</v>
      </c>
      <c r="AA10" s="712">
        <f t="shared" si="3"/>
        <v>0.8</v>
      </c>
      <c r="AB10" s="712">
        <f t="shared" si="4"/>
        <v>0.8</v>
      </c>
      <c r="AC10" s="712">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65"/>
      <c r="Q11" s="1525"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65"/>
      <c r="Q12" s="1525" t="str">
        <f t="shared" si="6"/>
        <v>配建</v>
      </c>
      <c r="R12" s="709" t="s">
        <v>17</v>
      </c>
      <c r="S12" s="710">
        <f t="shared" si="0"/>
        <v>100</v>
      </c>
      <c r="T12" s="709" t="s">
        <v>17</v>
      </c>
      <c r="U12" s="710">
        <f t="shared" si="1"/>
        <v>100</v>
      </c>
      <c r="V12" s="709" t="s">
        <v>17</v>
      </c>
      <c r="W12" s="710">
        <f t="shared" si="2"/>
        <v>100</v>
      </c>
      <c r="X12" s="711"/>
      <c r="Y12" s="3260"/>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65"/>
      <c r="Q13" s="1525">
        <f t="shared" si="6"/>
        <v>111</v>
      </c>
      <c r="R13" s="709" t="s">
        <v>17</v>
      </c>
      <c r="S13" s="710">
        <f t="shared" si="0"/>
        <v>100</v>
      </c>
      <c r="T13" s="709" t="s">
        <v>17</v>
      </c>
      <c r="U13" s="710">
        <f t="shared" si="1"/>
        <v>100</v>
      </c>
      <c r="V13" s="709" t="s">
        <v>17</v>
      </c>
      <c r="W13" s="710">
        <f t="shared" si="2"/>
        <v>100</v>
      </c>
      <c r="X13" s="711"/>
      <c r="Y13" s="3260"/>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65"/>
      <c r="Q14" s="1525">
        <f t="shared" si="6"/>
        <v>111</v>
      </c>
      <c r="R14" s="709" t="s">
        <v>17</v>
      </c>
      <c r="S14" s="710">
        <f t="shared" si="0"/>
        <v>100</v>
      </c>
      <c r="T14" s="709" t="s">
        <v>17</v>
      </c>
      <c r="U14" s="710">
        <f t="shared" si="1"/>
        <v>100</v>
      </c>
      <c r="V14" s="709" t="s">
        <v>17</v>
      </c>
      <c r="W14" s="710">
        <f t="shared" si="2"/>
        <v>100</v>
      </c>
      <c r="X14" s="711"/>
      <c r="Y14" s="3260"/>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58" t="s">
        <v>2381</v>
      </c>
      <c r="Q15" s="1534" t="str">
        <f t="shared" si="6"/>
        <v>居住社区成熟度</v>
      </c>
      <c r="R15" s="713" t="s">
        <v>17</v>
      </c>
      <c r="S15" s="714">
        <f t="shared" si="0"/>
        <v>100</v>
      </c>
      <c r="T15" s="713" t="s">
        <v>17</v>
      </c>
      <c r="U15" s="714">
        <f t="shared" si="1"/>
        <v>100</v>
      </c>
      <c r="V15" s="713" t="s">
        <v>17</v>
      </c>
      <c r="W15" s="714">
        <f t="shared" si="2"/>
        <v>100</v>
      </c>
      <c r="X15" s="1537"/>
      <c r="Y15" s="3358"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59"/>
      <c r="Q16" s="1534"/>
      <c r="R16" s="713"/>
      <c r="S16" s="714"/>
      <c r="T16" s="713"/>
      <c r="U16" s="714"/>
      <c r="V16" s="713"/>
      <c r="W16" s="714"/>
      <c r="X16" s="1537"/>
      <c r="Y16" s="3359"/>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59"/>
      <c r="Q17" s="1534" t="str">
        <f>B17</f>
        <v>商业繁华度</v>
      </c>
      <c r="R17" s="713" t="s">
        <v>17</v>
      </c>
      <c r="S17" s="714">
        <f>F17</f>
        <v>100</v>
      </c>
      <c r="T17" s="713" t="s">
        <v>17</v>
      </c>
      <c r="U17" s="714">
        <f>H17</f>
        <v>100</v>
      </c>
      <c r="V17" s="713" t="s">
        <v>17</v>
      </c>
      <c r="W17" s="714">
        <f>J17</f>
        <v>100</v>
      </c>
      <c r="X17" s="1537"/>
      <c r="Y17" s="3359"/>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359"/>
      <c r="Q18" s="1534"/>
      <c r="R18" s="713"/>
      <c r="S18" s="714"/>
      <c r="T18" s="713"/>
      <c r="U18" s="714"/>
      <c r="V18" s="713"/>
      <c r="W18" s="714"/>
      <c r="X18" s="1537"/>
      <c r="Y18" s="3359"/>
      <c r="Z18" s="1538"/>
      <c r="AA18" s="1535">
        <v>1</v>
      </c>
      <c r="AB18" s="1535">
        <v>1</v>
      </c>
      <c r="AC18" s="1535">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59"/>
      <c r="Q19" s="1534" t="str">
        <f>B19</f>
        <v>办公集聚程度</v>
      </c>
      <c r="R19" s="713" t="s">
        <v>17</v>
      </c>
      <c r="S19" s="714">
        <f>F19</f>
        <v>100</v>
      </c>
      <c r="T19" s="713" t="s">
        <v>17</v>
      </c>
      <c r="U19" s="714">
        <f>H19</f>
        <v>100</v>
      </c>
      <c r="V19" s="713" t="s">
        <v>17</v>
      </c>
      <c r="W19" s="714">
        <f>J19</f>
        <v>100</v>
      </c>
      <c r="X19" s="1537"/>
      <c r="Y19" s="3359"/>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59"/>
      <c r="Q20" s="1534"/>
      <c r="R20" s="713"/>
      <c r="S20" s="714"/>
      <c r="T20" s="713"/>
      <c r="U20" s="714"/>
      <c r="V20" s="713"/>
      <c r="W20" s="714"/>
      <c r="X20" s="1537"/>
      <c r="Y20" s="3359"/>
      <c r="Z20" s="1538"/>
      <c r="AA20" s="1535">
        <v>1</v>
      </c>
      <c r="AB20" s="1535">
        <v>1</v>
      </c>
      <c r="AC20" s="1535">
        <v>1</v>
      </c>
    </row>
    <row r="21" spans="1:29" ht="85.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59"/>
      <c r="Q21" s="1534" t="str">
        <f>B21</f>
        <v>交通便捷度</v>
      </c>
      <c r="R21" s="713" t="s">
        <v>17</v>
      </c>
      <c r="S21" s="714">
        <f>F21</f>
        <v>100</v>
      </c>
      <c r="T21" s="713" t="s">
        <v>17</v>
      </c>
      <c r="U21" s="714">
        <f>H21</f>
        <v>100</v>
      </c>
      <c r="V21" s="713" t="s">
        <v>17</v>
      </c>
      <c r="W21" s="714">
        <f>J21</f>
        <v>100</v>
      </c>
      <c r="X21" s="1537"/>
      <c r="Y21" s="3359"/>
      <c r="Z21" s="1538" t="str">
        <f>Q21</f>
        <v>交通便捷度</v>
      </c>
      <c r="AA21" s="1535">
        <f t="shared" si="3"/>
        <v>1</v>
      </c>
      <c r="AB21" s="1535">
        <f t="shared" si="4"/>
        <v>1</v>
      </c>
      <c r="AC21" s="1535">
        <f t="shared" si="5"/>
        <v>1</v>
      </c>
    </row>
    <row r="22" spans="1:29" ht="15">
      <c r="A22" s="387"/>
      <c r="B22" s="1291"/>
      <c r="C22" s="406"/>
      <c r="D22" s="409"/>
      <c r="E22" s="2082"/>
      <c r="F22" s="407"/>
      <c r="G22" s="2082"/>
      <c r="H22" s="407"/>
      <c r="I22" s="2081"/>
      <c r="J22" s="407"/>
      <c r="K22" s="628"/>
      <c r="L22" s="2949"/>
      <c r="M22" s="2943"/>
      <c r="N22" s="2943"/>
      <c r="O22" s="3001"/>
      <c r="P22" s="3359"/>
      <c r="Q22" s="1534"/>
      <c r="R22" s="713"/>
      <c r="S22" s="714"/>
      <c r="T22" s="713"/>
      <c r="U22" s="714"/>
      <c r="V22" s="713"/>
      <c r="W22" s="714"/>
      <c r="X22" s="1537"/>
      <c r="Y22" s="3359"/>
      <c r="Z22" s="1538"/>
      <c r="AA22" s="1535">
        <v>1</v>
      </c>
      <c r="AB22" s="1535">
        <v>1</v>
      </c>
      <c r="AC22" s="1535">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59"/>
      <c r="Q23" s="1534" t="str">
        <f t="shared" ref="Q23:Q37" si="8">B23</f>
        <v>区域土地利用方向</v>
      </c>
      <c r="R23" s="713" t="s">
        <v>17</v>
      </c>
      <c r="S23" s="714">
        <f>F23</f>
        <v>100</v>
      </c>
      <c r="T23" s="713" t="s">
        <v>17</v>
      </c>
      <c r="U23" s="714">
        <f>H23</f>
        <v>100</v>
      </c>
      <c r="V23" s="713" t="s">
        <v>17</v>
      </c>
      <c r="W23" s="714">
        <f>J23</f>
        <v>100</v>
      </c>
      <c r="X23" s="1537"/>
      <c r="Y23" s="3359"/>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359"/>
      <c r="Q24" s="1534"/>
      <c r="R24" s="713"/>
      <c r="S24" s="714"/>
      <c r="T24" s="713"/>
      <c r="U24" s="714"/>
      <c r="V24" s="713"/>
      <c r="W24" s="714"/>
      <c r="X24" s="1537"/>
      <c r="Y24" s="3359"/>
      <c r="Z24" s="1538"/>
      <c r="AA24" s="1535"/>
      <c r="AB24" s="1535"/>
      <c r="AC24" s="1535"/>
    </row>
    <row r="25" spans="1:29" ht="57">
      <c r="A25" s="364"/>
      <c r="B25" s="1291"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59"/>
      <c r="Q25" s="1534" t="str">
        <f t="shared" si="8"/>
        <v>自然及人文环境状况</v>
      </c>
      <c r="R25" s="713" t="s">
        <v>17</v>
      </c>
      <c r="S25" s="714">
        <f>F25</f>
        <v>100</v>
      </c>
      <c r="T25" s="713" t="s">
        <v>17</v>
      </c>
      <c r="U25" s="714">
        <f>H25</f>
        <v>100</v>
      </c>
      <c r="V25" s="713" t="s">
        <v>17</v>
      </c>
      <c r="W25" s="714">
        <f>J25</f>
        <v>100</v>
      </c>
      <c r="X25" s="1537"/>
      <c r="Y25" s="3359"/>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359"/>
      <c r="Q26" s="1534"/>
      <c r="R26" s="713"/>
      <c r="S26" s="714"/>
      <c r="T26" s="713"/>
      <c r="U26" s="714"/>
      <c r="V26" s="713"/>
      <c r="W26" s="714"/>
      <c r="X26" s="1537"/>
      <c r="Y26" s="3359"/>
      <c r="Z26" s="1538"/>
      <c r="AA26" s="1535">
        <v>1</v>
      </c>
      <c r="AB26" s="1535">
        <v>1</v>
      </c>
      <c r="AC26" s="1535">
        <v>1</v>
      </c>
    </row>
    <row r="27" spans="1:29" s="113" customFormat="1" ht="42.75">
      <c r="A27" s="605"/>
      <c r="B27" s="1291"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59"/>
      <c r="Q27" s="1525" t="str">
        <f t="shared" si="8"/>
        <v>公共配套设施</v>
      </c>
      <c r="R27" s="709" t="s">
        <v>17</v>
      </c>
      <c r="S27" s="710">
        <f>F27</f>
        <v>100</v>
      </c>
      <c r="T27" s="709" t="s">
        <v>17</v>
      </c>
      <c r="U27" s="710">
        <f>H27</f>
        <v>100</v>
      </c>
      <c r="V27" s="709" t="s">
        <v>17</v>
      </c>
      <c r="W27" s="710">
        <f>J27</f>
        <v>100</v>
      </c>
      <c r="X27" s="711"/>
      <c r="Y27" s="3359"/>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359"/>
      <c r="Q28" s="1525"/>
      <c r="R28" s="709"/>
      <c r="S28" s="710"/>
      <c r="T28" s="709"/>
      <c r="U28" s="710"/>
      <c r="V28" s="709"/>
      <c r="W28" s="710"/>
      <c r="X28" s="711"/>
      <c r="Y28" s="3359"/>
      <c r="Z28" s="55"/>
      <c r="AA28" s="1535">
        <v>1</v>
      </c>
      <c r="AB28" s="1535">
        <v>1</v>
      </c>
      <c r="AC28" s="1535">
        <v>1</v>
      </c>
    </row>
    <row r="29" spans="1:29" s="113" customFormat="1" ht="28.5">
      <c r="A29" s="605"/>
      <c r="B29" s="1291"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59"/>
      <c r="Q29" s="1525" t="str">
        <f t="shared" ref="Q29" si="9">B29</f>
        <v>基础设施水平</v>
      </c>
      <c r="R29" s="709" t="s">
        <v>17</v>
      </c>
      <c r="S29" s="710">
        <f>F29</f>
        <v>100</v>
      </c>
      <c r="T29" s="709" t="s">
        <v>17</v>
      </c>
      <c r="U29" s="710">
        <f>H29</f>
        <v>100</v>
      </c>
      <c r="V29" s="709" t="s">
        <v>17</v>
      </c>
      <c r="W29" s="710">
        <f>J29</f>
        <v>100</v>
      </c>
      <c r="X29" s="711"/>
      <c r="Y29" s="3359"/>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359"/>
      <c r="Q30" s="1525"/>
      <c r="R30" s="709"/>
      <c r="S30" s="710"/>
      <c r="T30" s="709"/>
      <c r="U30" s="710"/>
      <c r="V30" s="709"/>
      <c r="W30" s="710"/>
      <c r="X30" s="711"/>
      <c r="Y30" s="3359"/>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59"/>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59"/>
      <c r="Z31" s="1538" t="str">
        <f t="shared" ref="Z31:Z45" si="13">Q31</f>
        <v>临街状况</v>
      </c>
      <c r="AA31" s="1535">
        <f t="shared" si="3"/>
        <v>1</v>
      </c>
      <c r="AB31" s="1535">
        <f t="shared" si="4"/>
        <v>1</v>
      </c>
      <c r="AC31" s="1535">
        <f t="shared" si="5"/>
        <v>1</v>
      </c>
    </row>
    <row r="32" spans="1:29" ht="27">
      <c r="A32" s="387"/>
      <c r="B32" s="1291"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59"/>
      <c r="Q32" s="1534" t="str">
        <f t="shared" si="8"/>
        <v>毗邻道路的类型与等级</v>
      </c>
      <c r="R32" s="713" t="s">
        <v>17</v>
      </c>
      <c r="S32" s="714">
        <f t="shared" si="10"/>
        <v>100</v>
      </c>
      <c r="T32" s="713" t="s">
        <v>17</v>
      </c>
      <c r="U32" s="714">
        <f t="shared" si="11"/>
        <v>100</v>
      </c>
      <c r="V32" s="713" t="s">
        <v>17</v>
      </c>
      <c r="W32" s="714">
        <f t="shared" si="12"/>
        <v>100</v>
      </c>
      <c r="X32" s="1537"/>
      <c r="Y32" s="3359"/>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59"/>
      <c r="Q33" s="1534"/>
      <c r="R33" s="713"/>
      <c r="S33" s="714"/>
      <c r="T33" s="713"/>
      <c r="U33" s="714"/>
      <c r="V33" s="713"/>
      <c r="W33" s="714"/>
      <c r="X33" s="1537"/>
      <c r="Y33" s="3359"/>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59"/>
      <c r="Q34" s="1534" t="str">
        <f t="shared" si="8"/>
        <v>土地级别</v>
      </c>
      <c r="R34" s="713" t="s">
        <v>17</v>
      </c>
      <c r="S34" s="714">
        <f t="shared" si="10"/>
        <v>100</v>
      </c>
      <c r="T34" s="713" t="s">
        <v>17</v>
      </c>
      <c r="U34" s="714">
        <f t="shared" si="11"/>
        <v>100</v>
      </c>
      <c r="V34" s="713" t="s">
        <v>17</v>
      </c>
      <c r="W34" s="714">
        <f t="shared" si="12"/>
        <v>100</v>
      </c>
      <c r="X34" s="1537"/>
      <c r="Y34" s="3359"/>
      <c r="Z34" s="1538" t="str">
        <f t="shared" si="13"/>
        <v>土地级别</v>
      </c>
      <c r="AA34" s="1535">
        <f t="shared" si="3"/>
        <v>1</v>
      </c>
      <c r="AB34" s="1535">
        <f t="shared" si="4"/>
        <v>1</v>
      </c>
      <c r="AC34" s="1535">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59"/>
      <c r="Q35" s="1534">
        <f t="shared" si="8"/>
        <v>111</v>
      </c>
      <c r="R35" s="713" t="s">
        <v>17</v>
      </c>
      <c r="S35" s="714">
        <f t="shared" si="10"/>
        <v>100</v>
      </c>
      <c r="T35" s="713" t="s">
        <v>17</v>
      </c>
      <c r="U35" s="714">
        <f t="shared" si="11"/>
        <v>100</v>
      </c>
      <c r="V35" s="713" t="s">
        <v>17</v>
      </c>
      <c r="W35" s="714">
        <f t="shared" si="12"/>
        <v>100</v>
      </c>
      <c r="X35" s="1537"/>
      <c r="Y35" s="3359"/>
      <c r="Z35" s="1538">
        <f t="shared" si="13"/>
        <v>111</v>
      </c>
      <c r="AA35" s="1535">
        <f t="shared" si="3"/>
        <v>1</v>
      </c>
      <c r="AB35" s="1535">
        <f t="shared" si="4"/>
        <v>1</v>
      </c>
      <c r="AC35" s="1535">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4" t="s">
        <v>2386</v>
      </c>
      <c r="Q36" s="1534">
        <f t="shared" si="8"/>
        <v>111</v>
      </c>
      <c r="R36" s="713" t="s">
        <v>17</v>
      </c>
      <c r="S36" s="714">
        <f t="shared" si="10"/>
        <v>100</v>
      </c>
      <c r="T36" s="713" t="s">
        <v>17</v>
      </c>
      <c r="U36" s="714">
        <f t="shared" si="11"/>
        <v>100</v>
      </c>
      <c r="V36" s="713" t="s">
        <v>17</v>
      </c>
      <c r="W36" s="714">
        <f t="shared" si="12"/>
        <v>100</v>
      </c>
      <c r="X36" s="1537"/>
      <c r="Y36" s="3363" t="s">
        <v>2386</v>
      </c>
      <c r="Z36" s="1538">
        <f t="shared" si="13"/>
        <v>111</v>
      </c>
      <c r="AA36" s="1535">
        <f t="shared" si="3"/>
        <v>1</v>
      </c>
      <c r="AB36" s="1535">
        <f t="shared" si="4"/>
        <v>1</v>
      </c>
      <c r="AC36" s="1535">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63"/>
      <c r="Q37" s="1534">
        <f t="shared" si="8"/>
        <v>111</v>
      </c>
      <c r="R37" s="716" t="s">
        <v>17</v>
      </c>
      <c r="S37" s="717">
        <f t="shared" si="10"/>
        <v>100</v>
      </c>
      <c r="T37" s="716" t="s">
        <v>17</v>
      </c>
      <c r="U37" s="717">
        <f t="shared" si="11"/>
        <v>100</v>
      </c>
      <c r="V37" s="716" t="s">
        <v>17</v>
      </c>
      <c r="W37" s="717">
        <f t="shared" si="12"/>
        <v>100</v>
      </c>
      <c r="X37" s="718"/>
      <c r="Y37" s="3363"/>
      <c r="Z37" s="719">
        <f t="shared" si="13"/>
        <v>111</v>
      </c>
      <c r="AA37" s="1535">
        <f t="shared" si="3"/>
        <v>1</v>
      </c>
      <c r="AB37" s="1535">
        <f t="shared" si="4"/>
        <v>1</v>
      </c>
      <c r="AC37" s="1535">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63"/>
      <c r="Q38" s="1534" t="str">
        <f>B38</f>
        <v>宗地面积</v>
      </c>
      <c r="R38" s="713" t="s">
        <v>17</v>
      </c>
      <c r="S38" s="714" t="e">
        <f t="shared" si="10"/>
        <v>#N/A</v>
      </c>
      <c r="T38" s="713" t="s">
        <v>17</v>
      </c>
      <c r="U38" s="714" t="e">
        <f t="shared" si="11"/>
        <v>#N/A</v>
      </c>
      <c r="V38" s="713" t="s">
        <v>17</v>
      </c>
      <c r="W38" s="714" t="e">
        <f t="shared" si="12"/>
        <v>#N/A</v>
      </c>
      <c r="X38" s="1537"/>
      <c r="Y38" s="3363"/>
      <c r="Z38" s="1538" t="str">
        <f t="shared" si="13"/>
        <v>宗地面积</v>
      </c>
      <c r="AA38" s="1535" t="e">
        <f t="shared" si="3"/>
        <v>#N/A</v>
      </c>
      <c r="AB38" s="1535" t="e">
        <f t="shared" si="4"/>
        <v>#N/A</v>
      </c>
      <c r="AC38" s="1535" t="e">
        <f t="shared" si="5"/>
        <v>#N/A</v>
      </c>
    </row>
    <row r="39" spans="1:29" ht="15">
      <c r="A39" s="431"/>
      <c r="B39" s="381" t="s">
        <v>2573</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63"/>
      <c r="Q39" s="1534" t="str">
        <f t="shared" ref="Q39:Q45" si="14">B39</f>
        <v>宗地形状</v>
      </c>
      <c r="R39" s="713" t="s">
        <v>17</v>
      </c>
      <c r="S39" s="714">
        <f t="shared" si="10"/>
        <v>100</v>
      </c>
      <c r="T39" s="713" t="s">
        <v>17</v>
      </c>
      <c r="U39" s="714">
        <f t="shared" si="11"/>
        <v>100</v>
      </c>
      <c r="V39" s="713" t="s">
        <v>17</v>
      </c>
      <c r="W39" s="714">
        <f t="shared" si="12"/>
        <v>100</v>
      </c>
      <c r="X39" s="1537"/>
      <c r="Y39" s="3363"/>
      <c r="Z39" s="1538" t="str">
        <f t="shared" si="13"/>
        <v>宗地形状</v>
      </c>
      <c r="AA39" s="1535">
        <f t="shared" si="3"/>
        <v>1</v>
      </c>
      <c r="AB39" s="1535">
        <f t="shared" si="4"/>
        <v>1</v>
      </c>
      <c r="AC39" s="1535">
        <f t="shared" si="5"/>
        <v>1</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63"/>
      <c r="Q40" s="1534" t="str">
        <f t="shared" si="14"/>
        <v>临街宽度及深度</v>
      </c>
      <c r="R40" s="713" t="s">
        <v>17</v>
      </c>
      <c r="S40" s="714">
        <f t="shared" si="10"/>
        <v>100</v>
      </c>
      <c r="T40" s="713" t="s">
        <v>17</v>
      </c>
      <c r="U40" s="714">
        <f t="shared" si="11"/>
        <v>100</v>
      </c>
      <c r="V40" s="713" t="s">
        <v>17</v>
      </c>
      <c r="W40" s="714">
        <f t="shared" si="12"/>
        <v>100</v>
      </c>
      <c r="X40" s="1537"/>
      <c r="Y40" s="3363"/>
      <c r="Z40" s="1538" t="str">
        <f t="shared" si="13"/>
        <v>临街宽度及深度</v>
      </c>
      <c r="AA40" s="1535">
        <f t="shared" si="3"/>
        <v>1</v>
      </c>
      <c r="AB40" s="1535">
        <f t="shared" si="4"/>
        <v>1</v>
      </c>
      <c r="AC40" s="1535">
        <f t="shared" si="5"/>
        <v>1</v>
      </c>
    </row>
    <row r="41" spans="1:29" s="113" customFormat="1" ht="15">
      <c r="A41" s="432"/>
      <c r="B41" s="381" t="s">
        <v>2575</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63"/>
      <c r="Q41" s="1534" t="str">
        <f t="shared" si="14"/>
        <v>宗地开发程度</v>
      </c>
      <c r="R41" s="709" t="s">
        <v>17</v>
      </c>
      <c r="S41" s="710">
        <f t="shared" si="10"/>
        <v>100</v>
      </c>
      <c r="T41" s="709" t="s">
        <v>17</v>
      </c>
      <c r="U41" s="710">
        <f t="shared" si="11"/>
        <v>100</v>
      </c>
      <c r="V41" s="709" t="s">
        <v>17</v>
      </c>
      <c r="W41" s="710">
        <f t="shared" si="12"/>
        <v>100</v>
      </c>
      <c r="X41" s="711"/>
      <c r="Y41" s="3363"/>
      <c r="Z41" s="55" t="str">
        <f t="shared" si="13"/>
        <v>宗地开发程度</v>
      </c>
      <c r="AA41" s="712">
        <f t="shared" si="3"/>
        <v>1</v>
      </c>
      <c r="AB41" s="712">
        <f t="shared" si="4"/>
        <v>1</v>
      </c>
      <c r="AC41" s="712">
        <f t="shared" si="5"/>
        <v>1</v>
      </c>
    </row>
    <row r="42" spans="1:29" ht="15">
      <c r="A42" s="431"/>
      <c r="B42" s="381" t="s">
        <v>2576</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63" t="s">
        <v>2386</v>
      </c>
      <c r="Q42" s="1534" t="str">
        <f t="shared" si="14"/>
        <v>工程地质条件</v>
      </c>
      <c r="R42" s="713" t="s">
        <v>17</v>
      </c>
      <c r="S42" s="714">
        <f t="shared" si="10"/>
        <v>100</v>
      </c>
      <c r="T42" s="713" t="s">
        <v>17</v>
      </c>
      <c r="U42" s="714">
        <f t="shared" si="11"/>
        <v>100</v>
      </c>
      <c r="V42" s="713" t="s">
        <v>17</v>
      </c>
      <c r="W42" s="714">
        <f t="shared" si="12"/>
        <v>100</v>
      </c>
      <c r="X42" s="1537"/>
      <c r="Y42" s="3363" t="s">
        <v>2386</v>
      </c>
      <c r="Z42" s="1538" t="str">
        <f t="shared" si="13"/>
        <v>工程地质条件</v>
      </c>
      <c r="AA42" s="1535">
        <f t="shared" si="3"/>
        <v>1</v>
      </c>
      <c r="AB42" s="1535">
        <f t="shared" si="4"/>
        <v>1</v>
      </c>
      <c r="AC42" s="1535">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63"/>
      <c r="Q43" s="1534">
        <f t="shared" si="14"/>
        <v>111</v>
      </c>
      <c r="R43" s="713" t="s">
        <v>17</v>
      </c>
      <c r="S43" s="714">
        <f t="shared" si="10"/>
        <v>100</v>
      </c>
      <c r="T43" s="713" t="s">
        <v>17</v>
      </c>
      <c r="U43" s="714">
        <f t="shared" si="11"/>
        <v>100</v>
      </c>
      <c r="V43" s="713" t="s">
        <v>17</v>
      </c>
      <c r="W43" s="714">
        <f t="shared" si="12"/>
        <v>100</v>
      </c>
      <c r="X43" s="1537"/>
      <c r="Y43" s="3363"/>
      <c r="Z43" s="1538">
        <f t="shared" si="13"/>
        <v>111</v>
      </c>
      <c r="AA43" s="1535">
        <f t="shared" si="3"/>
        <v>1</v>
      </c>
      <c r="AB43" s="1535">
        <f t="shared" si="4"/>
        <v>1</v>
      </c>
      <c r="AC43" s="1535">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63"/>
      <c r="Q44" s="1534">
        <f t="shared" si="14"/>
        <v>111</v>
      </c>
      <c r="R44" s="713" t="s">
        <v>17</v>
      </c>
      <c r="S44" s="714">
        <f t="shared" si="10"/>
        <v>100</v>
      </c>
      <c r="T44" s="713" t="s">
        <v>17</v>
      </c>
      <c r="U44" s="714">
        <f t="shared" si="11"/>
        <v>100</v>
      </c>
      <c r="V44" s="713" t="s">
        <v>17</v>
      </c>
      <c r="W44" s="714">
        <f t="shared" si="12"/>
        <v>100</v>
      </c>
      <c r="X44" s="1537"/>
      <c r="Y44" s="3363"/>
      <c r="Z44" s="1538">
        <f t="shared" si="13"/>
        <v>111</v>
      </c>
      <c r="AA44" s="1535">
        <f t="shared" si="3"/>
        <v>1</v>
      </c>
      <c r="AB44" s="1535">
        <f t="shared" si="4"/>
        <v>1</v>
      </c>
      <c r="AC44" s="1535">
        <f t="shared" si="5"/>
        <v>1</v>
      </c>
    </row>
    <row r="45" spans="1:29" s="430" customFormat="1" ht="15.75" thickBot="1">
      <c r="A45" s="427"/>
      <c r="B45" s="1294">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63"/>
      <c r="Q45" s="1534">
        <f t="shared" si="14"/>
        <v>111</v>
      </c>
      <c r="R45" s="716" t="s">
        <v>17</v>
      </c>
      <c r="S45" s="717">
        <f t="shared" si="10"/>
        <v>100</v>
      </c>
      <c r="T45" s="716" t="s">
        <v>17</v>
      </c>
      <c r="U45" s="717">
        <f t="shared" si="11"/>
        <v>100</v>
      </c>
      <c r="V45" s="716" t="s">
        <v>17</v>
      </c>
      <c r="W45" s="717">
        <f t="shared" si="12"/>
        <v>100</v>
      </c>
      <c r="X45" s="718"/>
      <c r="Y45" s="3363"/>
      <c r="Z45" s="719">
        <f t="shared" si="13"/>
        <v>111</v>
      </c>
      <c r="AA45" s="1535">
        <f t="shared" si="3"/>
        <v>1</v>
      </c>
      <c r="AB45" s="1535">
        <f t="shared" si="4"/>
        <v>1</v>
      </c>
      <c r="AC45" s="1535">
        <f t="shared" si="5"/>
        <v>1</v>
      </c>
    </row>
    <row r="46" spans="1:29" ht="15">
      <c r="A46" s="438" t="s">
        <v>2541</v>
      </c>
      <c r="B46" s="2166" t="s">
        <v>2577</v>
      </c>
      <c r="C46" s="638" t="s">
        <v>1</v>
      </c>
      <c r="D46" s="440"/>
      <c r="E46" s="441"/>
      <c r="F46" s="442"/>
      <c r="G46" s="443"/>
      <c r="H46" s="444"/>
      <c r="I46" s="441"/>
      <c r="J46" s="444"/>
      <c r="K46" s="722"/>
      <c r="L46" s="2951"/>
      <c r="M46" s="2952"/>
      <c r="N46" s="2943"/>
      <c r="O46" s="2952"/>
      <c r="P46" s="3365" t="str">
        <f>A46</f>
        <v>成交单价</v>
      </c>
      <c r="Q46" s="3365"/>
      <c r="R46" s="3353">
        <f>E46</f>
        <v>0</v>
      </c>
      <c r="S46" s="3353"/>
      <c r="T46" s="3353">
        <f>G46</f>
        <v>0</v>
      </c>
      <c r="U46" s="3353"/>
      <c r="V46" s="3353">
        <f>I46</f>
        <v>0</v>
      </c>
      <c r="W46" s="3353"/>
      <c r="X46" s="698"/>
      <c r="Y46" s="720"/>
      <c r="Z46" s="698"/>
      <c r="AA46" s="698"/>
      <c r="AB46" s="698"/>
      <c r="AC46" s="698"/>
    </row>
    <row r="47" spans="1:29" ht="15.75" thickBot="1">
      <c r="A47" s="445" t="s">
        <v>2490</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365" t="str">
        <f>A47</f>
        <v>比较价值（元/平方米）</v>
      </c>
      <c r="Q47" s="3365"/>
      <c r="R47" s="3406" t="e">
        <f>ROUND(PRODUCT(R46,AA7:AA45),0)</f>
        <v>#DIV/0!</v>
      </c>
      <c r="S47" s="3406"/>
      <c r="T47" s="3406" t="e">
        <f>ROUND(PRODUCT(T46,AB7:AB45),0)</f>
        <v>#DIV/0!</v>
      </c>
      <c r="U47" s="3406"/>
      <c r="V47" s="3406" t="e">
        <f>ROUND(PRODUCT(V46,AC7:AC45),0)</f>
        <v>#DIV/0!</v>
      </c>
      <c r="W47" s="3406"/>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1"/>
      <c r="M48" s="2952"/>
      <c r="N48" s="2952"/>
      <c r="O48" s="2952"/>
      <c r="P48" s="3401" t="str">
        <f>A48</f>
        <v>估价对象XX用房的比较价值（楼面单价，元/平方米）</v>
      </c>
      <c r="Q48" s="3402"/>
      <c r="R48" s="3407" t="e">
        <f>ROUND(IF(D47="简单平均",AVERAGE(R47:W47),R47*F47+T47*H47+V47*J47),0)</f>
        <v>#DIV/0!</v>
      </c>
      <c r="S48" s="3407"/>
      <c r="T48" s="3407"/>
      <c r="U48" s="3407"/>
      <c r="V48" s="3407"/>
      <c r="W48" s="340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340" t="s">
        <v>2585</v>
      </c>
      <c r="H55" s="3408"/>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4">
        <v>1</v>
      </c>
      <c r="E56" s="646">
        <f>'数据-汇总表'!E8+'数据-汇总表'!E9</f>
        <v>32481.79</v>
      </c>
      <c r="F56" s="1016" t="e">
        <f t="shared" ref="F56:F65" si="15">ROUND(B56*E56/10000,0)</f>
        <v>#DIV/0!</v>
      </c>
      <c r="G56" s="3336"/>
      <c r="H56" s="3365"/>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5">
        <v>0.25</v>
      </c>
      <c r="E57" s="650"/>
      <c r="F57" s="1016" t="e">
        <f t="shared" si="15"/>
        <v>#DIV/0!</v>
      </c>
      <c r="G57" s="3409"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5">
        <v>0.25</v>
      </c>
      <c r="E58" s="650"/>
      <c r="F58" s="1016" t="e">
        <f t="shared" si="15"/>
        <v>#DIV/0!</v>
      </c>
      <c r="G58" s="3409"/>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5">
        <v>0.25</v>
      </c>
      <c r="E59" s="650"/>
      <c r="F59" s="1016" t="e">
        <f t="shared" si="15"/>
        <v>#DIV/0!</v>
      </c>
      <c r="G59" s="3409"/>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5">
        <v>0.25</v>
      </c>
      <c r="E60" s="650"/>
      <c r="F60" s="1016" t="e">
        <f t="shared" si="15"/>
        <v>#DIV/0!</v>
      </c>
      <c r="G60" s="3409"/>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0.3</v>
      </c>
      <c r="D61" s="1075">
        <v>0.25</v>
      </c>
      <c r="E61" s="223">
        <f>'数据-汇总表'!E11</f>
        <v>0</v>
      </c>
      <c r="F61" s="1016" t="e">
        <f t="shared" si="15"/>
        <v>#DIV/0!</v>
      </c>
      <c r="G61" s="2171" t="s">
        <v>2595</v>
      </c>
      <c r="H61" s="1017" t="str">
        <f>项目基本情况!C37</f>
        <v>二级</v>
      </c>
      <c r="I61" s="1021">
        <f>SUMIF(修正!A45:A56,H61,修正!F45:F56)</f>
        <v>0.3</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0.3</v>
      </c>
      <c r="D62" s="1075">
        <v>0.25</v>
      </c>
      <c r="E62" s="223">
        <f>'数据-汇总表'!E12</f>
        <v>0</v>
      </c>
      <c r="F62" s="1016" t="e">
        <f t="shared" si="15"/>
        <v>#DIV/0!</v>
      </c>
      <c r="G62" s="1022" t="s">
        <v>2597</v>
      </c>
      <c r="H62" s="1017" t="str">
        <f>IF(G62="商业",项目基本情况!B37,IF(G62="办公",项目基本情况!C37,IF(G62="住宅",项目基本情况!D37,项目基本情况!E37)))</f>
        <v>二级</v>
      </c>
      <c r="I62" s="1021">
        <f>SUMIF(修正!A45:A56,H62,修正!G45:G56)</f>
        <v>0.3</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5">
        <v>0.25</v>
      </c>
      <c r="E64" s="223">
        <f>'数据-汇总表'!E14</f>
        <v>0</v>
      </c>
      <c r="F64" s="1016" t="e">
        <f t="shared" si="15"/>
        <v>#DIV/0!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0.25</v>
      </c>
      <c r="D65" s="1075">
        <v>0.25</v>
      </c>
      <c r="E65" s="223">
        <f>'数据-汇总表'!E15</f>
        <v>0</v>
      </c>
      <c r="F65" s="1016" t="e">
        <f t="shared" si="15"/>
        <v>#DIV/0!</v>
      </c>
      <c r="G65" s="2172" t="s">
        <v>2595</v>
      </c>
      <c r="H65" s="1027" t="str">
        <f>项目基本情况!C37</f>
        <v>二级</v>
      </c>
      <c r="I65" s="1023">
        <f>SUMIF(修正!A45:A56,H65,修正!H45:H56)</f>
        <v>0.25</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32481.79</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8"/>
      <c r="N71" s="552"/>
      <c r="O71" s="1339"/>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2"/>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40" t="s">
        <v>2467</v>
      </c>
      <c r="D4" s="3341"/>
      <c r="E4" s="3342" t="s">
        <v>2468</v>
      </c>
      <c r="F4" s="3343"/>
      <c r="G4" s="3340" t="s">
        <v>2469</v>
      </c>
      <c r="H4" s="3341"/>
      <c r="I4" s="3340" t="s">
        <v>2470</v>
      </c>
      <c r="J4" s="3341"/>
      <c r="K4" s="567" t="s">
        <v>2471</v>
      </c>
      <c r="L4" s="2942"/>
      <c r="M4" s="2943"/>
      <c r="N4" s="2943"/>
      <c r="O4" s="2943"/>
      <c r="P4" s="3397" t="s">
        <v>2472</v>
      </c>
      <c r="Q4" s="3398"/>
      <c r="R4" s="3394" t="s">
        <v>2468</v>
      </c>
      <c r="S4" s="3395"/>
      <c r="T4" s="3394" t="s">
        <v>2469</v>
      </c>
      <c r="U4" s="3395"/>
      <c r="V4" s="3353" t="s">
        <v>2470</v>
      </c>
      <c r="W4" s="3353"/>
      <c r="X4" s="1537"/>
      <c r="Y4" s="3394" t="s">
        <v>2472</v>
      </c>
      <c r="Z4" s="3395"/>
      <c r="AA4" s="3393" t="s">
        <v>2468</v>
      </c>
      <c r="AB4" s="3319" t="s">
        <v>2469</v>
      </c>
      <c r="AC4" s="3393" t="s">
        <v>2470</v>
      </c>
    </row>
    <row r="5" spans="1:29" ht="15">
      <c r="A5" s="364"/>
      <c r="B5" s="365"/>
      <c r="C5" s="3329" t="s">
        <v>2363</v>
      </c>
      <c r="D5" s="3330"/>
      <c r="E5" s="3396" t="s">
        <v>2364</v>
      </c>
      <c r="F5" s="3328"/>
      <c r="G5" s="3329" t="s">
        <v>2365</v>
      </c>
      <c r="H5" s="3330"/>
      <c r="I5" s="3329" t="s">
        <v>2366</v>
      </c>
      <c r="J5" s="3330"/>
      <c r="K5" s="567"/>
      <c r="L5" s="2942"/>
      <c r="M5" s="2943"/>
      <c r="N5" s="2943"/>
      <c r="O5" s="2943"/>
      <c r="P5" s="3399"/>
      <c r="Q5" s="3347"/>
      <c r="R5" s="3325"/>
      <c r="S5" s="3326"/>
      <c r="T5" s="3325"/>
      <c r="U5" s="3326"/>
      <c r="V5" s="3353"/>
      <c r="W5" s="3353"/>
      <c r="X5" s="1537"/>
      <c r="Y5" s="3325"/>
      <c r="Z5" s="3326"/>
      <c r="AA5" s="3319"/>
      <c r="AB5" s="3319"/>
      <c r="AC5" s="3319"/>
    </row>
    <row r="6" spans="1:29" ht="15.75" thickBot="1">
      <c r="A6" s="366"/>
      <c r="B6" s="367"/>
      <c r="C6" s="3410" t="s">
        <v>2618</v>
      </c>
      <c r="D6" s="3411"/>
      <c r="E6" s="3412" t="s">
        <v>2618</v>
      </c>
      <c r="F6" s="3413"/>
      <c r="G6" s="3410" t="s">
        <v>2618</v>
      </c>
      <c r="H6" s="3411"/>
      <c r="I6" s="3410" t="s">
        <v>2618</v>
      </c>
      <c r="J6" s="3411"/>
      <c r="K6" s="567" t="s">
        <v>2368</v>
      </c>
      <c r="L6" s="2942"/>
      <c r="M6" s="2943"/>
      <c r="N6" s="2943"/>
      <c r="O6" s="2943"/>
      <c r="P6" s="3400"/>
      <c r="Q6" s="3349"/>
      <c r="R6" s="3325"/>
      <c r="S6" s="3326"/>
      <c r="T6" s="3350"/>
      <c r="U6" s="3351"/>
      <c r="V6" s="3353"/>
      <c r="W6" s="3353"/>
      <c r="X6" s="1537"/>
      <c r="Y6" s="3350"/>
      <c r="Z6" s="3351"/>
      <c r="AA6" s="3320"/>
      <c r="AB6" s="3320"/>
      <c r="AC6" s="3320"/>
    </row>
    <row r="7" spans="1:29" s="113" customFormat="1" ht="15.75" thickBot="1">
      <c r="A7" s="368" t="s">
        <v>2369</v>
      </c>
      <c r="B7" s="369"/>
      <c r="C7" s="370">
        <f>'数据-取费表'!B2</f>
        <v>44411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21" t="s">
        <v>2370</v>
      </c>
      <c r="Q7" s="3355"/>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65" t="s">
        <v>2376</v>
      </c>
      <c r="Q9" s="1525" t="str">
        <f t="shared" ref="Q9:Q15" si="6">B9</f>
        <v>用途</v>
      </c>
      <c r="R9" s="709" t="s">
        <v>17</v>
      </c>
      <c r="S9" s="710">
        <f t="shared" si="0"/>
        <v>100</v>
      </c>
      <c r="T9" s="709" t="s">
        <v>17</v>
      </c>
      <c r="U9" s="710">
        <f t="shared" si="1"/>
        <v>100</v>
      </c>
      <c r="V9" s="709" t="s">
        <v>17</v>
      </c>
      <c r="W9" s="710">
        <f t="shared" si="2"/>
        <v>100</v>
      </c>
      <c r="X9" s="711"/>
      <c r="Y9" s="3260"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6"/>
      <c r="M10" s="2947"/>
      <c r="N10" s="2947"/>
      <c r="O10" s="3000"/>
      <c r="P10" s="3365"/>
      <c r="Q10" s="1525" t="str">
        <f t="shared" si="6"/>
        <v>土地使用年限（年）</v>
      </c>
      <c r="R10" s="709" t="s">
        <v>17</v>
      </c>
      <c r="S10" s="710">
        <f t="shared" si="0"/>
        <v>125</v>
      </c>
      <c r="T10" s="709" t="s">
        <v>17</v>
      </c>
      <c r="U10" s="710">
        <f t="shared" si="1"/>
        <v>125</v>
      </c>
      <c r="V10" s="709" t="s">
        <v>17</v>
      </c>
      <c r="W10" s="710">
        <f t="shared" si="2"/>
        <v>125</v>
      </c>
      <c r="X10" s="711"/>
      <c r="Y10" s="3260"/>
      <c r="Z10" s="55" t="str">
        <f t="shared" si="7"/>
        <v>土地使用年限（年）</v>
      </c>
      <c r="AA10" s="712">
        <f t="shared" si="3"/>
        <v>0.8</v>
      </c>
      <c r="AB10" s="712">
        <f t="shared" si="4"/>
        <v>0.8</v>
      </c>
      <c r="AC10" s="712">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65"/>
      <c r="Q11" s="1525" t="str">
        <f t="shared" si="6"/>
        <v>容积率</v>
      </c>
      <c r="R11" s="709" t="s">
        <v>17</v>
      </c>
      <c r="S11" s="710" t="e">
        <f t="shared" si="0"/>
        <v>#N/A</v>
      </c>
      <c r="T11" s="709" t="s">
        <v>17</v>
      </c>
      <c r="U11" s="710" t="e">
        <f t="shared" si="1"/>
        <v>#N/A</v>
      </c>
      <c r="V11" s="709" t="s">
        <v>17</v>
      </c>
      <c r="W11" s="710" t="e">
        <f t="shared" si="2"/>
        <v>#N/A</v>
      </c>
      <c r="X11" s="711"/>
      <c r="Y11" s="3260"/>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65"/>
      <c r="Q12" s="1525">
        <f t="shared" si="6"/>
        <v>111</v>
      </c>
      <c r="R12" s="709" t="s">
        <v>17</v>
      </c>
      <c r="S12" s="710">
        <f t="shared" si="0"/>
        <v>100</v>
      </c>
      <c r="T12" s="709" t="s">
        <v>17</v>
      </c>
      <c r="U12" s="710">
        <f t="shared" si="1"/>
        <v>100</v>
      </c>
      <c r="V12" s="709" t="s">
        <v>17</v>
      </c>
      <c r="W12" s="710">
        <f t="shared" si="2"/>
        <v>100</v>
      </c>
      <c r="X12" s="711"/>
      <c r="Y12" s="3260"/>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65"/>
      <c r="Q13" s="1525">
        <f t="shared" si="6"/>
        <v>111</v>
      </c>
      <c r="R13" s="709" t="s">
        <v>17</v>
      </c>
      <c r="S13" s="710">
        <f t="shared" si="0"/>
        <v>100</v>
      </c>
      <c r="T13" s="709" t="s">
        <v>17</v>
      </c>
      <c r="U13" s="710">
        <f t="shared" si="1"/>
        <v>100</v>
      </c>
      <c r="V13" s="709" t="s">
        <v>17</v>
      </c>
      <c r="W13" s="710">
        <f t="shared" si="2"/>
        <v>100</v>
      </c>
      <c r="X13" s="711"/>
      <c r="Y13" s="3260"/>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65"/>
      <c r="Q14" s="1525">
        <f t="shared" si="6"/>
        <v>111</v>
      </c>
      <c r="R14" s="709" t="s">
        <v>17</v>
      </c>
      <c r="S14" s="710">
        <f t="shared" si="0"/>
        <v>100</v>
      </c>
      <c r="T14" s="709" t="s">
        <v>17</v>
      </c>
      <c r="U14" s="710">
        <f t="shared" si="1"/>
        <v>100</v>
      </c>
      <c r="V14" s="709" t="s">
        <v>17</v>
      </c>
      <c r="W14" s="710">
        <f t="shared" si="2"/>
        <v>100</v>
      </c>
      <c r="X14" s="711"/>
      <c r="Y14" s="3260"/>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58" t="s">
        <v>2381</v>
      </c>
      <c r="Q15" s="1534" t="str">
        <f t="shared" si="6"/>
        <v>产业集聚程度</v>
      </c>
      <c r="R15" s="713" t="s">
        <v>17</v>
      </c>
      <c r="S15" s="714">
        <f t="shared" si="0"/>
        <v>100</v>
      </c>
      <c r="T15" s="713" t="s">
        <v>17</v>
      </c>
      <c r="U15" s="714">
        <f t="shared" si="1"/>
        <v>100</v>
      </c>
      <c r="V15" s="713" t="s">
        <v>17</v>
      </c>
      <c r="W15" s="714">
        <f t="shared" si="2"/>
        <v>100</v>
      </c>
      <c r="X15" s="1537"/>
      <c r="Y15" s="3358"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59"/>
      <c r="Q16" s="1534"/>
      <c r="R16" s="713"/>
      <c r="S16" s="714"/>
      <c r="T16" s="713"/>
      <c r="U16" s="714"/>
      <c r="V16" s="713"/>
      <c r="W16" s="714"/>
      <c r="X16" s="1537"/>
      <c r="Y16" s="3359"/>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59"/>
      <c r="Q17" s="1534" t="str">
        <f>B17</f>
        <v>交通便捷度</v>
      </c>
      <c r="R17" s="713" t="s">
        <v>17</v>
      </c>
      <c r="S17" s="714">
        <f>F17</f>
        <v>100</v>
      </c>
      <c r="T17" s="713" t="s">
        <v>17</v>
      </c>
      <c r="U17" s="714">
        <f>H17</f>
        <v>100</v>
      </c>
      <c r="V17" s="713" t="s">
        <v>17</v>
      </c>
      <c r="W17" s="714">
        <f>J17</f>
        <v>100</v>
      </c>
      <c r="X17" s="1537"/>
      <c r="Y17" s="3359"/>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59"/>
      <c r="Q18" s="1534"/>
      <c r="R18" s="713"/>
      <c r="S18" s="714"/>
      <c r="T18" s="713"/>
      <c r="U18" s="714"/>
      <c r="V18" s="713"/>
      <c r="W18" s="714"/>
      <c r="X18" s="1537"/>
      <c r="Y18" s="3359"/>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59"/>
      <c r="Q19" s="1534" t="str">
        <f t="shared" ref="Q19:Q33" si="8">B19</f>
        <v>区域土地利用方向</v>
      </c>
      <c r="R19" s="713" t="s">
        <v>17</v>
      </c>
      <c r="S19" s="714">
        <f>F19</f>
        <v>100</v>
      </c>
      <c r="T19" s="713" t="s">
        <v>17</v>
      </c>
      <c r="U19" s="714">
        <f>H19</f>
        <v>100</v>
      </c>
      <c r="V19" s="713" t="s">
        <v>17</v>
      </c>
      <c r="W19" s="714">
        <f>J19</f>
        <v>100</v>
      </c>
      <c r="X19" s="1537"/>
      <c r="Y19" s="3359"/>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59"/>
      <c r="Q20" s="1534"/>
      <c r="R20" s="713"/>
      <c r="S20" s="714"/>
      <c r="T20" s="713"/>
      <c r="U20" s="714"/>
      <c r="V20" s="713"/>
      <c r="W20" s="714"/>
      <c r="X20" s="1537"/>
      <c r="Y20" s="3359"/>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59"/>
      <c r="Q21" s="1534" t="str">
        <f t="shared" si="8"/>
        <v>环境状况</v>
      </c>
      <c r="R21" s="713" t="s">
        <v>17</v>
      </c>
      <c r="S21" s="714">
        <f>F21</f>
        <v>100</v>
      </c>
      <c r="T21" s="713" t="s">
        <v>17</v>
      </c>
      <c r="U21" s="714">
        <f>H21</f>
        <v>100</v>
      </c>
      <c r="V21" s="713" t="s">
        <v>17</v>
      </c>
      <c r="W21" s="714">
        <f>J21</f>
        <v>100</v>
      </c>
      <c r="X21" s="1537"/>
      <c r="Y21" s="3359"/>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59"/>
      <c r="Q22" s="1534"/>
      <c r="R22" s="713"/>
      <c r="S22" s="714"/>
      <c r="T22" s="713"/>
      <c r="U22" s="714"/>
      <c r="V22" s="713"/>
      <c r="W22" s="714"/>
      <c r="X22" s="1537"/>
      <c r="Y22" s="3359"/>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59"/>
      <c r="Q23" s="1525" t="str">
        <f t="shared" si="8"/>
        <v>公共配套设施</v>
      </c>
      <c r="R23" s="709" t="s">
        <v>17</v>
      </c>
      <c r="S23" s="710">
        <f>F23</f>
        <v>100</v>
      </c>
      <c r="T23" s="709" t="s">
        <v>17</v>
      </c>
      <c r="U23" s="710">
        <f>H23</f>
        <v>100</v>
      </c>
      <c r="V23" s="709" t="s">
        <v>17</v>
      </c>
      <c r="W23" s="710">
        <f>J23</f>
        <v>100</v>
      </c>
      <c r="X23" s="711"/>
      <c r="Y23" s="3359"/>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59"/>
      <c r="Q24" s="1525"/>
      <c r="R24" s="709"/>
      <c r="S24" s="710"/>
      <c r="T24" s="709"/>
      <c r="U24" s="710"/>
      <c r="V24" s="709"/>
      <c r="W24" s="710"/>
      <c r="X24" s="711"/>
      <c r="Y24" s="3359"/>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59"/>
      <c r="Q25" s="1525" t="str">
        <f t="shared" ref="Q25" si="9">B25</f>
        <v>基础设施水平</v>
      </c>
      <c r="R25" s="709" t="s">
        <v>17</v>
      </c>
      <c r="S25" s="710">
        <f>F25</f>
        <v>100</v>
      </c>
      <c r="T25" s="709" t="s">
        <v>17</v>
      </c>
      <c r="U25" s="710">
        <f>H25</f>
        <v>100</v>
      </c>
      <c r="V25" s="709" t="s">
        <v>17</v>
      </c>
      <c r="W25" s="710">
        <f>J25</f>
        <v>100</v>
      </c>
      <c r="X25" s="711"/>
      <c r="Y25" s="3359"/>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59"/>
      <c r="Q26" s="1525"/>
      <c r="R26" s="709"/>
      <c r="S26" s="710"/>
      <c r="T26" s="709"/>
      <c r="U26" s="710"/>
      <c r="V26" s="709"/>
      <c r="W26" s="710"/>
      <c r="X26" s="711"/>
      <c r="Y26" s="3359"/>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59"/>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59"/>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59"/>
      <c r="Q28" s="1534" t="str">
        <f t="shared" si="8"/>
        <v>毗邻道路的类型与等级</v>
      </c>
      <c r="R28" s="713" t="s">
        <v>17</v>
      </c>
      <c r="S28" s="714">
        <f t="shared" si="10"/>
        <v>100</v>
      </c>
      <c r="T28" s="713" t="s">
        <v>17</v>
      </c>
      <c r="U28" s="714">
        <f t="shared" si="11"/>
        <v>100</v>
      </c>
      <c r="V28" s="713" t="s">
        <v>17</v>
      </c>
      <c r="W28" s="714">
        <f t="shared" si="12"/>
        <v>100</v>
      </c>
      <c r="X28" s="1537"/>
      <c r="Y28" s="3359"/>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59"/>
      <c r="Q29" s="1534"/>
      <c r="R29" s="713"/>
      <c r="S29" s="714"/>
      <c r="T29" s="713"/>
      <c r="U29" s="714"/>
      <c r="V29" s="713"/>
      <c r="W29" s="714"/>
      <c r="X29" s="1537"/>
      <c r="Y29" s="3359"/>
      <c r="Z29" s="1538"/>
      <c r="AA29" s="1535">
        <v>1</v>
      </c>
      <c r="AB29" s="1535">
        <v>1</v>
      </c>
      <c r="AC29" s="1535">
        <v>1</v>
      </c>
    </row>
    <row r="30" spans="1:29" ht="15">
      <c r="A30" s="387"/>
      <c r="B30" s="610" t="s">
        <v>2571</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59"/>
      <c r="Q30" s="1534" t="str">
        <f t="shared" si="8"/>
        <v>土地级别</v>
      </c>
      <c r="R30" s="713" t="s">
        <v>17</v>
      </c>
      <c r="S30" s="714">
        <f t="shared" si="10"/>
        <v>100</v>
      </c>
      <c r="T30" s="713" t="s">
        <v>17</v>
      </c>
      <c r="U30" s="714">
        <f t="shared" si="11"/>
        <v>100</v>
      </c>
      <c r="V30" s="713" t="s">
        <v>17</v>
      </c>
      <c r="W30" s="714">
        <f t="shared" si="12"/>
        <v>100</v>
      </c>
      <c r="X30" s="1537"/>
      <c r="Y30" s="3359"/>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59"/>
      <c r="Q31" s="1534">
        <f t="shared" si="8"/>
        <v>111</v>
      </c>
      <c r="R31" s="713" t="s">
        <v>17</v>
      </c>
      <c r="S31" s="714">
        <f t="shared" si="10"/>
        <v>100</v>
      </c>
      <c r="T31" s="713" t="s">
        <v>17</v>
      </c>
      <c r="U31" s="714">
        <f t="shared" si="11"/>
        <v>100</v>
      </c>
      <c r="V31" s="713" t="s">
        <v>17</v>
      </c>
      <c r="W31" s="714">
        <f t="shared" si="12"/>
        <v>100</v>
      </c>
      <c r="X31" s="1537"/>
      <c r="Y31" s="3359"/>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4" t="s">
        <v>2386</v>
      </c>
      <c r="Q32" s="1534">
        <f t="shared" si="8"/>
        <v>111</v>
      </c>
      <c r="R32" s="713" t="s">
        <v>17</v>
      </c>
      <c r="S32" s="714">
        <f t="shared" si="10"/>
        <v>100</v>
      </c>
      <c r="T32" s="713" t="s">
        <v>17</v>
      </c>
      <c r="U32" s="714">
        <f t="shared" si="11"/>
        <v>100</v>
      </c>
      <c r="V32" s="713" t="s">
        <v>17</v>
      </c>
      <c r="W32" s="714">
        <f t="shared" si="12"/>
        <v>100</v>
      </c>
      <c r="X32" s="1537"/>
      <c r="Y32" s="3363"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63"/>
      <c r="Q33" s="1534">
        <f t="shared" si="8"/>
        <v>111</v>
      </c>
      <c r="R33" s="716" t="s">
        <v>17</v>
      </c>
      <c r="S33" s="717">
        <f t="shared" si="10"/>
        <v>100</v>
      </c>
      <c r="T33" s="716" t="s">
        <v>17</v>
      </c>
      <c r="U33" s="717">
        <f t="shared" si="11"/>
        <v>100</v>
      </c>
      <c r="V33" s="716" t="s">
        <v>17</v>
      </c>
      <c r="W33" s="717">
        <f t="shared" si="12"/>
        <v>100</v>
      </c>
      <c r="X33" s="718"/>
      <c r="Y33" s="3363"/>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63"/>
      <c r="Q34" s="1534" t="str">
        <f>B34</f>
        <v>宗地面积</v>
      </c>
      <c r="R34" s="713" t="s">
        <v>17</v>
      </c>
      <c r="S34" s="714" t="e">
        <f t="shared" si="10"/>
        <v>#N/A</v>
      </c>
      <c r="T34" s="713" t="s">
        <v>17</v>
      </c>
      <c r="U34" s="714" t="e">
        <f t="shared" si="11"/>
        <v>#N/A</v>
      </c>
      <c r="V34" s="713" t="s">
        <v>17</v>
      </c>
      <c r="W34" s="714" t="e">
        <f t="shared" si="12"/>
        <v>#N/A</v>
      </c>
      <c r="X34" s="1537"/>
      <c r="Y34" s="3363"/>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63"/>
      <c r="Q35" s="1534" t="str">
        <f t="shared" ref="Q35:Q40" si="14">B35</f>
        <v>宗地形状</v>
      </c>
      <c r="R35" s="713" t="s">
        <v>17</v>
      </c>
      <c r="S35" s="714">
        <f t="shared" si="10"/>
        <v>100</v>
      </c>
      <c r="T35" s="713" t="s">
        <v>17</v>
      </c>
      <c r="U35" s="714">
        <f t="shared" si="11"/>
        <v>100</v>
      </c>
      <c r="V35" s="713" t="s">
        <v>17</v>
      </c>
      <c r="W35" s="714">
        <f t="shared" si="12"/>
        <v>100</v>
      </c>
      <c r="X35" s="1537"/>
      <c r="Y35" s="3363"/>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63"/>
      <c r="Q36" s="1534" t="str">
        <f t="shared" si="14"/>
        <v>宗地开发程度</v>
      </c>
      <c r="R36" s="709" t="s">
        <v>17</v>
      </c>
      <c r="S36" s="710">
        <f t="shared" si="10"/>
        <v>100</v>
      </c>
      <c r="T36" s="709" t="s">
        <v>17</v>
      </c>
      <c r="U36" s="710">
        <f t="shared" si="11"/>
        <v>100</v>
      </c>
      <c r="V36" s="709" t="s">
        <v>17</v>
      </c>
      <c r="W36" s="710">
        <f t="shared" si="12"/>
        <v>100</v>
      </c>
      <c r="X36" s="711"/>
      <c r="Y36" s="3363"/>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63" t="s">
        <v>2386</v>
      </c>
      <c r="Q37" s="1534" t="str">
        <f t="shared" si="14"/>
        <v>工程地质条件</v>
      </c>
      <c r="R37" s="713" t="s">
        <v>17</v>
      </c>
      <c r="S37" s="714">
        <f t="shared" si="10"/>
        <v>100</v>
      </c>
      <c r="T37" s="713" t="s">
        <v>17</v>
      </c>
      <c r="U37" s="714">
        <f t="shared" si="11"/>
        <v>100</v>
      </c>
      <c r="V37" s="713" t="s">
        <v>17</v>
      </c>
      <c r="W37" s="714">
        <f t="shared" si="12"/>
        <v>100</v>
      </c>
      <c r="X37" s="1537"/>
      <c r="Y37" s="3363" t="s">
        <v>2386</v>
      </c>
      <c r="Z37" s="1538" t="str">
        <f t="shared" si="13"/>
        <v>工程地质条件</v>
      </c>
      <c r="AA37" s="1535">
        <f t="shared" si="3"/>
        <v>1</v>
      </c>
      <c r="AB37" s="1535">
        <f t="shared" si="4"/>
        <v>1</v>
      </c>
      <c r="AC37" s="1535">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63"/>
      <c r="Q38" s="1534">
        <f t="shared" si="14"/>
        <v>111</v>
      </c>
      <c r="R38" s="713" t="s">
        <v>17</v>
      </c>
      <c r="S38" s="714">
        <f t="shared" si="10"/>
        <v>100</v>
      </c>
      <c r="T38" s="713" t="s">
        <v>17</v>
      </c>
      <c r="U38" s="714">
        <f t="shared" si="11"/>
        <v>100</v>
      </c>
      <c r="V38" s="713" t="s">
        <v>17</v>
      </c>
      <c r="W38" s="714">
        <f t="shared" si="12"/>
        <v>100</v>
      </c>
      <c r="X38" s="1537"/>
      <c r="Y38" s="3363"/>
      <c r="Z38" s="1538">
        <f t="shared" si="13"/>
        <v>111</v>
      </c>
      <c r="AA38" s="1535">
        <f t="shared" si="3"/>
        <v>1</v>
      </c>
      <c r="AB38" s="1535">
        <f t="shared" si="4"/>
        <v>1</v>
      </c>
      <c r="AC38" s="1535">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63"/>
      <c r="Q39" s="1534">
        <f t="shared" si="14"/>
        <v>111</v>
      </c>
      <c r="R39" s="713" t="s">
        <v>17</v>
      </c>
      <c r="S39" s="714">
        <f t="shared" si="10"/>
        <v>100</v>
      </c>
      <c r="T39" s="713" t="s">
        <v>17</v>
      </c>
      <c r="U39" s="714">
        <f t="shared" si="11"/>
        <v>100</v>
      </c>
      <c r="V39" s="713" t="s">
        <v>17</v>
      </c>
      <c r="W39" s="714">
        <f t="shared" si="12"/>
        <v>100</v>
      </c>
      <c r="X39" s="1537"/>
      <c r="Y39" s="3363"/>
      <c r="Z39" s="1538">
        <f t="shared" si="13"/>
        <v>111</v>
      </c>
      <c r="AA39" s="1535">
        <f t="shared" si="3"/>
        <v>1</v>
      </c>
      <c r="AB39" s="1535">
        <f t="shared" si="4"/>
        <v>1</v>
      </c>
      <c r="AC39" s="1535">
        <f t="shared" si="5"/>
        <v>1</v>
      </c>
    </row>
    <row r="40" spans="1:31" s="430" customFormat="1" ht="15.75" thickBot="1">
      <c r="A40" s="427"/>
      <c r="B40" s="1294">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63"/>
      <c r="Q40" s="1534">
        <f t="shared" si="14"/>
        <v>111</v>
      </c>
      <c r="R40" s="716" t="s">
        <v>17</v>
      </c>
      <c r="S40" s="717">
        <f t="shared" si="10"/>
        <v>100</v>
      </c>
      <c r="T40" s="716" t="s">
        <v>17</v>
      </c>
      <c r="U40" s="717">
        <f t="shared" si="11"/>
        <v>100</v>
      </c>
      <c r="V40" s="716" t="s">
        <v>17</v>
      </c>
      <c r="W40" s="717">
        <f t="shared" si="12"/>
        <v>100</v>
      </c>
      <c r="X40" s="718"/>
      <c r="Y40" s="3363"/>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365" t="str">
        <f>A41</f>
        <v>成交单价</v>
      </c>
      <c r="Q41" s="3365"/>
      <c r="R41" s="3353">
        <f>E41</f>
        <v>0</v>
      </c>
      <c r="S41" s="3353"/>
      <c r="T41" s="3353">
        <f>G41</f>
        <v>0</v>
      </c>
      <c r="U41" s="3353"/>
      <c r="V41" s="3353">
        <f>I41</f>
        <v>0</v>
      </c>
      <c r="W41" s="3353"/>
      <c r="X41" s="698"/>
      <c r="Y41" s="720"/>
      <c r="Z41" s="698"/>
      <c r="AA41" s="698"/>
      <c r="AB41" s="698"/>
      <c r="AC41" s="698"/>
    </row>
    <row r="42" spans="1:31" ht="15.75" thickBot="1">
      <c r="A42" s="445" t="s">
        <v>2490</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365" t="str">
        <f>A42</f>
        <v>比较价值（元/平方米）</v>
      </c>
      <c r="Q42" s="3365"/>
      <c r="R42" s="3406" t="e">
        <f>ROUND(PRODUCT(R41,AA7:AA40),0)</f>
        <v>#DIV/0!</v>
      </c>
      <c r="S42" s="3406"/>
      <c r="T42" s="3406" t="e">
        <f>ROUND(PRODUCT(T41,AB7:AB40),0)</f>
        <v>#DIV/0!</v>
      </c>
      <c r="U42" s="3406"/>
      <c r="V42" s="3406" t="e">
        <f>ROUND(PRODUCT(V41,AC7:AC40),0)</f>
        <v>#DIV/0!</v>
      </c>
      <c r="W42" s="3406"/>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401" t="str">
        <f>A43</f>
        <v>估价对象XX用房的比较价值（楼面单价，元/平方米）</v>
      </c>
      <c r="Q43" s="3402"/>
      <c r="R43" s="3407" t="e">
        <f>ROUND(IF(D42="简单平均",AVERAGE(R42:W42),R42*F42+T42*H42+V42*J42),0)</f>
        <v>#DIV/0!</v>
      </c>
      <c r="S43" s="3407"/>
      <c r="T43" s="3407"/>
      <c r="U43" s="3407"/>
      <c r="V43" s="3407"/>
      <c r="W43" s="340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340" t="s">
        <v>2585</v>
      </c>
      <c r="H50" s="3408"/>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32481.79</v>
      </c>
      <c r="F51" s="647" t="e">
        <f t="shared" ref="F51:F60" si="15">ROUND(B51*E51/10000,0)</f>
        <v>#DIV/0!</v>
      </c>
      <c r="G51" s="3336"/>
      <c r="H51" s="3365"/>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5">
        <v>0.25</v>
      </c>
      <c r="E52" s="650"/>
      <c r="F52" s="647" t="e">
        <f t="shared" si="15"/>
        <v>#DIV/0!</v>
      </c>
      <c r="G52" s="3409"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5">
        <v>0.25</v>
      </c>
      <c r="E53" s="650"/>
      <c r="F53" s="647" t="e">
        <f t="shared" si="15"/>
        <v>#DIV/0!</v>
      </c>
      <c r="G53" s="3409"/>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5">
        <v>0.25</v>
      </c>
      <c r="E54" s="650"/>
      <c r="F54" s="647" t="e">
        <f t="shared" si="15"/>
        <v>#DIV/0!</v>
      </c>
      <c r="G54" s="3409"/>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5">
        <v>0.25</v>
      </c>
      <c r="E55" s="650"/>
      <c r="F55" s="647" t="e">
        <f t="shared" si="15"/>
        <v>#DIV/0!</v>
      </c>
      <c r="G55" s="3409"/>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0.3</v>
      </c>
      <c r="D56" s="1075">
        <v>0.25</v>
      </c>
      <c r="E56" s="223">
        <f>'数据-汇总表'!E11</f>
        <v>0</v>
      </c>
      <c r="F56" s="647" t="e">
        <f t="shared" si="15"/>
        <v>#DIV/0!</v>
      </c>
      <c r="G56" s="2171" t="s">
        <v>2595</v>
      </c>
      <c r="H56" s="1017" t="str">
        <f>项目基本情况!C37</f>
        <v>二级</v>
      </c>
      <c r="I56" s="878">
        <f>SUMIF(修正!A45:A56,H56,修正!F45:F56)</f>
        <v>0.3</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0.3</v>
      </c>
      <c r="D57" s="1075">
        <v>0.25</v>
      </c>
      <c r="E57" s="223">
        <f>'数据-汇总表'!E12</f>
        <v>0</v>
      </c>
      <c r="F57" s="647" t="e">
        <f t="shared" si="15"/>
        <v>#DIV/0!</v>
      </c>
      <c r="G57" s="1022" t="s">
        <v>2597</v>
      </c>
      <c r="H57" s="1017" t="str">
        <f>IF(G57="商业",项目基本情况!B37,IF(G57="办公",项目基本情况!C37,IF(G57="住宅",项目基本情况!D37,项目基本情况!E37)))</f>
        <v>二级</v>
      </c>
      <c r="I57" s="878">
        <f>SUMIF(修正!A45:A56,H57,修正!G45:G56)</f>
        <v>0.3</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5">
        <v>0.25</v>
      </c>
      <c r="E59" s="223">
        <f>'数据-汇总表'!E14</f>
        <v>0</v>
      </c>
      <c r="F59" s="647"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0.25</v>
      </c>
      <c r="D60" s="1075">
        <v>0.25</v>
      </c>
      <c r="E60" s="223">
        <f>'数据-汇总表'!E15</f>
        <v>0</v>
      </c>
      <c r="F60" s="647" t="e">
        <f t="shared" si="15"/>
        <v>#DIV/0!</v>
      </c>
      <c r="G60" s="2172" t="s">
        <v>2595</v>
      </c>
      <c r="H60" s="1027" t="str">
        <f>项目基本情况!C37</f>
        <v>二级</v>
      </c>
      <c r="I60" s="878">
        <f>SUMIF(修正!A45:A56,H60,修正!H45:H56)</f>
        <v>0.25</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1574.14</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北京市平均增长率1.24%</v>
      </c>
      <c r="C66" s="560">
        <v>100</v>
      </c>
      <c r="D66" s="552"/>
      <c r="E66" s="552"/>
      <c r="F66" s="552"/>
      <c r="G66" s="552"/>
      <c r="H66" s="552"/>
      <c r="I66" s="552"/>
      <c r="J66" s="552"/>
      <c r="K66" s="552"/>
      <c r="L66" s="552"/>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4" t="s">
        <v>183</v>
      </c>
      <c r="B18" s="820" t="s">
        <v>560</v>
      </c>
      <c r="C18" s="821" t="s">
        <v>561</v>
      </c>
      <c r="D18" s="822"/>
      <c r="E18" s="820">
        <v>1</v>
      </c>
      <c r="F18" s="823" t="s">
        <v>562</v>
      </c>
      <c r="G18" s="824"/>
      <c r="H18" s="816"/>
      <c r="I18" s="816"/>
    </row>
    <row r="19" spans="1:9" s="825" customFormat="1" ht="19.5" customHeight="1">
      <c r="A19" s="3414"/>
      <c r="B19" s="3414" t="s">
        <v>563</v>
      </c>
      <c r="C19" s="821" t="s">
        <v>564</v>
      </c>
      <c r="D19" s="822"/>
      <c r="E19" s="820">
        <v>0.9</v>
      </c>
      <c r="F19" s="823" t="s">
        <v>565</v>
      </c>
      <c r="G19" s="824"/>
      <c r="H19" s="816"/>
      <c r="I19" s="816"/>
    </row>
    <row r="20" spans="1:9" s="825" customFormat="1" ht="19.5" customHeight="1">
      <c r="A20" s="3414"/>
      <c r="B20" s="3414"/>
      <c r="C20" s="821" t="s">
        <v>566</v>
      </c>
      <c r="D20" s="822"/>
      <c r="E20" s="820">
        <v>1.1000000000000001</v>
      </c>
      <c r="F20" s="823" t="s">
        <v>567</v>
      </c>
      <c r="G20" s="824"/>
      <c r="H20" s="816"/>
      <c r="I20" s="816"/>
    </row>
    <row r="21" spans="1:9" s="825" customFormat="1" ht="19.5" customHeight="1">
      <c r="A21" s="3414"/>
      <c r="B21" s="3414"/>
      <c r="C21" s="821" t="s">
        <v>568</v>
      </c>
      <c r="D21" s="822"/>
      <c r="E21" s="820">
        <v>0.8</v>
      </c>
      <c r="F21" s="823" t="s">
        <v>569</v>
      </c>
      <c r="G21" s="824"/>
      <c r="H21" s="816"/>
      <c r="I21" s="816"/>
    </row>
    <row r="22" spans="1:9" s="825" customFormat="1" ht="19.5" customHeight="1">
      <c r="A22" s="3414"/>
      <c r="B22" s="3414"/>
      <c r="C22" s="821" t="s">
        <v>570</v>
      </c>
      <c r="D22" s="822"/>
      <c r="E22" s="820">
        <v>0.5</v>
      </c>
      <c r="F22" s="823"/>
      <c r="G22" s="824"/>
      <c r="H22" s="816"/>
      <c r="I22" s="816"/>
    </row>
    <row r="23" spans="1:9" s="825" customFormat="1" ht="19.5" customHeight="1">
      <c r="A23" s="3414" t="s">
        <v>184</v>
      </c>
      <c r="B23" s="820" t="s">
        <v>560</v>
      </c>
      <c r="C23" s="821" t="s">
        <v>571</v>
      </c>
      <c r="D23" s="822"/>
      <c r="E23" s="820">
        <v>1</v>
      </c>
      <c r="F23" s="823" t="s">
        <v>572</v>
      </c>
      <c r="G23" s="824"/>
      <c r="H23" s="816"/>
      <c r="I23" s="816"/>
    </row>
    <row r="24" spans="1:9" s="825" customFormat="1" ht="19.5" customHeight="1">
      <c r="A24" s="3414"/>
      <c r="B24" s="3414" t="s">
        <v>563</v>
      </c>
      <c r="C24" s="821" t="s">
        <v>573</v>
      </c>
      <c r="D24" s="822"/>
      <c r="E24" s="820">
        <v>0.5</v>
      </c>
      <c r="F24" s="823"/>
      <c r="G24" s="824"/>
      <c r="H24" s="816"/>
      <c r="I24" s="816"/>
    </row>
    <row r="25" spans="1:9" s="825" customFormat="1" ht="19.5" customHeight="1">
      <c r="A25" s="3414"/>
      <c r="B25" s="3414"/>
      <c r="C25" s="821" t="s">
        <v>574</v>
      </c>
      <c r="D25" s="822"/>
      <c r="E25" s="820">
        <v>1.1000000000000001</v>
      </c>
      <c r="F25" s="823"/>
      <c r="G25" s="824"/>
      <c r="H25" s="816"/>
      <c r="I25" s="816"/>
    </row>
    <row r="26" spans="1:9" s="825" customFormat="1" ht="19.5" customHeight="1">
      <c r="A26" s="3414"/>
      <c r="B26" s="3414"/>
      <c r="C26" s="821" t="s">
        <v>575</v>
      </c>
      <c r="D26" s="822"/>
      <c r="E26" s="820">
        <v>1.1000000000000001</v>
      </c>
      <c r="F26" s="823"/>
      <c r="G26" s="824"/>
      <c r="H26" s="816"/>
      <c r="I26" s="816"/>
    </row>
    <row r="27" spans="1:9" s="825" customFormat="1" ht="19.5" customHeight="1">
      <c r="A27" s="3414"/>
      <c r="B27" s="3414"/>
      <c r="C27" s="821" t="s">
        <v>576</v>
      </c>
      <c r="D27" s="822"/>
      <c r="E27" s="820">
        <v>0.9</v>
      </c>
      <c r="F27" s="823" t="s">
        <v>577</v>
      </c>
      <c r="G27" s="824"/>
      <c r="H27" s="816"/>
      <c r="I27" s="816"/>
    </row>
    <row r="28" spans="1:9" s="825" customFormat="1" ht="19.5" customHeight="1">
      <c r="A28" s="3414"/>
      <c r="B28" s="3414"/>
      <c r="C28" s="821" t="s">
        <v>578</v>
      </c>
      <c r="D28" s="822"/>
      <c r="E28" s="820">
        <v>0.9</v>
      </c>
      <c r="F28" s="823" t="s">
        <v>579</v>
      </c>
      <c r="G28" s="824"/>
      <c r="H28" s="816"/>
      <c r="I28" s="816"/>
    </row>
    <row r="29" spans="1:9" s="825" customFormat="1" ht="19.5" customHeight="1">
      <c r="A29" s="3414"/>
      <c r="B29" s="3414"/>
      <c r="C29" s="821" t="s">
        <v>580</v>
      </c>
      <c r="D29" s="822"/>
      <c r="E29" s="820">
        <v>0.9</v>
      </c>
      <c r="F29" s="823" t="s">
        <v>581</v>
      </c>
      <c r="G29" s="824"/>
      <c r="H29" s="816"/>
      <c r="I29" s="816"/>
    </row>
    <row r="30" spans="1:9" s="825" customFormat="1" ht="19.5" customHeight="1">
      <c r="A30" s="3414"/>
      <c r="B30" s="3414"/>
      <c r="C30" s="821" t="s">
        <v>582</v>
      </c>
      <c r="D30" s="822"/>
      <c r="E30" s="820">
        <v>0.9</v>
      </c>
      <c r="F30" s="823" t="s">
        <v>583</v>
      </c>
      <c r="G30" s="824"/>
      <c r="H30" s="816"/>
      <c r="I30" s="816"/>
    </row>
    <row r="31" spans="1:9" s="825" customFormat="1" ht="19.5" customHeight="1">
      <c r="A31" s="3414"/>
      <c r="B31" s="3414"/>
      <c r="C31" s="821" t="s">
        <v>584</v>
      </c>
      <c r="D31" s="822"/>
      <c r="E31" s="820">
        <v>0.8</v>
      </c>
      <c r="F31" s="823" t="s">
        <v>585</v>
      </c>
      <c r="G31" s="824"/>
      <c r="H31" s="816"/>
      <c r="I31" s="816"/>
    </row>
    <row r="32" spans="1:9" s="825" customFormat="1" ht="19.5" customHeight="1">
      <c r="A32" s="3414"/>
      <c r="B32" s="3414"/>
      <c r="C32" s="821" t="s">
        <v>586</v>
      </c>
      <c r="D32" s="822"/>
      <c r="E32" s="820">
        <v>0.8</v>
      </c>
      <c r="F32" s="823" t="s">
        <v>587</v>
      </c>
      <c r="G32" s="824"/>
      <c r="H32" s="816"/>
      <c r="I32" s="816"/>
    </row>
    <row r="33" spans="1:9" s="825" customFormat="1" ht="19.5" customHeight="1">
      <c r="A33" s="3414" t="s">
        <v>185</v>
      </c>
      <c r="B33" s="820" t="s">
        <v>560</v>
      </c>
      <c r="C33" s="821" t="s">
        <v>588</v>
      </c>
      <c r="D33" s="822"/>
      <c r="E33" s="820">
        <v>1</v>
      </c>
      <c r="F33" s="823" t="s">
        <v>589</v>
      </c>
      <c r="G33" s="824"/>
      <c r="H33" s="816"/>
      <c r="I33" s="816"/>
    </row>
    <row r="34" spans="1:9" s="825" customFormat="1" ht="19.5" customHeight="1">
      <c r="A34" s="3414"/>
      <c r="B34" s="820" t="s">
        <v>563</v>
      </c>
      <c r="C34" s="821" t="s">
        <v>590</v>
      </c>
      <c r="D34" s="822"/>
      <c r="E34" s="820">
        <v>1.5</v>
      </c>
      <c r="F34" s="823" t="s">
        <v>591</v>
      </c>
      <c r="G34" s="824"/>
      <c r="H34" s="816"/>
      <c r="I34" s="816"/>
    </row>
    <row r="35" spans="1:9" s="825" customFormat="1" ht="19.5" customHeight="1">
      <c r="A35" s="3414" t="s">
        <v>186</v>
      </c>
      <c r="B35" s="820" t="s">
        <v>560</v>
      </c>
      <c r="C35" s="821" t="s">
        <v>592</v>
      </c>
      <c r="D35" s="822"/>
      <c r="E35" s="820">
        <v>1</v>
      </c>
      <c r="F35" s="823" t="s">
        <v>593</v>
      </c>
      <c r="G35" s="824"/>
      <c r="H35" s="816"/>
      <c r="I35" s="816"/>
    </row>
    <row r="36" spans="1:9" s="825" customFormat="1" ht="19.5" customHeight="1">
      <c r="A36" s="3414"/>
      <c r="B36" s="3414" t="s">
        <v>563</v>
      </c>
      <c r="C36" s="821" t="s">
        <v>594</v>
      </c>
      <c r="D36" s="822"/>
      <c r="E36" s="820">
        <v>1</v>
      </c>
      <c r="F36" s="823" t="s">
        <v>595</v>
      </c>
      <c r="G36" s="824"/>
      <c r="H36" s="816"/>
      <c r="I36" s="816"/>
    </row>
    <row r="37" spans="1:9" s="825" customFormat="1" ht="19.5" customHeight="1">
      <c r="A37" s="3414"/>
      <c r="B37" s="3414"/>
      <c r="C37" s="821" t="s">
        <v>596</v>
      </c>
      <c r="D37" s="822"/>
      <c r="E37" s="820">
        <v>1.5</v>
      </c>
      <c r="F37" s="823" t="s">
        <v>597</v>
      </c>
      <c r="G37" s="824"/>
      <c r="H37" s="816"/>
      <c r="I37" s="816"/>
    </row>
    <row r="38" spans="1:9" s="825" customFormat="1" ht="19.5" customHeight="1">
      <c r="A38" s="3414"/>
      <c r="B38" s="3414"/>
      <c r="C38" s="821" t="s">
        <v>598</v>
      </c>
      <c r="D38" s="822"/>
      <c r="E38" s="820">
        <v>1</v>
      </c>
      <c r="F38" s="823" t="s">
        <v>599</v>
      </c>
      <c r="G38" s="824"/>
      <c r="H38" s="816"/>
      <c r="I38" s="816"/>
    </row>
    <row r="39" spans="1:9" s="825" customFormat="1" ht="19.5" customHeight="1">
      <c r="A39" s="3414"/>
      <c r="B39" s="341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4" t="s">
        <v>614</v>
      </c>
      <c r="C61" s="756" t="s">
        <v>615</v>
      </c>
      <c r="D61" s="756" t="s">
        <v>616</v>
      </c>
      <c r="E61" s="833">
        <v>0.5</v>
      </c>
      <c r="F61" s="820">
        <v>80</v>
      </c>
    </row>
    <row r="62" spans="1:8" s="816" customFormat="1" ht="24">
      <c r="A62" s="820">
        <v>2</v>
      </c>
      <c r="B62" s="3414"/>
      <c r="C62" s="756" t="s">
        <v>617</v>
      </c>
      <c r="D62" s="756" t="s">
        <v>618</v>
      </c>
      <c r="E62" s="833">
        <v>0.5</v>
      </c>
      <c r="F62" s="820">
        <v>80</v>
      </c>
    </row>
    <row r="63" spans="1:8" s="816" customFormat="1" ht="36">
      <c r="A63" s="820">
        <v>3</v>
      </c>
      <c r="B63" s="3414"/>
      <c r="C63" s="756" t="s">
        <v>619</v>
      </c>
      <c r="D63" s="756" t="s">
        <v>620</v>
      </c>
      <c r="E63" s="833">
        <v>0.5</v>
      </c>
      <c r="F63" s="820">
        <v>80</v>
      </c>
    </row>
    <row r="64" spans="1:8" s="816" customFormat="1" ht="36">
      <c r="A64" s="820">
        <v>4</v>
      </c>
      <c r="B64" s="3414"/>
      <c r="C64" s="756" t="s">
        <v>621</v>
      </c>
      <c r="D64" s="756" t="s">
        <v>622</v>
      </c>
      <c r="E64" s="833">
        <v>0.4</v>
      </c>
      <c r="F64" s="820">
        <v>60</v>
      </c>
    </row>
    <row r="65" spans="1:6" s="816" customFormat="1" ht="36">
      <c r="A65" s="820">
        <v>5</v>
      </c>
      <c r="B65" s="3414"/>
      <c r="C65" s="756" t="s">
        <v>623</v>
      </c>
      <c r="D65" s="756" t="s">
        <v>624</v>
      </c>
      <c r="E65" s="833">
        <v>0.2</v>
      </c>
      <c r="F65" s="820">
        <v>30</v>
      </c>
    </row>
    <row r="66" spans="1:6" s="816" customFormat="1" ht="36">
      <c r="A66" s="820">
        <v>6</v>
      </c>
      <c r="B66" s="3414"/>
      <c r="C66" s="756" t="s">
        <v>625</v>
      </c>
      <c r="D66" s="756" t="s">
        <v>626</v>
      </c>
      <c r="E66" s="833">
        <v>0.3</v>
      </c>
      <c r="F66" s="820">
        <v>50</v>
      </c>
    </row>
    <row r="67" spans="1:6" s="816" customFormat="1" ht="36">
      <c r="A67" s="820">
        <v>7</v>
      </c>
      <c r="B67" s="3414"/>
      <c r="C67" s="756" t="s">
        <v>627</v>
      </c>
      <c r="D67" s="756" t="s">
        <v>628</v>
      </c>
      <c r="E67" s="833">
        <v>0.2</v>
      </c>
      <c r="F67" s="820">
        <v>30</v>
      </c>
    </row>
    <row r="68" spans="1:6" s="816" customFormat="1" ht="36">
      <c r="A68" s="820">
        <v>8</v>
      </c>
      <c r="B68" s="3414"/>
      <c r="C68" s="756" t="s">
        <v>629</v>
      </c>
      <c r="D68" s="756" t="s">
        <v>630</v>
      </c>
      <c r="E68" s="833">
        <v>0.2</v>
      </c>
      <c r="F68" s="820">
        <v>30</v>
      </c>
    </row>
    <row r="69" spans="1:6" s="816" customFormat="1" ht="36">
      <c r="A69" s="820">
        <v>9</v>
      </c>
      <c r="B69" s="3414"/>
      <c r="C69" s="756" t="s">
        <v>631</v>
      </c>
      <c r="D69" s="756" t="s">
        <v>632</v>
      </c>
      <c r="E69" s="833">
        <v>0.2</v>
      </c>
      <c r="F69" s="820">
        <v>30</v>
      </c>
    </row>
    <row r="70" spans="1:6" s="816" customFormat="1" ht="48">
      <c r="A70" s="820">
        <v>10</v>
      </c>
      <c r="B70" s="3414"/>
      <c r="C70" s="756" t="s">
        <v>633</v>
      </c>
      <c r="D70" s="756" t="s">
        <v>634</v>
      </c>
      <c r="E70" s="833">
        <v>0.2</v>
      </c>
      <c r="F70" s="820">
        <v>30</v>
      </c>
    </row>
    <row r="71" spans="1:6" s="816" customFormat="1" ht="48">
      <c r="A71" s="820">
        <v>11</v>
      </c>
      <c r="B71" s="3414"/>
      <c r="C71" s="756" t="s">
        <v>635</v>
      </c>
      <c r="D71" s="756" t="s">
        <v>636</v>
      </c>
      <c r="E71" s="833">
        <v>0.2</v>
      </c>
      <c r="F71" s="820">
        <v>30</v>
      </c>
    </row>
    <row r="72" spans="1:6" s="816" customFormat="1" ht="36">
      <c r="A72" s="820">
        <v>12</v>
      </c>
      <c r="B72" s="3414"/>
      <c r="C72" s="756" t="s">
        <v>637</v>
      </c>
      <c r="D72" s="756" t="s">
        <v>638</v>
      </c>
      <c r="E72" s="833">
        <v>0.5</v>
      </c>
      <c r="F72" s="820">
        <v>80</v>
      </c>
    </row>
    <row r="73" spans="1:6" s="816" customFormat="1" ht="24">
      <c r="A73" s="820">
        <v>13</v>
      </c>
      <c r="B73" s="3414"/>
      <c r="C73" s="756" t="s">
        <v>639</v>
      </c>
      <c r="D73" s="756" t="s">
        <v>640</v>
      </c>
      <c r="E73" s="833">
        <v>0.4</v>
      </c>
      <c r="F73" s="820">
        <v>60</v>
      </c>
    </row>
    <row r="74" spans="1:6" s="816" customFormat="1" ht="24">
      <c r="A74" s="820">
        <v>14</v>
      </c>
      <c r="B74" s="3414"/>
      <c r="C74" s="756" t="s">
        <v>641</v>
      </c>
      <c r="D74" s="756" t="s">
        <v>642</v>
      </c>
      <c r="E74" s="833">
        <v>0.2</v>
      </c>
      <c r="F74" s="820">
        <v>30</v>
      </c>
    </row>
    <row r="75" spans="1:6" s="816" customFormat="1" ht="24">
      <c r="A75" s="820">
        <v>15</v>
      </c>
      <c r="B75" s="3414"/>
      <c r="C75" s="756" t="s">
        <v>643</v>
      </c>
      <c r="D75" s="756" t="s">
        <v>644</v>
      </c>
      <c r="E75" s="833">
        <v>0.2</v>
      </c>
      <c r="F75" s="820">
        <v>30</v>
      </c>
    </row>
    <row r="76" spans="1:6" s="816" customFormat="1" ht="24">
      <c r="A76" s="820">
        <v>16</v>
      </c>
      <c r="B76" s="3414" t="s">
        <v>645</v>
      </c>
      <c r="C76" s="756" t="s">
        <v>646</v>
      </c>
      <c r="D76" s="756" t="s">
        <v>647</v>
      </c>
      <c r="E76" s="833">
        <v>0.5</v>
      </c>
      <c r="F76" s="820">
        <v>80</v>
      </c>
    </row>
    <row r="77" spans="1:6" s="816" customFormat="1" ht="24">
      <c r="A77" s="820">
        <v>17</v>
      </c>
      <c r="B77" s="3414"/>
      <c r="C77" s="756" t="s">
        <v>648</v>
      </c>
      <c r="D77" s="756" t="s">
        <v>649</v>
      </c>
      <c r="E77" s="833">
        <v>0.5</v>
      </c>
      <c r="F77" s="820">
        <v>80</v>
      </c>
    </row>
    <row r="78" spans="1:6" s="816" customFormat="1" ht="24">
      <c r="A78" s="820">
        <v>18</v>
      </c>
      <c r="B78" s="3414"/>
      <c r="C78" s="756" t="s">
        <v>650</v>
      </c>
      <c r="D78" s="756" t="s">
        <v>651</v>
      </c>
      <c r="E78" s="833">
        <v>0.2</v>
      </c>
      <c r="F78" s="820">
        <v>30</v>
      </c>
    </row>
    <row r="79" spans="1:6" s="816" customFormat="1" ht="24">
      <c r="A79" s="820">
        <v>19</v>
      </c>
      <c r="B79" s="3414"/>
      <c r="C79" s="756" t="s">
        <v>652</v>
      </c>
      <c r="D79" s="756" t="s">
        <v>653</v>
      </c>
      <c r="E79" s="833">
        <v>0.5</v>
      </c>
      <c r="F79" s="820">
        <v>80</v>
      </c>
    </row>
    <row r="80" spans="1:6" s="816" customFormat="1" ht="36">
      <c r="A80" s="820">
        <v>20</v>
      </c>
      <c r="B80" s="3414"/>
      <c r="C80" s="756" t="s">
        <v>654</v>
      </c>
      <c r="D80" s="756" t="s">
        <v>655</v>
      </c>
      <c r="E80" s="833">
        <v>0.2</v>
      </c>
      <c r="F80" s="820">
        <v>30</v>
      </c>
    </row>
    <row r="81" spans="1:6" s="816" customFormat="1" ht="36">
      <c r="A81" s="820">
        <v>21</v>
      </c>
      <c r="B81" s="3414"/>
      <c r="C81" s="756" t="s">
        <v>656</v>
      </c>
      <c r="D81" s="756" t="s">
        <v>657</v>
      </c>
      <c r="E81" s="833">
        <v>0.2</v>
      </c>
      <c r="F81" s="820">
        <v>30</v>
      </c>
    </row>
    <row r="82" spans="1:6" s="816" customFormat="1" ht="48">
      <c r="A82" s="820">
        <v>22</v>
      </c>
      <c r="B82" s="3414"/>
      <c r="C82" s="756" t="s">
        <v>658</v>
      </c>
      <c r="D82" s="756" t="s">
        <v>659</v>
      </c>
      <c r="E82" s="833">
        <v>0.2</v>
      </c>
      <c r="F82" s="820">
        <v>30</v>
      </c>
    </row>
    <row r="83" spans="1:6" s="816" customFormat="1" ht="48">
      <c r="A83" s="820">
        <v>23</v>
      </c>
      <c r="B83" s="3414"/>
      <c r="C83" s="756" t="s">
        <v>660</v>
      </c>
      <c r="D83" s="756" t="s">
        <v>661</v>
      </c>
      <c r="E83" s="833">
        <v>0.2</v>
      </c>
      <c r="F83" s="820">
        <v>30</v>
      </c>
    </row>
    <row r="84" spans="1:6" s="816" customFormat="1" ht="36">
      <c r="A84" s="820">
        <v>24</v>
      </c>
      <c r="B84" s="3414"/>
      <c r="C84" s="756" t="s">
        <v>662</v>
      </c>
      <c r="D84" s="756" t="s">
        <v>663</v>
      </c>
      <c r="E84" s="833">
        <v>0.2</v>
      </c>
      <c r="F84" s="820">
        <v>30</v>
      </c>
    </row>
    <row r="85" spans="1:6" s="816" customFormat="1" ht="36">
      <c r="A85" s="820">
        <v>25</v>
      </c>
      <c r="B85" s="3414"/>
      <c r="C85" s="756" t="s">
        <v>664</v>
      </c>
      <c r="D85" s="756" t="s">
        <v>665</v>
      </c>
      <c r="E85" s="833">
        <v>0.5</v>
      </c>
      <c r="F85" s="820">
        <v>80</v>
      </c>
    </row>
    <row r="86" spans="1:6" s="816" customFormat="1" ht="36">
      <c r="A86" s="820">
        <v>26</v>
      </c>
      <c r="B86" s="3414"/>
      <c r="C86" s="756" t="s">
        <v>666</v>
      </c>
      <c r="D86" s="756" t="s">
        <v>667</v>
      </c>
      <c r="E86" s="833">
        <v>0.2</v>
      </c>
      <c r="F86" s="820">
        <v>30</v>
      </c>
    </row>
    <row r="87" spans="1:6" s="816" customFormat="1" ht="36">
      <c r="A87" s="820">
        <v>27</v>
      </c>
      <c r="B87" s="3414"/>
      <c r="C87" s="756" t="s">
        <v>668</v>
      </c>
      <c r="D87" s="756" t="s">
        <v>669</v>
      </c>
      <c r="E87" s="833">
        <v>0.2</v>
      </c>
      <c r="F87" s="820">
        <v>30</v>
      </c>
    </row>
    <row r="88" spans="1:6" s="816" customFormat="1" ht="36">
      <c r="A88" s="820">
        <v>28</v>
      </c>
      <c r="B88" s="3414"/>
      <c r="C88" s="756" t="s">
        <v>670</v>
      </c>
      <c r="D88" s="756" t="s">
        <v>671</v>
      </c>
      <c r="E88" s="833">
        <v>0.2</v>
      </c>
      <c r="F88" s="820">
        <v>30</v>
      </c>
    </row>
    <row r="89" spans="1:6" s="816" customFormat="1" ht="24">
      <c r="A89" s="820">
        <v>29</v>
      </c>
      <c r="B89" s="3414"/>
      <c r="C89" s="756" t="s">
        <v>672</v>
      </c>
      <c r="D89" s="756" t="s">
        <v>673</v>
      </c>
      <c r="E89" s="833">
        <v>0.2</v>
      </c>
      <c r="F89" s="820">
        <v>30</v>
      </c>
    </row>
    <row r="90" spans="1:6" s="816" customFormat="1" ht="24">
      <c r="A90" s="820">
        <v>30</v>
      </c>
      <c r="B90" s="3414"/>
      <c r="C90" s="756" t="s">
        <v>674</v>
      </c>
      <c r="D90" s="756" t="s">
        <v>675</v>
      </c>
      <c r="E90" s="833">
        <v>0.2</v>
      </c>
      <c r="F90" s="820">
        <v>30</v>
      </c>
    </row>
    <row r="91" spans="1:6" s="816" customFormat="1" ht="36">
      <c r="A91" s="820">
        <v>31</v>
      </c>
      <c r="B91" s="3414"/>
      <c r="C91" s="756" t="s">
        <v>676</v>
      </c>
      <c r="D91" s="756" t="s">
        <v>677</v>
      </c>
      <c r="E91" s="833">
        <v>0.2</v>
      </c>
      <c r="F91" s="820">
        <v>30</v>
      </c>
    </row>
    <row r="92" spans="1:6" s="816" customFormat="1" ht="24">
      <c r="A92" s="820">
        <v>32</v>
      </c>
      <c r="B92" s="3414" t="s">
        <v>678</v>
      </c>
      <c r="C92" s="820" t="s">
        <v>679</v>
      </c>
      <c r="D92" s="756" t="s">
        <v>680</v>
      </c>
      <c r="E92" s="833">
        <v>0.2</v>
      </c>
      <c r="F92" s="820">
        <v>30</v>
      </c>
    </row>
    <row r="93" spans="1:6" s="816" customFormat="1" ht="36">
      <c r="A93" s="820">
        <v>33</v>
      </c>
      <c r="B93" s="3414"/>
      <c r="C93" s="820" t="s">
        <v>681</v>
      </c>
      <c r="D93" s="756" t="s">
        <v>682</v>
      </c>
      <c r="E93" s="833">
        <v>0.2</v>
      </c>
      <c r="F93" s="820">
        <v>30</v>
      </c>
    </row>
    <row r="94" spans="1:6" s="816" customFormat="1" ht="48">
      <c r="A94" s="820">
        <v>34</v>
      </c>
      <c r="B94" s="3414"/>
      <c r="C94" s="820" t="s">
        <v>683</v>
      </c>
      <c r="D94" s="756" t="s">
        <v>684</v>
      </c>
      <c r="E94" s="833">
        <v>0.2</v>
      </c>
      <c r="F94" s="820">
        <v>30</v>
      </c>
    </row>
    <row r="95" spans="1:6" s="816" customFormat="1" ht="36">
      <c r="A95" s="820">
        <v>35</v>
      </c>
      <c r="B95" s="3414"/>
      <c r="C95" s="820" t="s">
        <v>685</v>
      </c>
      <c r="D95" s="756" t="s">
        <v>686</v>
      </c>
      <c r="E95" s="833">
        <v>0.2</v>
      </c>
      <c r="F95" s="820">
        <v>30</v>
      </c>
    </row>
    <row r="96" spans="1:6" s="816" customFormat="1" ht="48">
      <c r="A96" s="820">
        <v>36</v>
      </c>
      <c r="B96" s="3414"/>
      <c r="C96" s="756" t="s">
        <v>687</v>
      </c>
      <c r="D96" s="756" t="s">
        <v>688</v>
      </c>
      <c r="E96" s="833">
        <v>0.2</v>
      </c>
      <c r="F96" s="820">
        <v>30</v>
      </c>
    </row>
    <row r="97" spans="1:6" s="816" customFormat="1" ht="36">
      <c r="A97" s="820">
        <v>37</v>
      </c>
      <c r="B97" s="3414"/>
      <c r="C97" s="820" t="s">
        <v>689</v>
      </c>
      <c r="D97" s="756" t="s">
        <v>690</v>
      </c>
      <c r="E97" s="833">
        <v>0.2</v>
      </c>
      <c r="F97" s="820">
        <v>30</v>
      </c>
    </row>
    <row r="98" spans="1:6" s="816" customFormat="1" ht="36">
      <c r="A98" s="820">
        <v>38</v>
      </c>
      <c r="B98" s="3414"/>
      <c r="C98" s="820" t="s">
        <v>691</v>
      </c>
      <c r="D98" s="756" t="s">
        <v>692</v>
      </c>
      <c r="E98" s="833">
        <v>0.2</v>
      </c>
      <c r="F98" s="820">
        <v>30</v>
      </c>
    </row>
    <row r="99" spans="1:6" s="816" customFormat="1" ht="36">
      <c r="A99" s="820">
        <v>39</v>
      </c>
      <c r="B99" s="3414" t="s">
        <v>693</v>
      </c>
      <c r="C99" s="820" t="s">
        <v>694</v>
      </c>
      <c r="D99" s="756" t="s">
        <v>695</v>
      </c>
      <c r="E99" s="833">
        <v>0.3</v>
      </c>
      <c r="F99" s="820">
        <v>50</v>
      </c>
    </row>
    <row r="100" spans="1:6" s="816" customFormat="1" ht="24">
      <c r="A100" s="820">
        <v>40</v>
      </c>
      <c r="B100" s="3414"/>
      <c r="C100" s="820" t="s">
        <v>696</v>
      </c>
      <c r="D100" s="756" t="s">
        <v>697</v>
      </c>
      <c r="E100" s="833">
        <v>0.2</v>
      </c>
      <c r="F100" s="820">
        <v>30</v>
      </c>
    </row>
    <row r="101" spans="1:6" s="816" customFormat="1" ht="36">
      <c r="A101" s="820">
        <v>41</v>
      </c>
      <c r="B101" s="341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4" t="s">
        <v>708</v>
      </c>
      <c r="C105" s="820" t="s">
        <v>709</v>
      </c>
      <c r="D105" s="756" t="s">
        <v>710</v>
      </c>
      <c r="E105" s="833">
        <v>0.2</v>
      </c>
      <c r="F105" s="820">
        <v>30</v>
      </c>
    </row>
    <row r="106" spans="1:6" s="816" customFormat="1" ht="36">
      <c r="A106" s="820">
        <v>46</v>
      </c>
      <c r="B106" s="3414"/>
      <c r="C106" s="820" t="s">
        <v>711</v>
      </c>
      <c r="D106" s="756" t="s">
        <v>712</v>
      </c>
      <c r="E106" s="833">
        <v>0.2</v>
      </c>
      <c r="F106" s="820">
        <v>30</v>
      </c>
    </row>
    <row r="107" spans="1:6" s="816" customFormat="1" ht="36">
      <c r="A107" s="820">
        <v>47</v>
      </c>
      <c r="B107" s="3414" t="s">
        <v>713</v>
      </c>
      <c r="C107" s="820" t="s">
        <v>714</v>
      </c>
      <c r="D107" s="756" t="s">
        <v>715</v>
      </c>
      <c r="E107" s="833">
        <v>0.3</v>
      </c>
      <c r="F107" s="820">
        <v>50</v>
      </c>
    </row>
    <row r="108" spans="1:6" s="816" customFormat="1" ht="36">
      <c r="A108" s="820">
        <v>48</v>
      </c>
      <c r="B108" s="341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4" t="s">
        <v>724</v>
      </c>
      <c r="C111" s="820" t="s">
        <v>725</v>
      </c>
      <c r="D111" s="756" t="s">
        <v>726</v>
      </c>
      <c r="E111" s="833">
        <v>0.2</v>
      </c>
      <c r="F111" s="820">
        <v>30</v>
      </c>
    </row>
    <row r="112" spans="1:6" s="816" customFormat="1" ht="24">
      <c r="A112" s="820">
        <v>52</v>
      </c>
      <c r="B112" s="3414"/>
      <c r="C112" s="820" t="s">
        <v>727</v>
      </c>
      <c r="D112" s="756" t="s">
        <v>728</v>
      </c>
      <c r="E112" s="833">
        <v>0.2</v>
      </c>
      <c r="F112" s="820">
        <v>30</v>
      </c>
    </row>
    <row r="113" spans="1:6" s="816" customFormat="1" ht="24">
      <c r="A113" s="820">
        <v>53</v>
      </c>
      <c r="B113" s="341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4" t="s">
        <v>737</v>
      </c>
      <c r="C116" s="820" t="s">
        <v>738</v>
      </c>
      <c r="D116" s="756" t="s">
        <v>739</v>
      </c>
      <c r="E116" s="833">
        <v>0.2</v>
      </c>
      <c r="F116" s="820">
        <v>30</v>
      </c>
    </row>
    <row r="117" spans="1:6" ht="36">
      <c r="A117" s="820">
        <v>57</v>
      </c>
      <c r="B117" s="341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874</v>
      </c>
      <c r="C2" s="2359" t="s">
        <v>2815</v>
      </c>
      <c r="D2" s="2359" t="s">
        <v>2816</v>
      </c>
      <c r="E2" s="2836">
        <f ca="1">SUMIF(E6:E13,"&lt;&gt;#ref!",E6:E13)</f>
        <v>440.53</v>
      </c>
      <c r="F2" s="3022"/>
      <c r="G2" s="3022"/>
      <c r="H2" s="3022"/>
      <c r="I2" s="3022"/>
      <c r="J2" s="3022"/>
      <c r="K2" s="3022"/>
      <c r="L2" s="3022"/>
      <c r="M2" s="3022"/>
      <c r="N2" s="3022"/>
      <c r="O2" s="3022"/>
      <c r="P2" s="3022"/>
    </row>
    <row r="3" spans="1:16" ht="15.75">
      <c r="A3" s="2359" t="s">
        <v>2817</v>
      </c>
      <c r="B3" s="2826">
        <f ca="1">ROUND(B2*10000/E2,0)</f>
        <v>19840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874</v>
      </c>
      <c r="C6" s="2359" t="s">
        <v>2815</v>
      </c>
      <c r="D6" s="3022"/>
      <c r="E6" s="2836">
        <f ca="1">SUMIF(INDIRECT("'"&amp;A6&amp;"'"&amp;"!C:C"),"建筑面积",INDIRECT("'"&amp;A6&amp;"'"&amp;"!D:D"))</f>
        <v>440.53</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0" t="s">
        <v>1117</v>
      </c>
      <c r="C1" s="3420"/>
      <c r="D1" s="3420"/>
      <c r="E1" s="3420"/>
      <c r="F1" s="3420"/>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3062</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3061</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3060</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3058</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3057</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2871</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2869</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2868</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2867</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2865</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2863</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2866</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18">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2861</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18"/>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2860</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18"/>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2853</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25"/>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2851</v>
      </c>
      <c r="B20" s="2436">
        <v>439</v>
      </c>
      <c r="C20" s="2436">
        <v>327</v>
      </c>
      <c r="D20" s="2436">
        <f>C20</f>
        <v>327</v>
      </c>
      <c r="E20" s="2436">
        <v>627</v>
      </c>
      <c r="F20" s="2437">
        <v>283</v>
      </c>
      <c r="G20" s="3421">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2852</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18"/>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18"/>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25"/>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21">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18"/>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18"/>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19"/>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17">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18"/>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18"/>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19"/>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17">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18"/>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18"/>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19"/>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22">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23"/>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23"/>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24"/>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17">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18"/>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18"/>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19"/>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17">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18">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18">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19">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17">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18">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18">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19">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17">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18">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18">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19">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17">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18">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18">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19">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17">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18">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18">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19">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17">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18">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18">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19">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17">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18">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18">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19">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17">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18">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18">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19">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17">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18">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18">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19">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17">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18">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18">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19">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6"/>
      <c r="B4" s="3099" t="s">
        <v>1595</v>
      </c>
      <c r="C4" s="3099"/>
      <c r="D4" s="3099"/>
      <c r="E4" s="1676"/>
    </row>
    <row r="5" spans="1:5" ht="16.5" thickTop="1">
      <c r="A5" s="1674"/>
      <c r="B5" s="3097" t="s">
        <v>1587</v>
      </c>
      <c r="C5" s="1677" t="s">
        <v>1588</v>
      </c>
      <c r="D5" s="958">
        <f ca="1">结果表!H101</f>
        <v>164793</v>
      </c>
      <c r="E5" s="1674"/>
    </row>
    <row r="6" spans="1:5" ht="15.75">
      <c r="A6" s="1674"/>
      <c r="B6" s="3097"/>
      <c r="C6" s="1677" t="s">
        <v>1589</v>
      </c>
      <c r="D6" s="958" t="str">
        <f ca="1">NUMBERSTRING(INT(D5*10000),2)&amp;"元整"</f>
        <v>壹拾陆亿肆仟柒佰玖拾叁万元整</v>
      </c>
      <c r="E6" s="1674"/>
    </row>
    <row r="7" spans="1:5" ht="15.75">
      <c r="A7" s="1674"/>
      <c r="B7" s="3102"/>
      <c r="C7" s="1678" t="s">
        <v>1590</v>
      </c>
      <c r="D7" s="959">
        <f ca="1">结果表!H102</f>
        <v>50734</v>
      </c>
      <c r="E7" s="1674"/>
    </row>
    <row r="8" spans="1:5" ht="15.75">
      <c r="A8" s="1674"/>
      <c r="B8" s="3103" t="str">
        <f>结果表!E103</f>
        <v>2.估价师知悉的法定优先受偿款</v>
      </c>
      <c r="C8" s="1679" t="s">
        <v>1591</v>
      </c>
      <c r="D8" s="959">
        <f>结果表!H103</f>
        <v>0</v>
      </c>
      <c r="E8" s="1674"/>
    </row>
    <row r="9" spans="1:5" ht="15.75">
      <c r="A9" s="1674"/>
      <c r="B9" s="3105"/>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96" t="str">
        <f>结果表!E107</f>
        <v>3.房地产抵押价值</v>
      </c>
      <c r="C13" s="1682" t="s">
        <v>1588</v>
      </c>
      <c r="D13" s="961">
        <f ca="1">结果表!H107</f>
        <v>164793</v>
      </c>
      <c r="E13" s="1674"/>
    </row>
    <row r="14" spans="1:5" ht="15.75">
      <c r="A14" s="1674"/>
      <c r="B14" s="3097"/>
      <c r="C14" s="1677" t="s">
        <v>1589</v>
      </c>
      <c r="D14" s="958" t="str">
        <f ca="1">NUMBERSTRING(INT(D13*10000),2)&amp;"元整"</f>
        <v>壹拾陆亿肆仟柒佰玖拾叁万元整</v>
      </c>
      <c r="E14" s="1674"/>
    </row>
    <row r="15" spans="1:5" ht="15">
      <c r="A15" s="1674"/>
      <c r="B15" s="3102"/>
      <c r="C15" s="1678" t="s">
        <v>1599</v>
      </c>
      <c r="D15" s="967">
        <f ca="1">结果表!H108</f>
        <v>50734</v>
      </c>
      <c r="E15" s="1674"/>
    </row>
    <row r="16" spans="1:5" ht="15">
      <c r="A16" s="1674"/>
      <c r="B16" s="3103" t="str">
        <f>结果表!E109</f>
        <v>——</v>
      </c>
      <c r="C16" s="1682" t="s">
        <v>1600</v>
      </c>
      <c r="D16" s="1683" t="str">
        <f>结果表!H109</f>
        <v>——</v>
      </c>
      <c r="E16" s="1674"/>
    </row>
    <row r="17" spans="1:5" ht="15.75">
      <c r="A17" s="1674"/>
      <c r="B17" s="3104"/>
      <c r="C17" s="1677" t="s">
        <v>1601</v>
      </c>
      <c r="D17" s="958" t="e">
        <f>NUMBERSTRING(INT(D16*10000),2)&amp;"元整"</f>
        <v>#VALUE!</v>
      </c>
      <c r="E17" s="1674"/>
    </row>
    <row r="18" spans="1:5" ht="15">
      <c r="A18" s="1674"/>
      <c r="B18" s="3105"/>
      <c r="C18" s="1678" t="s">
        <v>1590</v>
      </c>
      <c r="D18" s="967" t="str">
        <f>结果表!H110</f>
        <v>——</v>
      </c>
      <c r="E18" s="1674"/>
    </row>
    <row r="19" spans="1:5" ht="15.75">
      <c r="A19" s="1674"/>
      <c r="B19" s="3096" t="str">
        <f>结果表!E111</f>
        <v>——</v>
      </c>
      <c r="C19" s="1682" t="s">
        <v>1588</v>
      </c>
      <c r="D19" s="959" t="str">
        <f>结果表!H111</f>
        <v>——</v>
      </c>
      <c r="E19" s="1674"/>
    </row>
    <row r="20" spans="1:5" ht="15.75">
      <c r="A20" s="1674"/>
      <c r="B20" s="3097"/>
      <c r="C20" s="1677" t="s">
        <v>1601</v>
      </c>
      <c r="D20" s="958" t="e">
        <f>NUMBERSTRING(INT(D19*10000),2)&amp;"元整"</f>
        <v>#VALUE!</v>
      </c>
      <c r="E20" s="1674"/>
    </row>
    <row r="21" spans="1:5" ht="15.75" thickBot="1">
      <c r="A21" s="1674"/>
      <c r="B21" s="3098"/>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N1" zoomScale="90" zoomScaleNormal="90" workbookViewId="0">
      <pane ySplit="24" topLeftCell="A25" activePane="bottomLeft" state="frozen"/>
      <selection activeCell="C50" sqref="C50"/>
      <selection pane="bottomLeft" activeCell="V26" sqref="V2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9" style="733"/>
    <col min="21" max="21" width="12.125" style="733" bestFit="1" customWidth="1"/>
    <col min="22" max="45" width="9" style="733"/>
    <col min="46" max="16384" width="9" style="135"/>
  </cols>
  <sheetData>
    <row r="1" spans="1:45" ht="14.25" customHeight="1" thickBot="1">
      <c r="A1" s="151"/>
      <c r="B1" s="1113" t="s">
        <v>2824</v>
      </c>
      <c r="C1" s="3429" t="s">
        <v>2825</v>
      </c>
      <c r="D1" s="3430"/>
      <c r="E1" s="3430"/>
      <c r="F1" s="3430"/>
      <c r="G1" s="3430"/>
      <c r="H1" s="3430"/>
      <c r="I1" s="3430"/>
      <c r="J1" s="3430"/>
      <c r="K1" s="3430"/>
      <c r="L1" s="3430"/>
      <c r="M1" s="3430"/>
      <c r="N1" s="3430"/>
      <c r="O1" s="3430"/>
      <c r="P1" s="3430"/>
      <c r="Q1" s="3430"/>
      <c r="R1" s="3430"/>
      <c r="S1" s="3431"/>
      <c r="T1" s="1113" t="s">
        <v>2826</v>
      </c>
    </row>
    <row r="2" spans="1:45" s="663" customFormat="1" ht="38.25">
      <c r="A2" s="1114"/>
      <c r="B2" s="659" t="s">
        <v>2827</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1500(含)-1800</v>
      </c>
      <c r="I2" s="661" t="str">
        <f t="shared" si="0"/>
        <v>1800(含)-2100</v>
      </c>
      <c r="J2" s="661" t="str">
        <f t="shared" si="0"/>
        <v>2100(含)-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'比较法-办公'!C104</f>
        <v>0</v>
      </c>
      <c r="D3" s="665">
        <f>'比较法-办公'!D104</f>
        <v>300</v>
      </c>
      <c r="E3" s="665">
        <f>'比较法-办公'!E104</f>
        <v>600</v>
      </c>
      <c r="F3" s="665">
        <f>'比较法-办公'!F104</f>
        <v>900</v>
      </c>
      <c r="G3" s="665">
        <f>'比较法-办公'!G104</f>
        <v>1200</v>
      </c>
      <c r="H3" s="665">
        <f>'比较法-办公'!H104</f>
        <v>1500</v>
      </c>
      <c r="I3" s="665">
        <f>'比较法-办公'!I104</f>
        <v>1800</v>
      </c>
      <c r="J3" s="665">
        <f>'比较法-办公'!J104</f>
        <v>2100</v>
      </c>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'比较法-办公'!C105</f>
        <v>98</v>
      </c>
      <c r="D4" s="1119">
        <f>'比较法-办公'!D105</f>
        <v>100</v>
      </c>
      <c r="E4" s="1119">
        <f>'比较法-办公'!E105</f>
        <v>98</v>
      </c>
      <c r="F4" s="1119">
        <f>'比较法-办公'!F105</f>
        <v>96</v>
      </c>
      <c r="G4" s="1119">
        <f>'比较法-办公'!G105</f>
        <v>94</v>
      </c>
      <c r="H4" s="1119">
        <f>'比较法-办公'!H105</f>
        <v>92</v>
      </c>
      <c r="I4" s="1119">
        <f>'比较法-办公'!I105</f>
        <v>90</v>
      </c>
      <c r="J4" s="1119">
        <f>'比较法-办公'!J105</f>
        <v>88</v>
      </c>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3090" t="s">
        <v>3206</v>
      </c>
      <c r="D17" s="3091" t="s">
        <v>3207</v>
      </c>
      <c r="E17" s="3091" t="s">
        <v>3208</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v>100</v>
      </c>
      <c r="D18" s="1152">
        <v>95</v>
      </c>
      <c r="E18" s="1152">
        <v>90</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64" t="s">
        <v>2836</v>
      </c>
      <c r="E19" s="1522"/>
      <c r="F19" s="1522"/>
      <c r="G19" s="1522"/>
      <c r="H19" s="1188"/>
      <c r="I19" s="164"/>
      <c r="J19" s="164"/>
      <c r="K19" s="164"/>
      <c r="L19" s="164"/>
      <c r="M19" s="164"/>
      <c r="N19" s="164"/>
      <c r="O19" s="164"/>
      <c r="P19" s="164"/>
      <c r="Q19" s="164"/>
      <c r="R19" s="726"/>
      <c r="S19" s="134"/>
    </row>
    <row r="20" spans="1:45" ht="16.5" thickBot="1">
      <c r="A20" s="670" t="s">
        <v>2837</v>
      </c>
      <c r="B20" s="300">
        <f ca="1">IF(D20="——",S22,S22-F20)</f>
        <v>164793</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50734</v>
      </c>
      <c r="C21" s="164"/>
      <c r="D21" s="164"/>
      <c r="E21" s="164"/>
      <c r="F21" s="164"/>
      <c r="G21" s="164"/>
      <c r="H21" s="164"/>
      <c r="I21" s="164"/>
      <c r="J21" s="164"/>
      <c r="K21" s="164"/>
      <c r="L21" s="164"/>
      <c r="M21" s="164"/>
      <c r="N21" s="164"/>
      <c r="O21" s="164"/>
      <c r="P21" s="164"/>
      <c r="Q21" s="164"/>
      <c r="R21" s="726"/>
      <c r="S21" s="134"/>
      <c r="U21" s="733">
        <f>B22-B24</f>
        <v>32041.259999999991</v>
      </c>
    </row>
    <row r="22" spans="1:45">
      <c r="A22" s="322" t="s">
        <v>2840</v>
      </c>
      <c r="B22" s="24">
        <f>SUM(B24:B10000)</f>
        <v>32481.78999999999</v>
      </c>
      <c r="C22" s="3426" t="s">
        <v>33</v>
      </c>
      <c r="D22" s="3427"/>
      <c r="E22" s="3427"/>
      <c r="F22" s="3427"/>
      <c r="G22" s="3427"/>
      <c r="H22" s="3427"/>
      <c r="I22" s="3427"/>
      <c r="J22" s="3427"/>
      <c r="K22" s="3427"/>
      <c r="L22" s="3427"/>
      <c r="M22" s="3427"/>
      <c r="N22" s="3427"/>
      <c r="O22" s="3427"/>
      <c r="P22" s="3427"/>
      <c r="Q22" s="3428"/>
      <c r="R22" s="671">
        <f ca="1">ROUND(S22*10000/B22,0)</f>
        <v>50734</v>
      </c>
      <c r="S22" s="24">
        <f ca="1">SUM(S24:S10000)</f>
        <v>164793</v>
      </c>
      <c r="U22" s="733">
        <f ca="1">S22-S24</f>
        <v>162533</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f ca="1">U22/U21</f>
        <v>5.0726157460724091</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Sheet1!E41</f>
        <v>3-2008</v>
      </c>
      <c r="B24" s="673">
        <f>Sheet1!H41</f>
        <v>440.53</v>
      </c>
      <c r="C24" s="3039">
        <v>1</v>
      </c>
      <c r="D24" s="3040"/>
      <c r="E24" s="3039">
        <v>1</v>
      </c>
      <c r="F24" s="3040"/>
      <c r="G24" s="3039">
        <v>1</v>
      </c>
      <c r="H24" s="3040"/>
      <c r="I24" s="3039">
        <v>1</v>
      </c>
      <c r="J24" s="3040"/>
      <c r="K24" s="3039">
        <v>1</v>
      </c>
      <c r="L24" s="3040"/>
      <c r="M24" s="3039">
        <v>1</v>
      </c>
      <c r="N24" s="3040"/>
      <c r="O24" s="3039">
        <v>1</v>
      </c>
      <c r="P24" s="3092" t="s">
        <v>3209</v>
      </c>
      <c r="Q24" s="3039">
        <v>1</v>
      </c>
      <c r="R24" s="676">
        <f ca="1">'结果表-基准'!G20</f>
        <v>51291</v>
      </c>
      <c r="S24" s="674">
        <f t="shared" ref="S24:S54" ca="1" si="11">ROUND(R24*B24/10000,0)</f>
        <v>2260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Sheet1!E3</f>
        <v>3-601</v>
      </c>
      <c r="B25" s="57">
        <f>Sheet1!H3</f>
        <v>683.76</v>
      </c>
      <c r="C25" s="24">
        <f>IF(B25="",1,(LOOKUP(B25,$3:$3,$4:$4)-LOOKUP($B$24,$3:$3,$4:$4)+100)/100)</f>
        <v>0.98</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093" t="s">
        <v>3210</v>
      </c>
      <c r="Q25" s="24">
        <f>(SUMIF($17:$17,P25,$18:$18)-SUMIF($17:$17,$P$24,$18:$18)+100)/100</f>
        <v>0.95</v>
      </c>
      <c r="R25" s="671">
        <f ca="1">IF(B25="",0,ROUND($R$24*C25*E25*G25*I25*K25*M25*O25*Q25,0))</f>
        <v>47752</v>
      </c>
      <c r="S25" s="322">
        <f t="shared" ca="1" si="11"/>
        <v>3265</v>
      </c>
    </row>
    <row r="26" spans="1:45">
      <c r="A26" s="155" t="str">
        <f>Sheet1!E4</f>
        <v>3-602</v>
      </c>
      <c r="B26" s="57">
        <f>Sheet1!H4</f>
        <v>189.28</v>
      </c>
      <c r="C26" s="24">
        <f t="shared" ref="C26:C89" si="12">IF(B26="",1,(LOOKUP(B26,$3:$3,$4:$4)-LOOKUP($B$24,$3:$3,$4:$4)+100)/100)</f>
        <v>0.98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093" t="s">
        <v>3208</v>
      </c>
      <c r="Q26" s="24">
        <f t="shared" ref="Q26:Q89" si="19">(SUMIF($17:$17,P26,$18:$18)-SUMIF($17:$17,$P$24,$18:$18)+100)/100</f>
        <v>0.95</v>
      </c>
      <c r="R26" s="671">
        <f t="shared" ref="R26:R89" ca="1" si="20">IF(B26="",0,ROUND($R$24*C26*E26*G26*I26*K26*M26*O26*Q26,0))</f>
        <v>47752</v>
      </c>
      <c r="S26" s="322">
        <f t="shared" ca="1" si="11"/>
        <v>904</v>
      </c>
    </row>
    <row r="27" spans="1:45">
      <c r="A27" s="155" t="str">
        <f>Sheet1!E5</f>
        <v>3-603</v>
      </c>
      <c r="B27" s="57">
        <f>Sheet1!H5</f>
        <v>189.28</v>
      </c>
      <c r="C27" s="24">
        <f t="shared" si="12"/>
        <v>0.98</v>
      </c>
      <c r="D27" s="675"/>
      <c r="E27" s="24">
        <f t="shared" si="13"/>
        <v>1</v>
      </c>
      <c r="F27" s="675"/>
      <c r="G27" s="24">
        <f t="shared" si="14"/>
        <v>1</v>
      </c>
      <c r="H27" s="675"/>
      <c r="I27" s="24">
        <f t="shared" si="15"/>
        <v>1</v>
      </c>
      <c r="J27" s="675"/>
      <c r="K27" s="24">
        <f t="shared" si="16"/>
        <v>1</v>
      </c>
      <c r="L27" s="675"/>
      <c r="M27" s="24">
        <f t="shared" si="17"/>
        <v>1</v>
      </c>
      <c r="N27" s="675"/>
      <c r="O27" s="24">
        <f t="shared" si="18"/>
        <v>1</v>
      </c>
      <c r="P27" s="3093" t="s">
        <v>3210</v>
      </c>
      <c r="Q27" s="24">
        <f t="shared" si="19"/>
        <v>0.95</v>
      </c>
      <c r="R27" s="671">
        <f t="shared" ca="1" si="20"/>
        <v>47752</v>
      </c>
      <c r="S27" s="322">
        <f t="shared" ca="1" si="11"/>
        <v>904</v>
      </c>
    </row>
    <row r="28" spans="1:45">
      <c r="A28" s="155" t="str">
        <f>Sheet1!E6</f>
        <v>3-605</v>
      </c>
      <c r="B28" s="57">
        <f>Sheet1!H6</f>
        <v>540.91999999999996</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093" t="s">
        <v>3208</v>
      </c>
      <c r="Q28" s="24">
        <f t="shared" si="19"/>
        <v>0.95</v>
      </c>
      <c r="R28" s="671">
        <f t="shared" ca="1" si="20"/>
        <v>48726</v>
      </c>
      <c r="S28" s="322">
        <f t="shared" ca="1" si="11"/>
        <v>2636</v>
      </c>
    </row>
    <row r="29" spans="1:45">
      <c r="A29" s="155" t="str">
        <f>Sheet1!E7</f>
        <v>3-606</v>
      </c>
      <c r="B29" s="57">
        <f>Sheet1!H7</f>
        <v>564.35</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093" t="s">
        <v>3210</v>
      </c>
      <c r="Q29" s="24">
        <f t="shared" si="19"/>
        <v>0.95</v>
      </c>
      <c r="R29" s="671">
        <f t="shared" ca="1" si="20"/>
        <v>48726</v>
      </c>
      <c r="S29" s="322">
        <f t="shared" ca="1" si="11"/>
        <v>2750</v>
      </c>
    </row>
    <row r="30" spans="1:45">
      <c r="A30" s="155" t="str">
        <f>Sheet1!E8</f>
        <v>3-607</v>
      </c>
      <c r="B30" s="57">
        <f>Sheet1!H8</f>
        <v>189.28</v>
      </c>
      <c r="C30" s="24">
        <f t="shared" si="12"/>
        <v>0.98</v>
      </c>
      <c r="D30" s="675"/>
      <c r="E30" s="24">
        <f t="shared" si="13"/>
        <v>1</v>
      </c>
      <c r="F30" s="675"/>
      <c r="G30" s="24">
        <f t="shared" si="14"/>
        <v>1</v>
      </c>
      <c r="H30" s="675"/>
      <c r="I30" s="24">
        <f t="shared" si="15"/>
        <v>1</v>
      </c>
      <c r="J30" s="675"/>
      <c r="K30" s="24">
        <f t="shared" si="16"/>
        <v>1</v>
      </c>
      <c r="L30" s="675"/>
      <c r="M30" s="24">
        <f t="shared" si="17"/>
        <v>1</v>
      </c>
      <c r="N30" s="675"/>
      <c r="O30" s="24">
        <f t="shared" si="18"/>
        <v>1</v>
      </c>
      <c r="P30" s="3093" t="s">
        <v>3208</v>
      </c>
      <c r="Q30" s="24">
        <f t="shared" si="19"/>
        <v>0.95</v>
      </c>
      <c r="R30" s="671">
        <f t="shared" ca="1" si="20"/>
        <v>47752</v>
      </c>
      <c r="S30" s="322">
        <f t="shared" ca="1" si="11"/>
        <v>904</v>
      </c>
    </row>
    <row r="31" spans="1:45">
      <c r="A31" s="155" t="str">
        <f>Sheet1!E9</f>
        <v>3-608</v>
      </c>
      <c r="B31" s="57">
        <f>Sheet1!H9</f>
        <v>440.53</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3093" t="s">
        <v>3210</v>
      </c>
      <c r="Q31" s="24">
        <f t="shared" si="19"/>
        <v>0.95</v>
      </c>
      <c r="R31" s="671">
        <f t="shared" ca="1" si="20"/>
        <v>48726</v>
      </c>
      <c r="S31" s="322">
        <f t="shared" ca="1" si="11"/>
        <v>2147</v>
      </c>
    </row>
    <row r="32" spans="1:45">
      <c r="A32" s="155" t="str">
        <f>Sheet1!E10</f>
        <v>3-609</v>
      </c>
      <c r="B32" s="57">
        <f>Sheet1!H10</f>
        <v>432.37</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3093" t="s">
        <v>3208</v>
      </c>
      <c r="Q32" s="24">
        <f t="shared" si="19"/>
        <v>0.95</v>
      </c>
      <c r="R32" s="671">
        <f t="shared" ca="1" si="20"/>
        <v>48726</v>
      </c>
      <c r="S32" s="322">
        <f t="shared" ca="1" si="11"/>
        <v>2107</v>
      </c>
    </row>
    <row r="33" spans="1:19">
      <c r="A33" s="155" t="str">
        <f>Sheet1!E11</f>
        <v>3-701</v>
      </c>
      <c r="B33" s="57">
        <f>Sheet1!H11</f>
        <v>683.76</v>
      </c>
      <c r="C33" s="24">
        <f t="shared" si="12"/>
        <v>0.98</v>
      </c>
      <c r="D33" s="675"/>
      <c r="E33" s="24">
        <f t="shared" si="13"/>
        <v>1</v>
      </c>
      <c r="F33" s="675"/>
      <c r="G33" s="24">
        <f t="shared" si="14"/>
        <v>1</v>
      </c>
      <c r="H33" s="675"/>
      <c r="I33" s="24">
        <f t="shared" si="15"/>
        <v>1</v>
      </c>
      <c r="J33" s="675"/>
      <c r="K33" s="24">
        <f t="shared" si="16"/>
        <v>1</v>
      </c>
      <c r="L33" s="675"/>
      <c r="M33" s="24">
        <f t="shared" si="17"/>
        <v>1</v>
      </c>
      <c r="N33" s="675"/>
      <c r="O33" s="24">
        <f t="shared" si="18"/>
        <v>1</v>
      </c>
      <c r="P33" s="3093" t="s">
        <v>3210</v>
      </c>
      <c r="Q33" s="24">
        <f t="shared" si="19"/>
        <v>0.95</v>
      </c>
      <c r="R33" s="671">
        <f t="shared" ca="1" si="20"/>
        <v>47752</v>
      </c>
      <c r="S33" s="322">
        <f t="shared" ca="1" si="11"/>
        <v>3265</v>
      </c>
    </row>
    <row r="34" spans="1:19">
      <c r="A34" s="155" t="str">
        <f>Sheet1!E12</f>
        <v>3-702</v>
      </c>
      <c r="B34" s="57">
        <f>Sheet1!H12</f>
        <v>189.28</v>
      </c>
      <c r="C34" s="24">
        <f t="shared" si="12"/>
        <v>0.98</v>
      </c>
      <c r="D34" s="675"/>
      <c r="E34" s="24">
        <f t="shared" si="13"/>
        <v>1</v>
      </c>
      <c r="F34" s="675"/>
      <c r="G34" s="24">
        <f t="shared" si="14"/>
        <v>1</v>
      </c>
      <c r="H34" s="675"/>
      <c r="I34" s="24">
        <f t="shared" si="15"/>
        <v>1</v>
      </c>
      <c r="J34" s="675"/>
      <c r="K34" s="24">
        <f t="shared" si="16"/>
        <v>1</v>
      </c>
      <c r="L34" s="675"/>
      <c r="M34" s="24">
        <f t="shared" si="17"/>
        <v>1</v>
      </c>
      <c r="N34" s="675"/>
      <c r="O34" s="24">
        <f t="shared" si="18"/>
        <v>1</v>
      </c>
      <c r="P34" s="3093" t="s">
        <v>3208</v>
      </c>
      <c r="Q34" s="24">
        <f t="shared" si="19"/>
        <v>0.95</v>
      </c>
      <c r="R34" s="671">
        <f t="shared" ca="1" si="20"/>
        <v>47752</v>
      </c>
      <c r="S34" s="322">
        <f t="shared" ca="1" si="11"/>
        <v>904</v>
      </c>
    </row>
    <row r="35" spans="1:19">
      <c r="A35" s="155" t="str">
        <f>Sheet1!E13</f>
        <v>3-703</v>
      </c>
      <c r="B35" s="57">
        <f>Sheet1!H13</f>
        <v>189.28</v>
      </c>
      <c r="C35" s="24">
        <f t="shared" si="12"/>
        <v>0.98</v>
      </c>
      <c r="D35" s="675"/>
      <c r="E35" s="24">
        <f t="shared" si="13"/>
        <v>1</v>
      </c>
      <c r="F35" s="675"/>
      <c r="G35" s="24">
        <f t="shared" si="14"/>
        <v>1</v>
      </c>
      <c r="H35" s="675"/>
      <c r="I35" s="24">
        <f t="shared" si="15"/>
        <v>1</v>
      </c>
      <c r="J35" s="675"/>
      <c r="K35" s="24">
        <f t="shared" si="16"/>
        <v>1</v>
      </c>
      <c r="L35" s="675"/>
      <c r="M35" s="24">
        <f t="shared" si="17"/>
        <v>1</v>
      </c>
      <c r="N35" s="675"/>
      <c r="O35" s="24">
        <f t="shared" si="18"/>
        <v>1</v>
      </c>
      <c r="P35" s="3093" t="s">
        <v>3210</v>
      </c>
      <c r="Q35" s="24">
        <f t="shared" si="19"/>
        <v>0.95</v>
      </c>
      <c r="R35" s="671">
        <f t="shared" ca="1" si="20"/>
        <v>47752</v>
      </c>
      <c r="S35" s="322">
        <f t="shared" ca="1" si="11"/>
        <v>904</v>
      </c>
    </row>
    <row r="36" spans="1:19">
      <c r="A36" s="155" t="str">
        <f>Sheet1!E14</f>
        <v>3-705</v>
      </c>
      <c r="B36" s="57">
        <f>Sheet1!H14</f>
        <v>540.91999999999996</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093" t="s">
        <v>3208</v>
      </c>
      <c r="Q36" s="24">
        <f t="shared" si="19"/>
        <v>0.95</v>
      </c>
      <c r="R36" s="671">
        <f t="shared" ca="1" si="20"/>
        <v>48726</v>
      </c>
      <c r="S36" s="322">
        <f t="shared" ca="1" si="11"/>
        <v>2636</v>
      </c>
    </row>
    <row r="37" spans="1:19">
      <c r="A37" s="155" t="str">
        <f>Sheet1!E15</f>
        <v>3-706</v>
      </c>
      <c r="B37" s="57">
        <f>Sheet1!H15</f>
        <v>564.35</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093" t="s">
        <v>3210</v>
      </c>
      <c r="Q37" s="24">
        <f t="shared" si="19"/>
        <v>0.95</v>
      </c>
      <c r="R37" s="671">
        <f t="shared" ca="1" si="20"/>
        <v>48726</v>
      </c>
      <c r="S37" s="322">
        <f t="shared" ca="1" si="11"/>
        <v>2750</v>
      </c>
    </row>
    <row r="38" spans="1:19">
      <c r="A38" s="155" t="str">
        <f>Sheet1!E16</f>
        <v>3-707</v>
      </c>
      <c r="B38" s="57">
        <f>Sheet1!H16</f>
        <v>189.28</v>
      </c>
      <c r="C38" s="24">
        <f t="shared" si="12"/>
        <v>0.98</v>
      </c>
      <c r="D38" s="675"/>
      <c r="E38" s="24">
        <f t="shared" si="13"/>
        <v>1</v>
      </c>
      <c r="F38" s="675"/>
      <c r="G38" s="24">
        <f t="shared" si="14"/>
        <v>1</v>
      </c>
      <c r="H38" s="675"/>
      <c r="I38" s="24">
        <f t="shared" si="15"/>
        <v>1</v>
      </c>
      <c r="J38" s="675"/>
      <c r="K38" s="24">
        <f t="shared" si="16"/>
        <v>1</v>
      </c>
      <c r="L38" s="675"/>
      <c r="M38" s="24">
        <f t="shared" si="17"/>
        <v>1</v>
      </c>
      <c r="N38" s="675"/>
      <c r="O38" s="24">
        <f t="shared" si="18"/>
        <v>1</v>
      </c>
      <c r="P38" s="3093" t="s">
        <v>3208</v>
      </c>
      <c r="Q38" s="24">
        <f t="shared" si="19"/>
        <v>0.95</v>
      </c>
      <c r="R38" s="671">
        <f t="shared" ca="1" si="20"/>
        <v>47752</v>
      </c>
      <c r="S38" s="322">
        <f t="shared" ca="1" si="11"/>
        <v>904</v>
      </c>
    </row>
    <row r="39" spans="1:19">
      <c r="A39" s="155" t="str">
        <f>Sheet1!E17</f>
        <v>3-708</v>
      </c>
      <c r="B39" s="57">
        <f>Sheet1!H17</f>
        <v>440.53</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3093" t="s">
        <v>3210</v>
      </c>
      <c r="Q39" s="24">
        <f t="shared" si="19"/>
        <v>0.95</v>
      </c>
      <c r="R39" s="671">
        <f t="shared" ca="1" si="20"/>
        <v>48726</v>
      </c>
      <c r="S39" s="322">
        <f t="shared" ca="1" si="11"/>
        <v>2147</v>
      </c>
    </row>
    <row r="40" spans="1:19">
      <c r="A40" s="155" t="str">
        <f>Sheet1!E18</f>
        <v>3-709</v>
      </c>
      <c r="B40" s="57">
        <f>Sheet1!H18</f>
        <v>432.37</v>
      </c>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093" t="s">
        <v>3208</v>
      </c>
      <c r="Q40" s="24">
        <f t="shared" si="19"/>
        <v>0.95</v>
      </c>
      <c r="R40" s="671">
        <f t="shared" ca="1" si="20"/>
        <v>48726</v>
      </c>
      <c r="S40" s="322">
        <f t="shared" ca="1" si="11"/>
        <v>2107</v>
      </c>
    </row>
    <row r="41" spans="1:19">
      <c r="A41" s="155" t="str">
        <f>Sheet1!E19</f>
        <v>3-1001</v>
      </c>
      <c r="B41" s="57">
        <f>Sheet1!H19</f>
        <v>683.76</v>
      </c>
      <c r="C41" s="24">
        <f t="shared" si="12"/>
        <v>0.98</v>
      </c>
      <c r="D41" s="675"/>
      <c r="E41" s="24">
        <f t="shared" si="13"/>
        <v>1</v>
      </c>
      <c r="F41" s="675"/>
      <c r="G41" s="24">
        <f t="shared" si="14"/>
        <v>1</v>
      </c>
      <c r="H41" s="675"/>
      <c r="I41" s="24">
        <f t="shared" si="15"/>
        <v>1</v>
      </c>
      <c r="J41" s="675"/>
      <c r="K41" s="24">
        <f t="shared" si="16"/>
        <v>1</v>
      </c>
      <c r="L41" s="675"/>
      <c r="M41" s="24">
        <f t="shared" si="17"/>
        <v>1</v>
      </c>
      <c r="N41" s="675"/>
      <c r="O41" s="24">
        <f t="shared" si="18"/>
        <v>1</v>
      </c>
      <c r="P41" s="3093" t="s">
        <v>3210</v>
      </c>
      <c r="Q41" s="24">
        <f t="shared" si="19"/>
        <v>0.95</v>
      </c>
      <c r="R41" s="671">
        <f t="shared" ca="1" si="20"/>
        <v>47752</v>
      </c>
      <c r="S41" s="322">
        <f t="shared" ca="1" si="11"/>
        <v>3265</v>
      </c>
    </row>
    <row r="42" spans="1:19">
      <c r="A42" s="155" t="str">
        <f>Sheet1!E20</f>
        <v>3-1002</v>
      </c>
      <c r="B42" s="57">
        <f>Sheet1!H20</f>
        <v>189.28</v>
      </c>
      <c r="C42" s="24">
        <f t="shared" si="12"/>
        <v>0.98</v>
      </c>
      <c r="D42" s="675"/>
      <c r="E42" s="24">
        <f t="shared" si="13"/>
        <v>1</v>
      </c>
      <c r="F42" s="675"/>
      <c r="G42" s="24">
        <f t="shared" si="14"/>
        <v>1</v>
      </c>
      <c r="H42" s="675"/>
      <c r="I42" s="24">
        <f t="shared" si="15"/>
        <v>1</v>
      </c>
      <c r="J42" s="675"/>
      <c r="K42" s="24">
        <f t="shared" si="16"/>
        <v>1</v>
      </c>
      <c r="L42" s="675"/>
      <c r="M42" s="24">
        <f t="shared" si="17"/>
        <v>1</v>
      </c>
      <c r="N42" s="675"/>
      <c r="O42" s="24">
        <f t="shared" si="18"/>
        <v>1</v>
      </c>
      <c r="P42" s="3093" t="s">
        <v>3208</v>
      </c>
      <c r="Q42" s="24">
        <f t="shared" si="19"/>
        <v>0.95</v>
      </c>
      <c r="R42" s="671">
        <f t="shared" ca="1" si="20"/>
        <v>47752</v>
      </c>
      <c r="S42" s="322">
        <f t="shared" ca="1" si="11"/>
        <v>904</v>
      </c>
    </row>
    <row r="43" spans="1:19">
      <c r="A43" s="155" t="str">
        <f>Sheet1!E21</f>
        <v>3-1003</v>
      </c>
      <c r="B43" s="57">
        <f>Sheet1!H21</f>
        <v>189.28</v>
      </c>
      <c r="C43" s="24">
        <f t="shared" si="12"/>
        <v>0.98</v>
      </c>
      <c r="D43" s="675"/>
      <c r="E43" s="24">
        <f t="shared" si="13"/>
        <v>1</v>
      </c>
      <c r="F43" s="675"/>
      <c r="G43" s="24">
        <f t="shared" si="14"/>
        <v>1</v>
      </c>
      <c r="H43" s="675"/>
      <c r="I43" s="24">
        <f t="shared" si="15"/>
        <v>1</v>
      </c>
      <c r="J43" s="675"/>
      <c r="K43" s="24">
        <f t="shared" si="16"/>
        <v>1</v>
      </c>
      <c r="L43" s="675"/>
      <c r="M43" s="24">
        <f t="shared" si="17"/>
        <v>1</v>
      </c>
      <c r="N43" s="675"/>
      <c r="O43" s="24">
        <f t="shared" si="18"/>
        <v>1</v>
      </c>
      <c r="P43" s="3093" t="s">
        <v>3210</v>
      </c>
      <c r="Q43" s="24">
        <f t="shared" si="19"/>
        <v>0.95</v>
      </c>
      <c r="R43" s="671">
        <f t="shared" ca="1" si="20"/>
        <v>47752</v>
      </c>
      <c r="S43" s="322">
        <f t="shared" ca="1" si="11"/>
        <v>904</v>
      </c>
    </row>
    <row r="44" spans="1:19">
      <c r="A44" s="155" t="str">
        <f>Sheet1!E22</f>
        <v>3-1005</v>
      </c>
      <c r="B44" s="57">
        <f>Sheet1!H22</f>
        <v>540.91999999999996</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093" t="s">
        <v>3208</v>
      </c>
      <c r="Q44" s="24">
        <f t="shared" si="19"/>
        <v>0.95</v>
      </c>
      <c r="R44" s="671">
        <f t="shared" ca="1" si="20"/>
        <v>48726</v>
      </c>
      <c r="S44" s="322">
        <f t="shared" ca="1" si="11"/>
        <v>2636</v>
      </c>
    </row>
    <row r="45" spans="1:19">
      <c r="A45" s="155" t="str">
        <f>Sheet1!E23</f>
        <v>3-1006</v>
      </c>
      <c r="B45" s="57">
        <f>Sheet1!H23</f>
        <v>564.35</v>
      </c>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3093" t="s">
        <v>3210</v>
      </c>
      <c r="Q45" s="24">
        <f t="shared" si="19"/>
        <v>0.95</v>
      </c>
      <c r="R45" s="671">
        <f t="shared" ca="1" si="20"/>
        <v>48726</v>
      </c>
      <c r="S45" s="322">
        <f t="shared" ca="1" si="11"/>
        <v>2750</v>
      </c>
    </row>
    <row r="46" spans="1:19">
      <c r="A46" s="155" t="str">
        <f>Sheet1!E24</f>
        <v>3-1007</v>
      </c>
      <c r="B46" s="57">
        <f>Sheet1!H24</f>
        <v>189.28</v>
      </c>
      <c r="C46" s="24">
        <f t="shared" si="12"/>
        <v>0.98</v>
      </c>
      <c r="D46" s="675"/>
      <c r="E46" s="24">
        <f t="shared" si="13"/>
        <v>1</v>
      </c>
      <c r="F46" s="675"/>
      <c r="G46" s="24">
        <f t="shared" si="14"/>
        <v>1</v>
      </c>
      <c r="H46" s="675"/>
      <c r="I46" s="24">
        <f t="shared" si="15"/>
        <v>1</v>
      </c>
      <c r="J46" s="675"/>
      <c r="K46" s="24">
        <f t="shared" si="16"/>
        <v>1</v>
      </c>
      <c r="L46" s="675"/>
      <c r="M46" s="24">
        <f t="shared" si="17"/>
        <v>1</v>
      </c>
      <c r="N46" s="675"/>
      <c r="O46" s="24">
        <f t="shared" si="18"/>
        <v>1</v>
      </c>
      <c r="P46" s="3093" t="s">
        <v>3208</v>
      </c>
      <c r="Q46" s="24">
        <f t="shared" si="19"/>
        <v>0.95</v>
      </c>
      <c r="R46" s="671">
        <f t="shared" ca="1" si="20"/>
        <v>47752</v>
      </c>
      <c r="S46" s="322">
        <f t="shared" ca="1" si="11"/>
        <v>904</v>
      </c>
    </row>
    <row r="47" spans="1:19">
      <c r="A47" s="155" t="str">
        <f>Sheet1!E25</f>
        <v>3-1008</v>
      </c>
      <c r="B47" s="57">
        <f>Sheet1!H25</f>
        <v>440.53</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3093" t="s">
        <v>3210</v>
      </c>
      <c r="Q47" s="24">
        <f t="shared" si="19"/>
        <v>0.95</v>
      </c>
      <c r="R47" s="671">
        <f t="shared" ca="1" si="20"/>
        <v>48726</v>
      </c>
      <c r="S47" s="322">
        <f t="shared" ca="1" si="11"/>
        <v>2147</v>
      </c>
    </row>
    <row r="48" spans="1:19">
      <c r="A48" s="155" t="str">
        <f>Sheet1!E26</f>
        <v>3-1009</v>
      </c>
      <c r="B48" s="57">
        <f>Sheet1!H26</f>
        <v>432.37</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3093" t="s">
        <v>3208</v>
      </c>
      <c r="Q48" s="24">
        <f t="shared" si="19"/>
        <v>0.95</v>
      </c>
      <c r="R48" s="671">
        <f t="shared" ca="1" si="20"/>
        <v>48726</v>
      </c>
      <c r="S48" s="322">
        <f t="shared" ca="1" si="11"/>
        <v>2107</v>
      </c>
    </row>
    <row r="49" spans="1:19">
      <c r="A49" s="155" t="str">
        <f>Sheet1!E27</f>
        <v>3-1101</v>
      </c>
      <c r="B49" s="57">
        <f>Sheet1!H27</f>
        <v>683.76</v>
      </c>
      <c r="C49" s="24">
        <f t="shared" si="12"/>
        <v>0.98</v>
      </c>
      <c r="D49" s="675"/>
      <c r="E49" s="24">
        <f t="shared" si="13"/>
        <v>1</v>
      </c>
      <c r="F49" s="675"/>
      <c r="G49" s="24">
        <f t="shared" si="14"/>
        <v>1</v>
      </c>
      <c r="H49" s="675"/>
      <c r="I49" s="24">
        <f t="shared" si="15"/>
        <v>1</v>
      </c>
      <c r="J49" s="675"/>
      <c r="K49" s="24">
        <f t="shared" si="16"/>
        <v>1</v>
      </c>
      <c r="L49" s="675"/>
      <c r="M49" s="24">
        <f t="shared" si="17"/>
        <v>1</v>
      </c>
      <c r="N49" s="675"/>
      <c r="O49" s="24">
        <f t="shared" si="18"/>
        <v>1</v>
      </c>
      <c r="P49" s="3093" t="s">
        <v>3210</v>
      </c>
      <c r="Q49" s="24">
        <f t="shared" si="19"/>
        <v>0.95</v>
      </c>
      <c r="R49" s="671">
        <f t="shared" ca="1" si="20"/>
        <v>47752</v>
      </c>
      <c r="S49" s="322">
        <f t="shared" ca="1" si="11"/>
        <v>3265</v>
      </c>
    </row>
    <row r="50" spans="1:19">
      <c r="A50" s="155" t="str">
        <f>Sheet1!E28</f>
        <v>3-1102</v>
      </c>
      <c r="B50" s="57">
        <f>Sheet1!H28</f>
        <v>189.28</v>
      </c>
      <c r="C50" s="24">
        <f t="shared" si="12"/>
        <v>0.98</v>
      </c>
      <c r="D50" s="675"/>
      <c r="E50" s="24">
        <f t="shared" si="13"/>
        <v>1</v>
      </c>
      <c r="F50" s="675"/>
      <c r="G50" s="24">
        <f t="shared" si="14"/>
        <v>1</v>
      </c>
      <c r="H50" s="675"/>
      <c r="I50" s="24">
        <f t="shared" si="15"/>
        <v>1</v>
      </c>
      <c r="J50" s="675"/>
      <c r="K50" s="24">
        <f t="shared" si="16"/>
        <v>1</v>
      </c>
      <c r="L50" s="675"/>
      <c r="M50" s="24">
        <f t="shared" si="17"/>
        <v>1</v>
      </c>
      <c r="N50" s="675"/>
      <c r="O50" s="24">
        <f t="shared" si="18"/>
        <v>1</v>
      </c>
      <c r="P50" s="3093" t="s">
        <v>3208</v>
      </c>
      <c r="Q50" s="24">
        <f t="shared" si="19"/>
        <v>0.95</v>
      </c>
      <c r="R50" s="671">
        <f t="shared" ca="1" si="20"/>
        <v>47752</v>
      </c>
      <c r="S50" s="322">
        <f t="shared" ca="1" si="11"/>
        <v>904</v>
      </c>
    </row>
    <row r="51" spans="1:19">
      <c r="A51" s="155" t="str">
        <f>Sheet1!E29</f>
        <v>3-1103</v>
      </c>
      <c r="B51" s="57">
        <f>Sheet1!H29</f>
        <v>189.28</v>
      </c>
      <c r="C51" s="24">
        <f t="shared" si="12"/>
        <v>0.98</v>
      </c>
      <c r="D51" s="675"/>
      <c r="E51" s="24">
        <f t="shared" si="13"/>
        <v>1</v>
      </c>
      <c r="F51" s="675"/>
      <c r="G51" s="24">
        <f t="shared" si="14"/>
        <v>1</v>
      </c>
      <c r="H51" s="675"/>
      <c r="I51" s="24">
        <f t="shared" si="15"/>
        <v>1</v>
      </c>
      <c r="J51" s="675"/>
      <c r="K51" s="24">
        <f t="shared" si="16"/>
        <v>1</v>
      </c>
      <c r="L51" s="675"/>
      <c r="M51" s="24">
        <f t="shared" si="17"/>
        <v>1</v>
      </c>
      <c r="N51" s="675"/>
      <c r="O51" s="24">
        <f t="shared" si="18"/>
        <v>1</v>
      </c>
      <c r="P51" s="3093" t="s">
        <v>3210</v>
      </c>
      <c r="Q51" s="24">
        <f t="shared" si="19"/>
        <v>0.95</v>
      </c>
      <c r="R51" s="671">
        <f t="shared" ca="1" si="20"/>
        <v>47752</v>
      </c>
      <c r="S51" s="322">
        <f t="shared" ca="1" si="11"/>
        <v>904</v>
      </c>
    </row>
    <row r="52" spans="1:19">
      <c r="A52" s="155" t="str">
        <f>Sheet1!E30</f>
        <v>3-1105</v>
      </c>
      <c r="B52" s="57">
        <f>Sheet1!H30</f>
        <v>540.91999999999996</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3093" t="s">
        <v>3208</v>
      </c>
      <c r="Q52" s="24">
        <f t="shared" si="19"/>
        <v>0.95</v>
      </c>
      <c r="R52" s="671">
        <f t="shared" ca="1" si="20"/>
        <v>48726</v>
      </c>
      <c r="S52" s="322">
        <f t="shared" ca="1" si="11"/>
        <v>2636</v>
      </c>
    </row>
    <row r="53" spans="1:19">
      <c r="A53" s="155" t="str">
        <f>Sheet1!E31</f>
        <v>3-1106</v>
      </c>
      <c r="B53" s="57">
        <f>Sheet1!H31</f>
        <v>564.35</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3093" t="s">
        <v>3210</v>
      </c>
      <c r="Q53" s="24">
        <f t="shared" si="19"/>
        <v>0.95</v>
      </c>
      <c r="R53" s="671">
        <f t="shared" ca="1" si="20"/>
        <v>48726</v>
      </c>
      <c r="S53" s="322">
        <f t="shared" ca="1" si="11"/>
        <v>2750</v>
      </c>
    </row>
    <row r="54" spans="1:19">
      <c r="A54" s="155" t="str">
        <f>Sheet1!E32</f>
        <v>3-1107</v>
      </c>
      <c r="B54" s="57">
        <f>Sheet1!H32</f>
        <v>189.28</v>
      </c>
      <c r="C54" s="24">
        <f t="shared" si="12"/>
        <v>0.98</v>
      </c>
      <c r="D54" s="675"/>
      <c r="E54" s="24">
        <f t="shared" si="13"/>
        <v>1</v>
      </c>
      <c r="F54" s="675"/>
      <c r="G54" s="24">
        <f t="shared" si="14"/>
        <v>1</v>
      </c>
      <c r="H54" s="675"/>
      <c r="I54" s="24">
        <f t="shared" si="15"/>
        <v>1</v>
      </c>
      <c r="J54" s="675"/>
      <c r="K54" s="24">
        <f t="shared" si="16"/>
        <v>1</v>
      </c>
      <c r="L54" s="675"/>
      <c r="M54" s="24">
        <f t="shared" si="17"/>
        <v>1</v>
      </c>
      <c r="N54" s="675"/>
      <c r="O54" s="24">
        <f t="shared" si="18"/>
        <v>1</v>
      </c>
      <c r="P54" s="3093" t="s">
        <v>3208</v>
      </c>
      <c r="Q54" s="24">
        <f t="shared" si="19"/>
        <v>0.95</v>
      </c>
      <c r="R54" s="671">
        <f t="shared" ca="1" si="20"/>
        <v>47752</v>
      </c>
      <c r="S54" s="322">
        <f t="shared" ca="1" si="11"/>
        <v>904</v>
      </c>
    </row>
    <row r="55" spans="1:19">
      <c r="A55" s="155" t="str">
        <f>Sheet1!E33</f>
        <v>3-1108</v>
      </c>
      <c r="B55" s="57">
        <f>Sheet1!H33</f>
        <v>440.53</v>
      </c>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3093" t="s">
        <v>3210</v>
      </c>
      <c r="Q55" s="24">
        <f t="shared" si="19"/>
        <v>0.95</v>
      </c>
      <c r="R55" s="671">
        <f t="shared" ca="1" si="20"/>
        <v>48726</v>
      </c>
      <c r="S55" s="322">
        <f t="shared" ref="S55:S77" ca="1" si="21">ROUND(R55*B55/10000,0)</f>
        <v>2147</v>
      </c>
    </row>
    <row r="56" spans="1:19">
      <c r="A56" s="155" t="str">
        <f>Sheet1!E34</f>
        <v>3-1109</v>
      </c>
      <c r="B56" s="57">
        <f>Sheet1!H34</f>
        <v>432.37</v>
      </c>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3093" t="s">
        <v>3208</v>
      </c>
      <c r="Q56" s="24">
        <f t="shared" si="19"/>
        <v>0.95</v>
      </c>
      <c r="R56" s="671">
        <f t="shared" ca="1" si="20"/>
        <v>48726</v>
      </c>
      <c r="S56" s="322">
        <f t="shared" ca="1" si="21"/>
        <v>2107</v>
      </c>
    </row>
    <row r="57" spans="1:19">
      <c r="A57" s="155" t="str">
        <f>Sheet1!E35</f>
        <v>3-2001</v>
      </c>
      <c r="B57" s="57">
        <f>Sheet1!H35</f>
        <v>683.76</v>
      </c>
      <c r="C57" s="24">
        <f t="shared" si="12"/>
        <v>0.98</v>
      </c>
      <c r="D57" s="675"/>
      <c r="E57" s="24">
        <f t="shared" si="13"/>
        <v>1</v>
      </c>
      <c r="F57" s="675"/>
      <c r="G57" s="24">
        <f t="shared" si="14"/>
        <v>1</v>
      </c>
      <c r="H57" s="675"/>
      <c r="I57" s="24">
        <f t="shared" si="15"/>
        <v>1</v>
      </c>
      <c r="J57" s="675"/>
      <c r="K57" s="24">
        <f t="shared" si="16"/>
        <v>1</v>
      </c>
      <c r="L57" s="675"/>
      <c r="M57" s="24">
        <f t="shared" si="17"/>
        <v>1</v>
      </c>
      <c r="N57" s="675"/>
      <c r="O57" s="24">
        <f t="shared" si="18"/>
        <v>1</v>
      </c>
      <c r="P57" s="3093" t="s">
        <v>3207</v>
      </c>
      <c r="Q57" s="24">
        <f t="shared" si="19"/>
        <v>1</v>
      </c>
      <c r="R57" s="671">
        <f t="shared" ca="1" si="20"/>
        <v>50265</v>
      </c>
      <c r="S57" s="322">
        <f t="shared" ca="1" si="21"/>
        <v>3437</v>
      </c>
    </row>
    <row r="58" spans="1:19">
      <c r="A58" s="155" t="str">
        <f>Sheet1!E36</f>
        <v>3-2002</v>
      </c>
      <c r="B58" s="57">
        <f>Sheet1!H36</f>
        <v>189.28</v>
      </c>
      <c r="C58" s="24">
        <f t="shared" si="12"/>
        <v>0.98</v>
      </c>
      <c r="D58" s="675"/>
      <c r="E58" s="24">
        <f t="shared" si="13"/>
        <v>1</v>
      </c>
      <c r="F58" s="675"/>
      <c r="G58" s="24">
        <f t="shared" si="14"/>
        <v>1</v>
      </c>
      <c r="H58" s="675"/>
      <c r="I58" s="24">
        <f t="shared" si="15"/>
        <v>1</v>
      </c>
      <c r="J58" s="675"/>
      <c r="K58" s="24">
        <f t="shared" si="16"/>
        <v>1</v>
      </c>
      <c r="L58" s="675"/>
      <c r="M58" s="24">
        <f t="shared" si="17"/>
        <v>1</v>
      </c>
      <c r="N58" s="675"/>
      <c r="O58" s="24">
        <f t="shared" si="18"/>
        <v>1</v>
      </c>
      <c r="P58" s="3093" t="s">
        <v>3207</v>
      </c>
      <c r="Q58" s="24">
        <f t="shared" si="19"/>
        <v>1</v>
      </c>
      <c r="R58" s="671">
        <f t="shared" ca="1" si="20"/>
        <v>50265</v>
      </c>
      <c r="S58" s="322">
        <f t="shared" ca="1" si="21"/>
        <v>951</v>
      </c>
    </row>
    <row r="59" spans="1:19">
      <c r="A59" s="155" t="str">
        <f>Sheet1!E37</f>
        <v>3-2003</v>
      </c>
      <c r="B59" s="57">
        <f>Sheet1!H37</f>
        <v>189.28</v>
      </c>
      <c r="C59" s="24">
        <f t="shared" si="12"/>
        <v>0.98</v>
      </c>
      <c r="D59" s="675"/>
      <c r="E59" s="24">
        <f t="shared" si="13"/>
        <v>1</v>
      </c>
      <c r="F59" s="675"/>
      <c r="G59" s="24">
        <f t="shared" si="14"/>
        <v>1</v>
      </c>
      <c r="H59" s="675"/>
      <c r="I59" s="24">
        <f t="shared" si="15"/>
        <v>1</v>
      </c>
      <c r="J59" s="675"/>
      <c r="K59" s="24">
        <f t="shared" si="16"/>
        <v>1</v>
      </c>
      <c r="L59" s="675"/>
      <c r="M59" s="24">
        <f t="shared" si="17"/>
        <v>1</v>
      </c>
      <c r="N59" s="675"/>
      <c r="O59" s="24">
        <f t="shared" si="18"/>
        <v>1</v>
      </c>
      <c r="P59" s="3093" t="s">
        <v>3207</v>
      </c>
      <c r="Q59" s="24">
        <f t="shared" si="19"/>
        <v>1</v>
      </c>
      <c r="R59" s="671">
        <f t="shared" ca="1" si="20"/>
        <v>50265</v>
      </c>
      <c r="S59" s="322">
        <f t="shared" ca="1" si="21"/>
        <v>951</v>
      </c>
    </row>
    <row r="60" spans="1:19">
      <c r="A60" s="155" t="str">
        <f>Sheet1!E38</f>
        <v>3-2005</v>
      </c>
      <c r="B60" s="57">
        <f>Sheet1!H38</f>
        <v>534.33000000000004</v>
      </c>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3093" t="s">
        <v>3207</v>
      </c>
      <c r="Q60" s="24">
        <f t="shared" si="19"/>
        <v>1</v>
      </c>
      <c r="R60" s="671">
        <f t="shared" ca="1" si="20"/>
        <v>51291</v>
      </c>
      <c r="S60" s="322">
        <f t="shared" ca="1" si="21"/>
        <v>2741</v>
      </c>
    </row>
    <row r="61" spans="1:19">
      <c r="A61" s="155" t="str">
        <f>Sheet1!E39</f>
        <v>3-2006</v>
      </c>
      <c r="B61" s="57">
        <f>Sheet1!H39</f>
        <v>540.91999999999996</v>
      </c>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3093" t="s">
        <v>3207</v>
      </c>
      <c r="Q61" s="24">
        <f t="shared" si="19"/>
        <v>1</v>
      </c>
      <c r="R61" s="671">
        <f t="shared" ca="1" si="20"/>
        <v>51291</v>
      </c>
      <c r="S61" s="322">
        <f t="shared" ca="1" si="21"/>
        <v>2774</v>
      </c>
    </row>
    <row r="62" spans="1:19">
      <c r="A62" s="155" t="str">
        <f>Sheet1!E40</f>
        <v>3-2007</v>
      </c>
      <c r="B62" s="57">
        <f>Sheet1!H40</f>
        <v>189.28</v>
      </c>
      <c r="C62" s="24">
        <f t="shared" si="12"/>
        <v>0.98</v>
      </c>
      <c r="D62" s="675"/>
      <c r="E62" s="24">
        <f t="shared" si="13"/>
        <v>1</v>
      </c>
      <c r="F62" s="675"/>
      <c r="G62" s="24">
        <f t="shared" si="14"/>
        <v>1</v>
      </c>
      <c r="H62" s="675"/>
      <c r="I62" s="24">
        <f t="shared" si="15"/>
        <v>1</v>
      </c>
      <c r="J62" s="675"/>
      <c r="K62" s="24">
        <f t="shared" si="16"/>
        <v>1</v>
      </c>
      <c r="L62" s="675"/>
      <c r="M62" s="24">
        <f t="shared" si="17"/>
        <v>1</v>
      </c>
      <c r="N62" s="675"/>
      <c r="O62" s="24">
        <f t="shared" si="18"/>
        <v>1</v>
      </c>
      <c r="P62" s="3093" t="s">
        <v>3207</v>
      </c>
      <c r="Q62" s="24">
        <f t="shared" si="19"/>
        <v>1</v>
      </c>
      <c r="R62" s="671">
        <f t="shared" ca="1" si="20"/>
        <v>50265</v>
      </c>
      <c r="S62" s="322">
        <f t="shared" ca="1" si="21"/>
        <v>951</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3093" t="s">
        <v>3207</v>
      </c>
      <c r="Q63" s="24">
        <f t="shared" si="19"/>
        <v>1</v>
      </c>
      <c r="R63" s="671">
        <f t="shared" si="20"/>
        <v>0</v>
      </c>
      <c r="S63" s="322">
        <f t="shared" si="21"/>
        <v>0</v>
      </c>
    </row>
    <row r="64" spans="1:19">
      <c r="A64" s="155" t="str">
        <f>Sheet1!E42</f>
        <v>3-2009</v>
      </c>
      <c r="B64" s="57">
        <f>Sheet1!H42</f>
        <v>432.37</v>
      </c>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3093" t="s">
        <v>3207</v>
      </c>
      <c r="Q64" s="24">
        <f t="shared" si="19"/>
        <v>1</v>
      </c>
      <c r="R64" s="671">
        <f t="shared" ca="1" si="20"/>
        <v>51291</v>
      </c>
      <c r="S64" s="322">
        <f t="shared" ca="1" si="21"/>
        <v>2218</v>
      </c>
    </row>
    <row r="65" spans="1:19">
      <c r="A65" s="155" t="str">
        <f>Sheet1!E43</f>
        <v>3-2301</v>
      </c>
      <c r="B65" s="57">
        <f>Sheet1!H43</f>
        <v>627.70000000000005</v>
      </c>
      <c r="C65" s="24">
        <f t="shared" si="12"/>
        <v>0.98</v>
      </c>
      <c r="D65" s="675"/>
      <c r="E65" s="24">
        <f t="shared" si="13"/>
        <v>1</v>
      </c>
      <c r="F65" s="675"/>
      <c r="G65" s="24">
        <f t="shared" si="14"/>
        <v>1</v>
      </c>
      <c r="H65" s="675"/>
      <c r="I65" s="24">
        <f t="shared" si="15"/>
        <v>1</v>
      </c>
      <c r="J65" s="675"/>
      <c r="K65" s="24">
        <f t="shared" si="16"/>
        <v>1</v>
      </c>
      <c r="L65" s="675"/>
      <c r="M65" s="24">
        <f t="shared" si="17"/>
        <v>1</v>
      </c>
      <c r="N65" s="675"/>
      <c r="O65" s="24">
        <f t="shared" si="18"/>
        <v>1</v>
      </c>
      <c r="P65" s="3093" t="s">
        <v>3207</v>
      </c>
      <c r="Q65" s="24">
        <f t="shared" si="19"/>
        <v>1</v>
      </c>
      <c r="R65" s="671">
        <f t="shared" ca="1" si="20"/>
        <v>50265</v>
      </c>
      <c r="S65" s="322">
        <f t="shared" ca="1" si="21"/>
        <v>3155</v>
      </c>
    </row>
    <row r="66" spans="1:19">
      <c r="A66" s="155" t="str">
        <f>Sheet1!E44</f>
        <v>3-2302</v>
      </c>
      <c r="B66" s="57">
        <f>Sheet1!H44</f>
        <v>189.28</v>
      </c>
      <c r="C66" s="24">
        <f t="shared" si="12"/>
        <v>0.98</v>
      </c>
      <c r="D66" s="675"/>
      <c r="E66" s="24">
        <f t="shared" si="13"/>
        <v>1</v>
      </c>
      <c r="F66" s="675"/>
      <c r="G66" s="24">
        <f t="shared" si="14"/>
        <v>1</v>
      </c>
      <c r="H66" s="675"/>
      <c r="I66" s="24">
        <f t="shared" si="15"/>
        <v>1</v>
      </c>
      <c r="J66" s="675"/>
      <c r="K66" s="24">
        <f t="shared" si="16"/>
        <v>1</v>
      </c>
      <c r="L66" s="675"/>
      <c r="M66" s="24">
        <f t="shared" si="17"/>
        <v>1</v>
      </c>
      <c r="N66" s="675"/>
      <c r="O66" s="24">
        <f t="shared" si="18"/>
        <v>1</v>
      </c>
      <c r="P66" s="3093" t="s">
        <v>3207</v>
      </c>
      <c r="Q66" s="24">
        <f t="shared" si="19"/>
        <v>1</v>
      </c>
      <c r="R66" s="671">
        <f t="shared" ca="1" si="20"/>
        <v>50265</v>
      </c>
      <c r="S66" s="322">
        <f t="shared" ca="1" si="21"/>
        <v>951</v>
      </c>
    </row>
    <row r="67" spans="1:19">
      <c r="A67" s="155" t="str">
        <f>Sheet1!E45</f>
        <v>3-2303</v>
      </c>
      <c r="B67" s="57">
        <f>Sheet1!H45</f>
        <v>189.28</v>
      </c>
      <c r="C67" s="24">
        <f t="shared" si="12"/>
        <v>0.98</v>
      </c>
      <c r="D67" s="675"/>
      <c r="E67" s="24">
        <f t="shared" si="13"/>
        <v>1</v>
      </c>
      <c r="F67" s="675"/>
      <c r="G67" s="24">
        <f t="shared" si="14"/>
        <v>1</v>
      </c>
      <c r="H67" s="675"/>
      <c r="I67" s="24">
        <f t="shared" si="15"/>
        <v>1</v>
      </c>
      <c r="J67" s="675"/>
      <c r="K67" s="24">
        <f t="shared" si="16"/>
        <v>1</v>
      </c>
      <c r="L67" s="675"/>
      <c r="M67" s="24">
        <f t="shared" si="17"/>
        <v>1</v>
      </c>
      <c r="N67" s="675"/>
      <c r="O67" s="24">
        <f t="shared" si="18"/>
        <v>1</v>
      </c>
      <c r="P67" s="3093" t="s">
        <v>3207</v>
      </c>
      <c r="Q67" s="24">
        <f t="shared" si="19"/>
        <v>1</v>
      </c>
      <c r="R67" s="671">
        <f t="shared" ca="1" si="20"/>
        <v>50265</v>
      </c>
      <c r="S67" s="322">
        <f t="shared" ca="1" si="21"/>
        <v>951</v>
      </c>
    </row>
    <row r="68" spans="1:19">
      <c r="A68" s="155" t="str">
        <f>Sheet1!E46</f>
        <v>3-2305</v>
      </c>
      <c r="B68" s="57">
        <f>Sheet1!H46</f>
        <v>633.87</v>
      </c>
      <c r="C68" s="24">
        <f t="shared" si="12"/>
        <v>0.98</v>
      </c>
      <c r="D68" s="675"/>
      <c r="E68" s="24">
        <f t="shared" si="13"/>
        <v>1</v>
      </c>
      <c r="F68" s="675"/>
      <c r="G68" s="24">
        <f t="shared" si="14"/>
        <v>1</v>
      </c>
      <c r="H68" s="675"/>
      <c r="I68" s="24">
        <f t="shared" si="15"/>
        <v>1</v>
      </c>
      <c r="J68" s="675"/>
      <c r="K68" s="24">
        <f t="shared" si="16"/>
        <v>1</v>
      </c>
      <c r="L68" s="675"/>
      <c r="M68" s="24">
        <f t="shared" si="17"/>
        <v>1</v>
      </c>
      <c r="N68" s="675"/>
      <c r="O68" s="24">
        <f t="shared" si="18"/>
        <v>1</v>
      </c>
      <c r="P68" s="3093" t="s">
        <v>3207</v>
      </c>
      <c r="Q68" s="24">
        <f t="shared" si="19"/>
        <v>1</v>
      </c>
      <c r="R68" s="671">
        <f t="shared" ca="1" si="20"/>
        <v>50265</v>
      </c>
      <c r="S68" s="322">
        <f t="shared" ca="1" si="21"/>
        <v>3186</v>
      </c>
    </row>
    <row r="69" spans="1:19">
      <c r="A69" s="155" t="str">
        <f>Sheet1!E47</f>
        <v>3-2306</v>
      </c>
      <c r="B69" s="57">
        <f>Sheet1!H47</f>
        <v>569.41999999999996</v>
      </c>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3093" t="s">
        <v>3207</v>
      </c>
      <c r="Q69" s="24">
        <f t="shared" si="19"/>
        <v>1</v>
      </c>
      <c r="R69" s="671">
        <f t="shared" ca="1" si="20"/>
        <v>51291</v>
      </c>
      <c r="S69" s="322">
        <f t="shared" ca="1" si="21"/>
        <v>2921</v>
      </c>
    </row>
    <row r="70" spans="1:19">
      <c r="A70" s="155" t="str">
        <f>Sheet1!E48</f>
        <v>3-2307</v>
      </c>
      <c r="B70" s="57">
        <f>Sheet1!H48</f>
        <v>188.16</v>
      </c>
      <c r="C70" s="24">
        <f t="shared" si="12"/>
        <v>0.98</v>
      </c>
      <c r="D70" s="675"/>
      <c r="E70" s="24">
        <f t="shared" si="13"/>
        <v>1</v>
      </c>
      <c r="F70" s="675"/>
      <c r="G70" s="24">
        <f t="shared" si="14"/>
        <v>1</v>
      </c>
      <c r="H70" s="675"/>
      <c r="I70" s="24">
        <f t="shared" si="15"/>
        <v>1</v>
      </c>
      <c r="J70" s="675"/>
      <c r="K70" s="24">
        <f t="shared" si="16"/>
        <v>1</v>
      </c>
      <c r="L70" s="675"/>
      <c r="M70" s="24">
        <f t="shared" si="17"/>
        <v>1</v>
      </c>
      <c r="N70" s="675"/>
      <c r="O70" s="24">
        <f t="shared" si="18"/>
        <v>1</v>
      </c>
      <c r="P70" s="3093" t="s">
        <v>3207</v>
      </c>
      <c r="Q70" s="24">
        <f t="shared" si="19"/>
        <v>1</v>
      </c>
      <c r="R70" s="671">
        <f t="shared" ca="1" si="20"/>
        <v>50265</v>
      </c>
      <c r="S70" s="322">
        <f t="shared" ca="1" si="21"/>
        <v>946</v>
      </c>
    </row>
    <row r="71" spans="1:19">
      <c r="A71" s="155" t="str">
        <f>Sheet1!E49</f>
        <v>3-2308</v>
      </c>
      <c r="B71" s="57">
        <f>Sheet1!H49</f>
        <v>440.11</v>
      </c>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3093" t="s">
        <v>3207</v>
      </c>
      <c r="Q71" s="24">
        <f t="shared" si="19"/>
        <v>1</v>
      </c>
      <c r="R71" s="671">
        <f t="shared" ca="1" si="20"/>
        <v>51291</v>
      </c>
      <c r="S71" s="322">
        <f t="shared" ca="1" si="21"/>
        <v>2257</v>
      </c>
    </row>
    <row r="72" spans="1:19">
      <c r="A72" s="155" t="str">
        <f>Sheet1!E50</f>
        <v>3-2309</v>
      </c>
      <c r="B72" s="57">
        <f>Sheet1!H50</f>
        <v>354.46</v>
      </c>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3093" t="s">
        <v>3207</v>
      </c>
      <c r="Q72" s="24">
        <f t="shared" si="19"/>
        <v>1</v>
      </c>
      <c r="R72" s="671">
        <f t="shared" ca="1" si="20"/>
        <v>51291</v>
      </c>
      <c r="S72" s="322">
        <f t="shared" ca="1" si="21"/>
        <v>1818</v>
      </c>
    </row>
    <row r="73" spans="1:19">
      <c r="A73" s="155" t="str">
        <f>Sheet1!E51</f>
        <v>3-2501</v>
      </c>
      <c r="B73" s="57">
        <f>Sheet1!H51</f>
        <v>645.97</v>
      </c>
      <c r="C73" s="24">
        <f t="shared" si="12"/>
        <v>0.98</v>
      </c>
      <c r="D73" s="675"/>
      <c r="E73" s="24">
        <f t="shared" si="13"/>
        <v>1</v>
      </c>
      <c r="F73" s="675"/>
      <c r="G73" s="24">
        <f t="shared" si="14"/>
        <v>1</v>
      </c>
      <c r="H73" s="675"/>
      <c r="I73" s="24">
        <f t="shared" si="15"/>
        <v>1</v>
      </c>
      <c r="J73" s="675"/>
      <c r="K73" s="24">
        <f t="shared" si="16"/>
        <v>1</v>
      </c>
      <c r="L73" s="675"/>
      <c r="M73" s="24">
        <f t="shared" si="17"/>
        <v>1</v>
      </c>
      <c r="N73" s="675"/>
      <c r="O73" s="24">
        <f t="shared" si="18"/>
        <v>1</v>
      </c>
      <c r="P73" s="3093" t="s">
        <v>3206</v>
      </c>
      <c r="Q73" s="24">
        <f t="shared" si="19"/>
        <v>1.05</v>
      </c>
      <c r="R73" s="671">
        <f t="shared" ca="1" si="20"/>
        <v>52778</v>
      </c>
      <c r="S73" s="322">
        <f t="shared" ca="1" si="21"/>
        <v>3409</v>
      </c>
    </row>
    <row r="74" spans="1:19">
      <c r="A74" s="155" t="str">
        <f>Sheet1!E52</f>
        <v>3-2502</v>
      </c>
      <c r="B74" s="57">
        <f>Sheet1!H52</f>
        <v>189.28</v>
      </c>
      <c r="C74" s="24">
        <f t="shared" si="12"/>
        <v>0.98</v>
      </c>
      <c r="D74" s="675"/>
      <c r="E74" s="24">
        <f t="shared" si="13"/>
        <v>1</v>
      </c>
      <c r="F74" s="675"/>
      <c r="G74" s="24">
        <f t="shared" si="14"/>
        <v>1</v>
      </c>
      <c r="H74" s="675"/>
      <c r="I74" s="24">
        <f t="shared" si="15"/>
        <v>1</v>
      </c>
      <c r="J74" s="675"/>
      <c r="K74" s="24">
        <f t="shared" si="16"/>
        <v>1</v>
      </c>
      <c r="L74" s="675"/>
      <c r="M74" s="24">
        <f t="shared" si="17"/>
        <v>1</v>
      </c>
      <c r="N74" s="675"/>
      <c r="O74" s="24">
        <f t="shared" si="18"/>
        <v>1</v>
      </c>
      <c r="P74" s="3093" t="s">
        <v>3206</v>
      </c>
      <c r="Q74" s="24">
        <f t="shared" si="19"/>
        <v>1.05</v>
      </c>
      <c r="R74" s="671">
        <f t="shared" ca="1" si="20"/>
        <v>52778</v>
      </c>
      <c r="S74" s="322">
        <f t="shared" ca="1" si="21"/>
        <v>999</v>
      </c>
    </row>
    <row r="75" spans="1:19">
      <c r="A75" s="155" t="str">
        <f>Sheet1!E53</f>
        <v>3-2503</v>
      </c>
      <c r="B75" s="57">
        <f>Sheet1!H53</f>
        <v>189.28</v>
      </c>
      <c r="C75" s="24">
        <f t="shared" si="12"/>
        <v>0.98</v>
      </c>
      <c r="D75" s="675"/>
      <c r="E75" s="24">
        <f t="shared" si="13"/>
        <v>1</v>
      </c>
      <c r="F75" s="675"/>
      <c r="G75" s="24">
        <f t="shared" si="14"/>
        <v>1</v>
      </c>
      <c r="H75" s="675"/>
      <c r="I75" s="24">
        <f t="shared" si="15"/>
        <v>1</v>
      </c>
      <c r="J75" s="675"/>
      <c r="K75" s="24">
        <f t="shared" si="16"/>
        <v>1</v>
      </c>
      <c r="L75" s="675"/>
      <c r="M75" s="24">
        <f t="shared" si="17"/>
        <v>1</v>
      </c>
      <c r="N75" s="675"/>
      <c r="O75" s="24">
        <f t="shared" si="18"/>
        <v>1</v>
      </c>
      <c r="P75" s="3093" t="s">
        <v>3206</v>
      </c>
      <c r="Q75" s="24">
        <f t="shared" si="19"/>
        <v>1.05</v>
      </c>
      <c r="R75" s="671">
        <f t="shared" ca="1" si="20"/>
        <v>52778</v>
      </c>
      <c r="S75" s="322">
        <f t="shared" ca="1" si="21"/>
        <v>999</v>
      </c>
    </row>
    <row r="76" spans="1:19">
      <c r="A76" s="155" t="str">
        <f>Sheet1!E54</f>
        <v>3-2505</v>
      </c>
      <c r="B76" s="57">
        <f>Sheet1!H54</f>
        <v>633.87</v>
      </c>
      <c r="C76" s="24">
        <f t="shared" si="12"/>
        <v>0.98</v>
      </c>
      <c r="D76" s="675"/>
      <c r="E76" s="24">
        <f t="shared" si="13"/>
        <v>1</v>
      </c>
      <c r="F76" s="675"/>
      <c r="G76" s="24">
        <f t="shared" si="14"/>
        <v>1</v>
      </c>
      <c r="H76" s="675"/>
      <c r="I76" s="24">
        <f t="shared" si="15"/>
        <v>1</v>
      </c>
      <c r="J76" s="675"/>
      <c r="K76" s="24">
        <f t="shared" si="16"/>
        <v>1</v>
      </c>
      <c r="L76" s="675"/>
      <c r="M76" s="24">
        <f t="shared" si="17"/>
        <v>1</v>
      </c>
      <c r="N76" s="675"/>
      <c r="O76" s="24">
        <f t="shared" si="18"/>
        <v>1</v>
      </c>
      <c r="P76" s="3093" t="s">
        <v>3206</v>
      </c>
      <c r="Q76" s="24">
        <f t="shared" si="19"/>
        <v>1.05</v>
      </c>
      <c r="R76" s="671">
        <f t="shared" ca="1" si="20"/>
        <v>52778</v>
      </c>
      <c r="S76" s="322">
        <f t="shared" ca="1" si="21"/>
        <v>3345</v>
      </c>
    </row>
    <row r="77" spans="1:19">
      <c r="A77" s="155" t="str">
        <f>Sheet1!E55</f>
        <v>3-2506</v>
      </c>
      <c r="B77" s="57">
        <f>Sheet1!H55</f>
        <v>635.01</v>
      </c>
      <c r="C77" s="24">
        <f t="shared" si="12"/>
        <v>0.98</v>
      </c>
      <c r="D77" s="675"/>
      <c r="E77" s="24">
        <f t="shared" si="13"/>
        <v>1</v>
      </c>
      <c r="F77" s="675"/>
      <c r="G77" s="24">
        <f t="shared" si="14"/>
        <v>1</v>
      </c>
      <c r="H77" s="675"/>
      <c r="I77" s="24">
        <f t="shared" si="15"/>
        <v>1</v>
      </c>
      <c r="J77" s="675"/>
      <c r="K77" s="24">
        <f t="shared" si="16"/>
        <v>1</v>
      </c>
      <c r="L77" s="675"/>
      <c r="M77" s="24">
        <f t="shared" si="17"/>
        <v>1</v>
      </c>
      <c r="N77" s="675"/>
      <c r="O77" s="24">
        <f t="shared" si="18"/>
        <v>1</v>
      </c>
      <c r="P77" s="3093" t="s">
        <v>3206</v>
      </c>
      <c r="Q77" s="24">
        <f t="shared" si="19"/>
        <v>1.05</v>
      </c>
      <c r="R77" s="671">
        <f t="shared" ca="1" si="20"/>
        <v>52778</v>
      </c>
      <c r="S77" s="322">
        <f t="shared" ca="1" si="21"/>
        <v>3351</v>
      </c>
    </row>
    <row r="78" spans="1:19">
      <c r="A78" s="155" t="str">
        <f>Sheet1!E56</f>
        <v>3-2507</v>
      </c>
      <c r="B78" s="57">
        <f>Sheet1!H56</f>
        <v>188.16</v>
      </c>
      <c r="C78" s="24">
        <f t="shared" si="12"/>
        <v>0.98</v>
      </c>
      <c r="D78" s="675"/>
      <c r="E78" s="24">
        <f t="shared" si="13"/>
        <v>1</v>
      </c>
      <c r="F78" s="675"/>
      <c r="G78" s="24">
        <f t="shared" si="14"/>
        <v>1</v>
      </c>
      <c r="H78" s="675"/>
      <c r="I78" s="24">
        <f t="shared" si="15"/>
        <v>1</v>
      </c>
      <c r="J78" s="675"/>
      <c r="K78" s="24">
        <f t="shared" si="16"/>
        <v>1</v>
      </c>
      <c r="L78" s="675"/>
      <c r="M78" s="24">
        <f t="shared" si="17"/>
        <v>1</v>
      </c>
      <c r="N78" s="675"/>
      <c r="O78" s="24">
        <f t="shared" si="18"/>
        <v>1</v>
      </c>
      <c r="P78" s="3093" t="s">
        <v>3206</v>
      </c>
      <c r="Q78" s="24">
        <f t="shared" si="19"/>
        <v>1.05</v>
      </c>
      <c r="R78" s="671">
        <f t="shared" ca="1" si="20"/>
        <v>52778</v>
      </c>
      <c r="S78" s="322">
        <f t="shared" ref="S78:S122" ca="1" si="22">ROUND(R78*B78/10000,0)</f>
        <v>993</v>
      </c>
    </row>
    <row r="79" spans="1:19">
      <c r="A79" s="155" t="str">
        <f>Sheet1!E57</f>
        <v>3-2508</v>
      </c>
      <c r="B79" s="57">
        <f>Sheet1!H57</f>
        <v>440.11</v>
      </c>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3093" t="s">
        <v>3206</v>
      </c>
      <c r="Q79" s="24">
        <f t="shared" si="19"/>
        <v>1.05</v>
      </c>
      <c r="R79" s="671">
        <f t="shared" ca="1" si="20"/>
        <v>53856</v>
      </c>
      <c r="S79" s="322">
        <f t="shared" ca="1" si="22"/>
        <v>2370</v>
      </c>
    </row>
    <row r="80" spans="1:19">
      <c r="A80" s="155" t="str">
        <f>Sheet1!E58</f>
        <v>3-2509</v>
      </c>
      <c r="B80" s="57">
        <f>Sheet1!H58</f>
        <v>375.32</v>
      </c>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3093" t="s">
        <v>3206</v>
      </c>
      <c r="Q80" s="24">
        <f t="shared" si="19"/>
        <v>1.05</v>
      </c>
      <c r="R80" s="671">
        <f t="shared" ca="1" si="20"/>
        <v>53856</v>
      </c>
      <c r="S80" s="322">
        <f t="shared" ca="1" si="22"/>
        <v>2021</v>
      </c>
    </row>
    <row r="81" spans="1:19">
      <c r="A81" s="155" t="str">
        <f>Sheet1!E59</f>
        <v>3-3001</v>
      </c>
      <c r="B81" s="57">
        <f>Sheet1!H59</f>
        <v>642.15</v>
      </c>
      <c r="C81" s="24">
        <f t="shared" si="12"/>
        <v>0.98</v>
      </c>
      <c r="D81" s="675"/>
      <c r="E81" s="24">
        <f t="shared" si="13"/>
        <v>1</v>
      </c>
      <c r="F81" s="675"/>
      <c r="G81" s="24">
        <f t="shared" si="14"/>
        <v>1</v>
      </c>
      <c r="H81" s="675"/>
      <c r="I81" s="24">
        <f t="shared" si="15"/>
        <v>1</v>
      </c>
      <c r="J81" s="675"/>
      <c r="K81" s="24">
        <f t="shared" si="16"/>
        <v>1</v>
      </c>
      <c r="L81" s="675"/>
      <c r="M81" s="24">
        <f t="shared" si="17"/>
        <v>1</v>
      </c>
      <c r="N81" s="675"/>
      <c r="O81" s="24">
        <f t="shared" si="18"/>
        <v>1</v>
      </c>
      <c r="P81" s="3093" t="s">
        <v>3206</v>
      </c>
      <c r="Q81" s="24">
        <f t="shared" si="19"/>
        <v>1.05</v>
      </c>
      <c r="R81" s="671">
        <f t="shared" ca="1" si="20"/>
        <v>52778</v>
      </c>
      <c r="S81" s="322">
        <f t="shared" ca="1" si="22"/>
        <v>3389</v>
      </c>
    </row>
    <row r="82" spans="1:19">
      <c r="A82" s="155" t="str">
        <f>Sheet1!E60</f>
        <v>3-3002</v>
      </c>
      <c r="B82" s="57">
        <f>Sheet1!H60</f>
        <v>189.28</v>
      </c>
      <c r="C82" s="24">
        <f t="shared" si="12"/>
        <v>0.98</v>
      </c>
      <c r="D82" s="675"/>
      <c r="E82" s="24">
        <f t="shared" si="13"/>
        <v>1</v>
      </c>
      <c r="F82" s="675"/>
      <c r="G82" s="24">
        <f t="shared" si="14"/>
        <v>1</v>
      </c>
      <c r="H82" s="675"/>
      <c r="I82" s="24">
        <f t="shared" si="15"/>
        <v>1</v>
      </c>
      <c r="J82" s="675"/>
      <c r="K82" s="24">
        <f t="shared" si="16"/>
        <v>1</v>
      </c>
      <c r="L82" s="675"/>
      <c r="M82" s="24">
        <f t="shared" si="17"/>
        <v>1</v>
      </c>
      <c r="N82" s="675"/>
      <c r="O82" s="24">
        <f t="shared" si="18"/>
        <v>1</v>
      </c>
      <c r="P82" s="3093" t="s">
        <v>3206</v>
      </c>
      <c r="Q82" s="24">
        <f t="shared" si="19"/>
        <v>1.05</v>
      </c>
      <c r="R82" s="671">
        <f t="shared" ca="1" si="20"/>
        <v>52778</v>
      </c>
      <c r="S82" s="322">
        <f t="shared" ca="1" si="22"/>
        <v>999</v>
      </c>
    </row>
    <row r="83" spans="1:19">
      <c r="A83" s="155" t="str">
        <f>Sheet1!E61</f>
        <v>3-3003</v>
      </c>
      <c r="B83" s="57">
        <f>Sheet1!H61</f>
        <v>189.28</v>
      </c>
      <c r="C83" s="24">
        <f t="shared" si="12"/>
        <v>0.98</v>
      </c>
      <c r="D83" s="675"/>
      <c r="E83" s="24">
        <f t="shared" si="13"/>
        <v>1</v>
      </c>
      <c r="F83" s="675"/>
      <c r="G83" s="24">
        <f t="shared" si="14"/>
        <v>1</v>
      </c>
      <c r="H83" s="675"/>
      <c r="I83" s="24">
        <f t="shared" si="15"/>
        <v>1</v>
      </c>
      <c r="J83" s="675"/>
      <c r="K83" s="24">
        <f t="shared" si="16"/>
        <v>1</v>
      </c>
      <c r="L83" s="675"/>
      <c r="M83" s="24">
        <f t="shared" si="17"/>
        <v>1</v>
      </c>
      <c r="N83" s="675"/>
      <c r="O83" s="24">
        <f t="shared" si="18"/>
        <v>1</v>
      </c>
      <c r="P83" s="3093" t="s">
        <v>3206</v>
      </c>
      <c r="Q83" s="24">
        <f t="shared" si="19"/>
        <v>1.05</v>
      </c>
      <c r="R83" s="671">
        <f t="shared" ca="1" si="20"/>
        <v>52778</v>
      </c>
      <c r="S83" s="322">
        <f t="shared" ca="1" si="22"/>
        <v>999</v>
      </c>
    </row>
    <row r="84" spans="1:19">
      <c r="A84" s="155" t="str">
        <f>Sheet1!E62</f>
        <v>3-3005</v>
      </c>
      <c r="B84" s="57">
        <f>Sheet1!H62</f>
        <v>633.87</v>
      </c>
      <c r="C84" s="24">
        <f t="shared" si="12"/>
        <v>0.98</v>
      </c>
      <c r="D84" s="675"/>
      <c r="E84" s="24">
        <f t="shared" si="13"/>
        <v>1</v>
      </c>
      <c r="F84" s="675"/>
      <c r="G84" s="24">
        <f t="shared" si="14"/>
        <v>1</v>
      </c>
      <c r="H84" s="675"/>
      <c r="I84" s="24">
        <f t="shared" si="15"/>
        <v>1</v>
      </c>
      <c r="J84" s="675"/>
      <c r="K84" s="24">
        <f t="shared" si="16"/>
        <v>1</v>
      </c>
      <c r="L84" s="675"/>
      <c r="M84" s="24">
        <f t="shared" si="17"/>
        <v>1</v>
      </c>
      <c r="N84" s="675"/>
      <c r="O84" s="24">
        <f t="shared" si="18"/>
        <v>1</v>
      </c>
      <c r="P84" s="3093" t="s">
        <v>3206</v>
      </c>
      <c r="Q84" s="24">
        <f t="shared" si="19"/>
        <v>1.05</v>
      </c>
      <c r="R84" s="671">
        <f t="shared" ca="1" si="20"/>
        <v>52778</v>
      </c>
      <c r="S84" s="322">
        <f t="shared" ca="1" si="22"/>
        <v>3345</v>
      </c>
    </row>
    <row r="85" spans="1:19">
      <c r="A85" s="155" t="str">
        <f>Sheet1!E63</f>
        <v>3-3006</v>
      </c>
      <c r="B85" s="57">
        <f>Sheet1!H63</f>
        <v>635.01</v>
      </c>
      <c r="C85" s="24">
        <f t="shared" si="12"/>
        <v>0.98</v>
      </c>
      <c r="D85" s="675"/>
      <c r="E85" s="24">
        <f t="shared" si="13"/>
        <v>1</v>
      </c>
      <c r="F85" s="675"/>
      <c r="G85" s="24">
        <f t="shared" si="14"/>
        <v>1</v>
      </c>
      <c r="H85" s="675"/>
      <c r="I85" s="24">
        <f t="shared" si="15"/>
        <v>1</v>
      </c>
      <c r="J85" s="675"/>
      <c r="K85" s="24">
        <f t="shared" si="16"/>
        <v>1</v>
      </c>
      <c r="L85" s="675"/>
      <c r="M85" s="24">
        <f t="shared" si="17"/>
        <v>1</v>
      </c>
      <c r="N85" s="675"/>
      <c r="O85" s="24">
        <f t="shared" si="18"/>
        <v>1</v>
      </c>
      <c r="P85" s="3093" t="s">
        <v>3206</v>
      </c>
      <c r="Q85" s="24">
        <f t="shared" si="19"/>
        <v>1.05</v>
      </c>
      <c r="R85" s="671">
        <f t="shared" ca="1" si="20"/>
        <v>52778</v>
      </c>
      <c r="S85" s="322">
        <f t="shared" ca="1" si="22"/>
        <v>3351</v>
      </c>
    </row>
    <row r="86" spans="1:19">
      <c r="A86" s="155" t="str">
        <f>Sheet1!E64</f>
        <v>3-3007</v>
      </c>
      <c r="B86" s="57">
        <f>Sheet1!H64</f>
        <v>188.16</v>
      </c>
      <c r="C86" s="24">
        <f t="shared" si="12"/>
        <v>0.98</v>
      </c>
      <c r="D86" s="675"/>
      <c r="E86" s="24">
        <f t="shared" si="13"/>
        <v>1</v>
      </c>
      <c r="F86" s="675"/>
      <c r="G86" s="24">
        <f t="shared" si="14"/>
        <v>1</v>
      </c>
      <c r="H86" s="675"/>
      <c r="I86" s="24">
        <f t="shared" si="15"/>
        <v>1</v>
      </c>
      <c r="J86" s="675"/>
      <c r="K86" s="24">
        <f t="shared" si="16"/>
        <v>1</v>
      </c>
      <c r="L86" s="675"/>
      <c r="M86" s="24">
        <f t="shared" si="17"/>
        <v>1</v>
      </c>
      <c r="N86" s="675"/>
      <c r="O86" s="24">
        <f t="shared" si="18"/>
        <v>1</v>
      </c>
      <c r="P86" s="3093" t="s">
        <v>3206</v>
      </c>
      <c r="Q86" s="24">
        <f t="shared" si="19"/>
        <v>1.05</v>
      </c>
      <c r="R86" s="671">
        <f t="shared" ca="1" si="20"/>
        <v>52778</v>
      </c>
      <c r="S86" s="322">
        <f t="shared" ca="1" si="22"/>
        <v>993</v>
      </c>
    </row>
    <row r="87" spans="1:19">
      <c r="A87" s="155" t="str">
        <f>Sheet1!E65</f>
        <v>3-3008</v>
      </c>
      <c r="B87" s="57">
        <f>Sheet1!H65</f>
        <v>440.11</v>
      </c>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3093" t="s">
        <v>3206</v>
      </c>
      <c r="Q87" s="24">
        <f t="shared" si="19"/>
        <v>1.05</v>
      </c>
      <c r="R87" s="671">
        <f t="shared" ca="1" si="20"/>
        <v>53856</v>
      </c>
      <c r="S87" s="322">
        <f t="shared" ca="1" si="22"/>
        <v>2370</v>
      </c>
    </row>
    <row r="88" spans="1:19">
      <c r="A88" s="155" t="str">
        <f>Sheet1!E66</f>
        <v>3-3009</v>
      </c>
      <c r="B88" s="57">
        <f>Sheet1!H66</f>
        <v>375.49</v>
      </c>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3093" t="s">
        <v>3206</v>
      </c>
      <c r="Q88" s="24">
        <f t="shared" si="19"/>
        <v>1.05</v>
      </c>
      <c r="R88" s="671">
        <f t="shared" ca="1" si="20"/>
        <v>53856</v>
      </c>
      <c r="S88" s="322">
        <f t="shared" ca="1" si="22"/>
        <v>2022</v>
      </c>
    </row>
    <row r="89" spans="1:19">
      <c r="A89" s="155" t="str">
        <f>Sheet1!E67</f>
        <v>3-3101</v>
      </c>
      <c r="B89" s="57">
        <f>Sheet1!H67</f>
        <v>642.15</v>
      </c>
      <c r="C89" s="24">
        <f t="shared" si="12"/>
        <v>0.98</v>
      </c>
      <c r="D89" s="675"/>
      <c r="E89" s="24">
        <f t="shared" si="13"/>
        <v>1</v>
      </c>
      <c r="F89" s="675"/>
      <c r="G89" s="24">
        <f t="shared" si="14"/>
        <v>1</v>
      </c>
      <c r="H89" s="675"/>
      <c r="I89" s="24">
        <f t="shared" si="15"/>
        <v>1</v>
      </c>
      <c r="J89" s="675"/>
      <c r="K89" s="24">
        <f t="shared" si="16"/>
        <v>1</v>
      </c>
      <c r="L89" s="675"/>
      <c r="M89" s="24">
        <f t="shared" si="17"/>
        <v>1</v>
      </c>
      <c r="N89" s="675"/>
      <c r="O89" s="24">
        <f t="shared" si="18"/>
        <v>1</v>
      </c>
      <c r="P89" s="3093" t="s">
        <v>3206</v>
      </c>
      <c r="Q89" s="24">
        <f t="shared" si="19"/>
        <v>1.05</v>
      </c>
      <c r="R89" s="671">
        <f t="shared" ca="1" si="20"/>
        <v>52778</v>
      </c>
      <c r="S89" s="322">
        <f t="shared" ca="1" si="22"/>
        <v>3389</v>
      </c>
    </row>
    <row r="90" spans="1:19">
      <c r="A90" s="155" t="str">
        <f>Sheet1!E68</f>
        <v>3-3102</v>
      </c>
      <c r="B90" s="57">
        <f>Sheet1!H68</f>
        <v>189.28</v>
      </c>
      <c r="C90" s="24">
        <f t="shared" ref="C90:C153" si="23">IF(B90="",1,(LOOKUP(B90,$3:$3,$4:$4)-LOOKUP($B$24,$3:$3,$4:$4)+100)/100)</f>
        <v>0.98</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3093" t="s">
        <v>3206</v>
      </c>
      <c r="Q90" s="24">
        <f t="shared" ref="Q90:Q153" si="30">(SUMIF($17:$17,P90,$18:$18)-SUMIF($17:$17,$P$24,$18:$18)+100)/100</f>
        <v>1.05</v>
      </c>
      <c r="R90" s="671">
        <f t="shared" ref="R90:R153" ca="1" si="31">IF(B90="",0,ROUND($R$24*C90*E90*G90*I90*K90*M90*O90*Q90,0))</f>
        <v>52778</v>
      </c>
      <c r="S90" s="322">
        <f t="shared" ca="1" si="22"/>
        <v>999</v>
      </c>
    </row>
    <row r="91" spans="1:19">
      <c r="A91" s="155" t="str">
        <f>Sheet1!E69</f>
        <v>3-3103</v>
      </c>
      <c r="B91" s="57">
        <f>Sheet1!H69</f>
        <v>189.28</v>
      </c>
      <c r="C91" s="24">
        <f t="shared" si="23"/>
        <v>0.98</v>
      </c>
      <c r="D91" s="675"/>
      <c r="E91" s="24">
        <f t="shared" si="24"/>
        <v>1</v>
      </c>
      <c r="F91" s="675"/>
      <c r="G91" s="24">
        <f t="shared" si="25"/>
        <v>1</v>
      </c>
      <c r="H91" s="675"/>
      <c r="I91" s="24">
        <f t="shared" si="26"/>
        <v>1</v>
      </c>
      <c r="J91" s="675"/>
      <c r="K91" s="24">
        <f t="shared" si="27"/>
        <v>1</v>
      </c>
      <c r="L91" s="675"/>
      <c r="M91" s="24">
        <f t="shared" si="28"/>
        <v>1</v>
      </c>
      <c r="N91" s="675"/>
      <c r="O91" s="24">
        <f t="shared" si="29"/>
        <v>1</v>
      </c>
      <c r="P91" s="3093" t="s">
        <v>3206</v>
      </c>
      <c r="Q91" s="24">
        <f t="shared" si="30"/>
        <v>1.05</v>
      </c>
      <c r="R91" s="671">
        <f t="shared" ca="1" si="31"/>
        <v>52778</v>
      </c>
      <c r="S91" s="322">
        <f t="shared" ca="1" si="22"/>
        <v>999</v>
      </c>
    </row>
    <row r="92" spans="1:19">
      <c r="A92" s="155" t="str">
        <f>Sheet1!E70</f>
        <v>3-3105</v>
      </c>
      <c r="B92" s="57">
        <f>Sheet1!H70</f>
        <v>633.87</v>
      </c>
      <c r="C92" s="24">
        <f t="shared" si="23"/>
        <v>0.98</v>
      </c>
      <c r="D92" s="675"/>
      <c r="E92" s="24">
        <f t="shared" si="24"/>
        <v>1</v>
      </c>
      <c r="F92" s="675"/>
      <c r="G92" s="24">
        <f t="shared" si="25"/>
        <v>1</v>
      </c>
      <c r="H92" s="675"/>
      <c r="I92" s="24">
        <f t="shared" si="26"/>
        <v>1</v>
      </c>
      <c r="J92" s="675"/>
      <c r="K92" s="24">
        <f t="shared" si="27"/>
        <v>1</v>
      </c>
      <c r="L92" s="675"/>
      <c r="M92" s="24">
        <f t="shared" si="28"/>
        <v>1</v>
      </c>
      <c r="N92" s="675"/>
      <c r="O92" s="24">
        <f t="shared" si="29"/>
        <v>1</v>
      </c>
      <c r="P92" s="3093" t="s">
        <v>3206</v>
      </c>
      <c r="Q92" s="24">
        <f t="shared" si="30"/>
        <v>1.05</v>
      </c>
      <c r="R92" s="671">
        <f t="shared" ca="1" si="31"/>
        <v>52778</v>
      </c>
      <c r="S92" s="322">
        <f t="shared" ca="1" si="22"/>
        <v>3345</v>
      </c>
    </row>
    <row r="93" spans="1:19">
      <c r="A93" s="155" t="str">
        <f>Sheet1!E71</f>
        <v>3-3106</v>
      </c>
      <c r="B93" s="57">
        <f>Sheet1!H71</f>
        <v>635.01</v>
      </c>
      <c r="C93" s="24">
        <f t="shared" si="23"/>
        <v>0.98</v>
      </c>
      <c r="D93" s="675"/>
      <c r="E93" s="24">
        <f t="shared" si="24"/>
        <v>1</v>
      </c>
      <c r="F93" s="675"/>
      <c r="G93" s="24">
        <f t="shared" si="25"/>
        <v>1</v>
      </c>
      <c r="H93" s="675"/>
      <c r="I93" s="24">
        <f t="shared" si="26"/>
        <v>1</v>
      </c>
      <c r="J93" s="675"/>
      <c r="K93" s="24">
        <f t="shared" si="27"/>
        <v>1</v>
      </c>
      <c r="L93" s="675"/>
      <c r="M93" s="24">
        <f t="shared" si="28"/>
        <v>1</v>
      </c>
      <c r="N93" s="675"/>
      <c r="O93" s="24">
        <f t="shared" si="29"/>
        <v>1</v>
      </c>
      <c r="P93" s="3093" t="s">
        <v>3206</v>
      </c>
      <c r="Q93" s="24">
        <f t="shared" si="30"/>
        <v>1.05</v>
      </c>
      <c r="R93" s="671">
        <f t="shared" ca="1" si="31"/>
        <v>52778</v>
      </c>
      <c r="S93" s="322">
        <f t="shared" ca="1" si="22"/>
        <v>3351</v>
      </c>
    </row>
    <row r="94" spans="1:19">
      <c r="A94" s="155" t="str">
        <f>Sheet1!E72</f>
        <v>3-3107</v>
      </c>
      <c r="B94" s="57">
        <f>Sheet1!H72</f>
        <v>188.16</v>
      </c>
      <c r="C94" s="24">
        <f t="shared" si="23"/>
        <v>0.98</v>
      </c>
      <c r="D94" s="675"/>
      <c r="E94" s="24">
        <f t="shared" si="24"/>
        <v>1</v>
      </c>
      <c r="F94" s="675"/>
      <c r="G94" s="24">
        <f t="shared" si="25"/>
        <v>1</v>
      </c>
      <c r="H94" s="675"/>
      <c r="I94" s="24">
        <f t="shared" si="26"/>
        <v>1</v>
      </c>
      <c r="J94" s="675"/>
      <c r="K94" s="24">
        <f t="shared" si="27"/>
        <v>1</v>
      </c>
      <c r="L94" s="675"/>
      <c r="M94" s="24">
        <f t="shared" si="28"/>
        <v>1</v>
      </c>
      <c r="N94" s="675"/>
      <c r="O94" s="24">
        <f t="shared" si="29"/>
        <v>1</v>
      </c>
      <c r="P94" s="3093" t="s">
        <v>3206</v>
      </c>
      <c r="Q94" s="24">
        <f t="shared" si="30"/>
        <v>1.05</v>
      </c>
      <c r="R94" s="671">
        <f t="shared" ca="1" si="31"/>
        <v>52778</v>
      </c>
      <c r="S94" s="322">
        <f t="shared" ca="1" si="22"/>
        <v>993</v>
      </c>
    </row>
    <row r="95" spans="1:19">
      <c r="A95" s="155" t="str">
        <f>Sheet1!E73</f>
        <v>3-3108</v>
      </c>
      <c r="B95" s="57">
        <f>Sheet1!H73</f>
        <v>440.11</v>
      </c>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3093" t="s">
        <v>3206</v>
      </c>
      <c r="Q95" s="24">
        <f t="shared" si="30"/>
        <v>1.05</v>
      </c>
      <c r="R95" s="671">
        <f t="shared" ca="1" si="31"/>
        <v>53856</v>
      </c>
      <c r="S95" s="322">
        <f t="shared" ca="1" si="22"/>
        <v>2370</v>
      </c>
    </row>
    <row r="96" spans="1:19">
      <c r="A96" s="155" t="str">
        <f>Sheet1!E74</f>
        <v>3-3109</v>
      </c>
      <c r="B96" s="57">
        <f>Sheet1!H74</f>
        <v>373.44</v>
      </c>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3093" t="s">
        <v>3206</v>
      </c>
      <c r="Q96" s="24">
        <f t="shared" si="30"/>
        <v>1.05</v>
      </c>
      <c r="R96" s="671">
        <f t="shared" ca="1" si="31"/>
        <v>53856</v>
      </c>
      <c r="S96" s="322">
        <f t="shared" ca="1" si="22"/>
        <v>2011</v>
      </c>
    </row>
    <row r="97" spans="1:19">
      <c r="A97" s="155" t="str">
        <f>Sheet1!E75</f>
        <v>3-3501</v>
      </c>
      <c r="B97" s="57">
        <f>Sheet1!H75</f>
        <v>640.97</v>
      </c>
      <c r="C97" s="24">
        <f t="shared" si="23"/>
        <v>0.98</v>
      </c>
      <c r="D97" s="675"/>
      <c r="E97" s="24">
        <f t="shared" si="24"/>
        <v>1</v>
      </c>
      <c r="F97" s="675"/>
      <c r="G97" s="24">
        <f t="shared" si="25"/>
        <v>1</v>
      </c>
      <c r="H97" s="675"/>
      <c r="I97" s="24">
        <f t="shared" si="26"/>
        <v>1</v>
      </c>
      <c r="J97" s="675"/>
      <c r="K97" s="24">
        <f t="shared" si="27"/>
        <v>1</v>
      </c>
      <c r="L97" s="675"/>
      <c r="M97" s="24">
        <f t="shared" si="28"/>
        <v>1</v>
      </c>
      <c r="N97" s="675"/>
      <c r="O97" s="24">
        <f t="shared" si="29"/>
        <v>1</v>
      </c>
      <c r="P97" s="3093" t="s">
        <v>3206</v>
      </c>
      <c r="Q97" s="24">
        <f t="shared" si="30"/>
        <v>1.05</v>
      </c>
      <c r="R97" s="671">
        <f t="shared" ca="1" si="31"/>
        <v>52778</v>
      </c>
      <c r="S97" s="322">
        <f t="shared" ca="1" si="22"/>
        <v>3383</v>
      </c>
    </row>
    <row r="98" spans="1:19">
      <c r="A98" s="155" t="str">
        <f>Sheet1!E76</f>
        <v>3-3502</v>
      </c>
      <c r="B98" s="57">
        <f>Sheet1!H76</f>
        <v>189.28</v>
      </c>
      <c r="C98" s="24">
        <f t="shared" si="23"/>
        <v>0.98</v>
      </c>
      <c r="D98" s="675"/>
      <c r="E98" s="24">
        <f t="shared" si="24"/>
        <v>1</v>
      </c>
      <c r="F98" s="675"/>
      <c r="G98" s="24">
        <f t="shared" si="25"/>
        <v>1</v>
      </c>
      <c r="H98" s="675"/>
      <c r="I98" s="24">
        <f t="shared" si="26"/>
        <v>1</v>
      </c>
      <c r="J98" s="675"/>
      <c r="K98" s="24">
        <f t="shared" si="27"/>
        <v>1</v>
      </c>
      <c r="L98" s="675"/>
      <c r="M98" s="24">
        <f t="shared" si="28"/>
        <v>1</v>
      </c>
      <c r="N98" s="675"/>
      <c r="O98" s="24">
        <f t="shared" si="29"/>
        <v>1</v>
      </c>
      <c r="P98" s="3093" t="s">
        <v>3206</v>
      </c>
      <c r="Q98" s="24">
        <f t="shared" si="30"/>
        <v>1.05</v>
      </c>
      <c r="R98" s="671">
        <f t="shared" ca="1" si="31"/>
        <v>52778</v>
      </c>
      <c r="S98" s="322">
        <f t="shared" ca="1" si="22"/>
        <v>999</v>
      </c>
    </row>
    <row r="99" spans="1:19">
      <c r="A99" s="155" t="str">
        <f>Sheet1!E77</f>
        <v>3-3503</v>
      </c>
      <c r="B99" s="57">
        <f>Sheet1!H77</f>
        <v>189.28</v>
      </c>
      <c r="C99" s="24">
        <f t="shared" si="23"/>
        <v>0.98</v>
      </c>
      <c r="D99" s="675"/>
      <c r="E99" s="24">
        <f t="shared" si="24"/>
        <v>1</v>
      </c>
      <c r="F99" s="675"/>
      <c r="G99" s="24">
        <f t="shared" si="25"/>
        <v>1</v>
      </c>
      <c r="H99" s="675"/>
      <c r="I99" s="24">
        <f t="shared" si="26"/>
        <v>1</v>
      </c>
      <c r="J99" s="675"/>
      <c r="K99" s="24">
        <f t="shared" si="27"/>
        <v>1</v>
      </c>
      <c r="L99" s="675"/>
      <c r="M99" s="24">
        <f t="shared" si="28"/>
        <v>1</v>
      </c>
      <c r="N99" s="675"/>
      <c r="O99" s="24">
        <f t="shared" si="29"/>
        <v>1</v>
      </c>
      <c r="P99" s="3093" t="s">
        <v>3206</v>
      </c>
      <c r="Q99" s="24">
        <f t="shared" si="30"/>
        <v>1.05</v>
      </c>
      <c r="R99" s="671">
        <f t="shared" ca="1" si="31"/>
        <v>52778</v>
      </c>
      <c r="S99" s="322">
        <f t="shared" ca="1" si="22"/>
        <v>999</v>
      </c>
    </row>
    <row r="100" spans="1:19">
      <c r="A100" s="155" t="str">
        <f>Sheet1!E78</f>
        <v>3-3505</v>
      </c>
      <c r="B100" s="57">
        <f>Sheet1!H78</f>
        <v>633.87</v>
      </c>
      <c r="C100" s="24">
        <f t="shared" si="23"/>
        <v>0.98</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3093" t="s">
        <v>3206</v>
      </c>
      <c r="Q100" s="24">
        <f t="shared" si="30"/>
        <v>1.05</v>
      </c>
      <c r="R100" s="671">
        <f t="shared" ca="1" si="31"/>
        <v>52778</v>
      </c>
      <c r="S100" s="322">
        <f t="shared" ca="1" si="22"/>
        <v>3345</v>
      </c>
    </row>
    <row r="101" spans="1:19">
      <c r="A101" s="155" t="str">
        <f>Sheet1!E79</f>
        <v>3-3506</v>
      </c>
      <c r="B101" s="57">
        <f>Sheet1!H79</f>
        <v>635.01</v>
      </c>
      <c r="C101" s="24">
        <f t="shared" si="23"/>
        <v>0.98</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3093" t="s">
        <v>3206</v>
      </c>
      <c r="Q101" s="24">
        <f t="shared" si="30"/>
        <v>1.05</v>
      </c>
      <c r="R101" s="671">
        <f t="shared" ca="1" si="31"/>
        <v>52778</v>
      </c>
      <c r="S101" s="322">
        <f t="shared" ca="1" si="22"/>
        <v>3351</v>
      </c>
    </row>
    <row r="102" spans="1:19">
      <c r="A102" s="155" t="str">
        <f>Sheet1!E80</f>
        <v>3-3507</v>
      </c>
      <c r="B102" s="57">
        <f>Sheet1!H80</f>
        <v>188.16</v>
      </c>
      <c r="C102" s="24">
        <f t="shared" si="23"/>
        <v>0.98</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3093" t="s">
        <v>3206</v>
      </c>
      <c r="Q102" s="24">
        <f t="shared" si="30"/>
        <v>1.05</v>
      </c>
      <c r="R102" s="671">
        <f t="shared" ca="1" si="31"/>
        <v>52778</v>
      </c>
      <c r="S102" s="322">
        <f t="shared" ca="1" si="22"/>
        <v>993</v>
      </c>
    </row>
    <row r="103" spans="1:19">
      <c r="A103" s="155" t="str">
        <f>Sheet1!E81</f>
        <v>3-3508</v>
      </c>
      <c r="B103" s="57">
        <f>Sheet1!H81</f>
        <v>440.11</v>
      </c>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3093" t="s">
        <v>3206</v>
      </c>
      <c r="Q103" s="24">
        <f t="shared" si="30"/>
        <v>1.05</v>
      </c>
      <c r="R103" s="671">
        <f t="shared" ca="1" si="31"/>
        <v>53856</v>
      </c>
      <c r="S103" s="322">
        <f t="shared" ca="1" si="22"/>
        <v>2370</v>
      </c>
    </row>
    <row r="104" spans="1:19">
      <c r="A104" s="155" t="str">
        <f>Sheet1!E82</f>
        <v>3-3509</v>
      </c>
      <c r="B104" s="57">
        <f>Sheet1!H82</f>
        <v>372.35</v>
      </c>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3093" t="s">
        <v>3206</v>
      </c>
      <c r="Q104" s="24">
        <f t="shared" si="30"/>
        <v>1.05</v>
      </c>
      <c r="R104" s="671">
        <f t="shared" ca="1" si="31"/>
        <v>53856</v>
      </c>
      <c r="S104" s="322">
        <f t="shared" ca="1" si="22"/>
        <v>2005</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0.05</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0.05</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0.05</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0.05</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0.05</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0.05</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0.05</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0.05</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0.05</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0.05</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0.05</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0.05</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0.05</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0.05</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0.05</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0.05</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0.05</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0.05</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0.05</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0.05</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0.05</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0.05</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0.05</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0.05</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0.05</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0.05</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0.05</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0.05</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0.05</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0.05</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0.05</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0.05</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0.05</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0.05</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0.05</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0.05</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0.05</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0.05</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0.05</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0.05</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0.05</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0.05</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0.05</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0.05</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0.05</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0.05</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0.05</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0.05</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0.05</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0.05</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0.05</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0.05</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0.05</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0.05</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0.05</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0.05</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0.05</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0.05</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0.05</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0.05</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0.05</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0.05</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0.05</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0.05</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0.05</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0.05</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0.05</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0.05</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0.05</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0.05</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0.05</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0.05</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0.05</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0.05</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0.05</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0.05</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0.05</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0.05</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0.05</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0.05</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0.05</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0.05</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0.05</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0.05</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0.05</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0.05</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0.05</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0.05</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0.05</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0.05</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0.05</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0.05</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0.05</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0.05</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0.05</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0.05</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0.05</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0.05</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0.05</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0.05</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0.05</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0.05</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0.05</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0.05</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0.05</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0.05</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0.05</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0.05</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0.05</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0.05</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0.05</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0.05</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0.05</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0.05</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0.05</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0.05</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0.05</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0.05</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0.05</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0.05</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0.05</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0.05</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0.05</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0.05</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0.05</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0.05</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0.05</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0.05</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0.05</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0.05</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0.05</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0.05</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0.05</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0.05</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0.05</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0.05</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0.05</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0.05</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0.05</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0.05</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0.05</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0.05</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0.05</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0.05</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0.05</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0.05</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0.05</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0.05</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0.05</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0.05</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0.05</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0.05</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0.05</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0.05</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0.05</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0.05</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0.05</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0.05</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0.05</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0.05</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0.05</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0.05</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0.05</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0.05</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0.05</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0.05</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0.05</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0.05</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0.05</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0.05</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0.05</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0.05</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0.05</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0.05</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0.05</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0.05</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0.05</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0.05</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0.05</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0.05</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0.05</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0.05</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0.05</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0.05</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0.05</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0.05</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0.05</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0.05</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0.05</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0.05</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0.05</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0.05</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0.05</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0.05</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0.05</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0.05</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0.05</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0.05</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0.05</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0.05</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0.05</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0.05</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0.05</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0.05</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0.05</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0.05</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0.05</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0.05</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0.05</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0.05</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0.05</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0.05</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0.05</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0.05</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0.05</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0.05</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0.05</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0.05</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0.05</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0.05</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0.05</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0.05</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0.05</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0.05</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0.05</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0.05</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0.05</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0.05</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0.05</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0.05</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0.05</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0.05</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0.05</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0.05</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0.05</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0.05</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0.05</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0.05</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0.05</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0.05</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0.05</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0.05</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0.05</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0.05</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0.05</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0.05</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0.05</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0.05</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0.05</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0.05</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0.05</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0.05</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0.05</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0.05</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0.05</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0.05</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0.05</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0.05</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0.05</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0.05</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0.05</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0.05</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0.05</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0.05</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0.05</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0.05</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0.05</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0.05</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0.05</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0.05</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0.05</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0.05</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0.05</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0.05</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0.05</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0.05</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0.05</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0.05</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0.05</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0.05</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0.05</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0.05</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0.05</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0.05</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0.05</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0.05</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0.05</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0.05</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0.05</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0.05</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0.05</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0.05</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0.05</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0.05</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0.05</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0.05</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0.05</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0.05</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0.05</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0.05</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0.05</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0.05</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0.05</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0.05</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0.05</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0.05</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0.05</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0.05</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0.05</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0.05</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0.05</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0.05</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0.05</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0.05</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0.05</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0.05</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0.05</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0.05</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0.05</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0.05</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0.05</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0.05</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0.05</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0.05</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0.05</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0.05</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0.05</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0.05</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0.05</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0.05</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0.05</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0.05</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0.05</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0.05</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0.05</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0.05</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0.05</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0.05</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0.05</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0.05</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0.05</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0.05</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0.05</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0.05</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0.05</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0.05</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0.05</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0.05</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0.05</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0.05</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0.05</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0.05</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0.05</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0.05</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0.05</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0.05</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0.05</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0.05</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0.05</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0.05</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0.05</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0.05</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0.05</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0.05</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0.05</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0.05</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0.05</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0.05</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0.05</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0.05</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0.05</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0.05</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0.05</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0.05</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0.05</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0.05</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0.05</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0.05</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0.05</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0.05</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0.05</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0.05</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0.05</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0.05</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0.05</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0.05</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0.05</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0.05</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0.05</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0.05</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0.05</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0.05</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0.05</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0.05</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0.05</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0.05</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0.05</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0.05</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0.05</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0.05</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0.05</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0.05</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0.05</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0.05</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0.05</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0.05</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0.05</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0.05</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0.05</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0.05</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0.05</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0.05</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0.05</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0.05</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0.05</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0.05</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0.05</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0.05</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0.05</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0.05</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31062</v>
      </c>
      <c r="C2" s="2" t="s">
        <v>133</v>
      </c>
      <c r="D2" s="205"/>
      <c r="E2" s="205"/>
      <c r="F2" s="205"/>
      <c r="G2" s="205"/>
    </row>
    <row r="3" spans="1:7" s="206" customFormat="1" ht="18" customHeight="1" thickBot="1">
      <c r="A3" s="209" t="s">
        <v>85</v>
      </c>
      <c r="B3" s="210">
        <f ca="1">ROUND(B2*10000/'数据-汇总表'!E3,0)</f>
        <v>9563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650</v>
      </c>
      <c r="D10" s="953">
        <f>'数据-汇总表'!E6</f>
        <v>32481.79</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650</v>
      </c>
      <c r="D19" s="957">
        <f>'数据-汇总表'!E3</f>
        <v>32481.79</v>
      </c>
      <c r="E19" s="217">
        <f>'数据-取费表'!B31</f>
        <v>200</v>
      </c>
      <c r="F19" s="237"/>
      <c r="G19" s="1" t="s">
        <v>1042</v>
      </c>
    </row>
    <row r="20" spans="1:7" s="220" customFormat="1" ht="13.5" customHeight="1">
      <c r="A20" s="884" t="s">
        <v>1025</v>
      </c>
      <c r="B20" s="216" t="s">
        <v>104</v>
      </c>
      <c r="C20" s="238">
        <f>ROUND((C5+C19)*F20,0)</f>
        <v>425</v>
      </c>
      <c r="D20" s="238"/>
      <c r="E20" s="238"/>
      <c r="F20" s="239">
        <f>'数据-取费表'!B37</f>
        <v>0.02</v>
      </c>
      <c r="G20" s="1197"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2">
        <f ca="1">ROUND(SUM(C23:C25),0)</f>
        <v>2925</v>
      </c>
      <c r="D22" s="241">
        <f ca="1">C26</f>
        <v>1.2999999999999999E-3</v>
      </c>
      <c r="E22" s="242" t="s">
        <v>126</v>
      </c>
      <c r="F22" s="243">
        <f ca="1">'数据-取费表'!B40</f>
        <v>4.3499999999999997E-2</v>
      </c>
      <c r="G22" s="1197" t="str">
        <f>IF('数据-取费表'!B22&lt;=1,"单利计息","复利计息")</f>
        <v>复利计息</v>
      </c>
    </row>
    <row r="23" spans="1:7" s="220" customFormat="1" ht="13.5" customHeight="1">
      <c r="A23" s="887" t="s">
        <v>794</v>
      </c>
      <c r="B23" s="221" t="s">
        <v>1029</v>
      </c>
      <c r="C23" s="1263">
        <f ca="1">ROUND(IF('数据-取费表'!B22&lt;=1,C5*F22*'数据-取费表'!B23,C5*(POWER((1+F22),'数据-取费表'!B23)-1)),0)</f>
        <v>2808</v>
      </c>
      <c r="D23" s="244"/>
      <c r="E23" s="244"/>
      <c r="F23" s="245"/>
      <c r="G23" s="246" t="s">
        <v>108</v>
      </c>
    </row>
    <row r="24" spans="1:7" s="220" customFormat="1" ht="13.5" customHeight="1">
      <c r="A24" s="887" t="s">
        <v>792</v>
      </c>
      <c r="B24" s="221" t="s">
        <v>1024</v>
      </c>
      <c r="C24" s="1263">
        <f ca="1">ROUND(IF('数据-取费表'!B22&lt;=1,C19*F22*('数据-取费表'!B19/2+'数据-取费表'!B21),C19*(POWER((1+F22),('数据-取费表'!B19/2+'数据-取费表'!B21))-1)),0)</f>
        <v>89</v>
      </c>
      <c r="D24" s="244"/>
      <c r="E24" s="244"/>
      <c r="F24" s="245"/>
      <c r="G24" s="246" t="s">
        <v>109</v>
      </c>
    </row>
    <row r="25" spans="1:7" s="220" customFormat="1" ht="24">
      <c r="A25" s="887" t="s">
        <v>793</v>
      </c>
      <c r="B25" s="221" t="s">
        <v>1026</v>
      </c>
      <c r="C25" s="1263">
        <f ca="1">ROUND(IF('数据-取费表'!B22&lt;=1,C20*F22*'数据-取费表'!B23/2,C20*(POWER((1+F22),'数据-取费表'!B23/2)-1)),0)</f>
        <v>28</v>
      </c>
      <c r="D25" s="244"/>
      <c r="E25" s="247"/>
      <c r="F25" s="245"/>
      <c r="G25" s="248" t="s">
        <v>110</v>
      </c>
    </row>
    <row r="26" spans="1:7" s="220" customFormat="1">
      <c r="A26" s="887" t="s">
        <v>795</v>
      </c>
      <c r="B26" s="221" t="s">
        <v>1028</v>
      </c>
      <c r="C26" s="244">
        <f ca="1">ROUND(IF('数据-取费表'!B22&lt;=1,F21*F22*'数据-取费表'!B23/2,F21*(POWER((1+F22),'数据-取费表'!B23/2)-1)),4)</f>
        <v>1.2999999999999999E-3</v>
      </c>
      <c r="D26" s="244"/>
      <c r="E26" s="247"/>
      <c r="F26" s="245"/>
      <c r="G26" s="249"/>
    </row>
    <row r="27" spans="1:7" s="220" customFormat="1" ht="24.75">
      <c r="A27" s="884" t="s">
        <v>787</v>
      </c>
      <c r="B27" s="250" t="s">
        <v>112</v>
      </c>
      <c r="C27" s="251">
        <f>C28</f>
        <v>3253</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3253</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825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167</v>
      </c>
      <c r="D34" s="223"/>
      <c r="E34" s="226"/>
      <c r="F34" s="263">
        <f>IF('数据-取费表'!B24=0,1,'数据-取费表'!N16)</f>
        <v>1</v>
      </c>
      <c r="G34" s="225" t="s">
        <v>116</v>
      </c>
    </row>
    <row r="35" spans="1:7" ht="13.5" customHeight="1">
      <c r="A35" s="887" t="s">
        <v>796</v>
      </c>
      <c r="B35" s="221" t="s">
        <v>60</v>
      </c>
      <c r="C35" s="226">
        <f>ROUND(C34*F35,0)</f>
        <v>5</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650</v>
      </c>
      <c r="D37" s="223">
        <f>'数据-汇总表'!E3</f>
        <v>32481.79</v>
      </c>
      <c r="E37" s="255">
        <f>'数据-取费表'!B35</f>
        <v>200</v>
      </c>
      <c r="F37" s="265"/>
      <c r="G37" s="267" t="s">
        <v>119</v>
      </c>
    </row>
    <row r="38" spans="1:7" ht="13.5" customHeight="1">
      <c r="A38" s="887" t="s">
        <v>799</v>
      </c>
      <c r="B38" s="221" t="s">
        <v>63</v>
      </c>
      <c r="C38" s="226">
        <f>ROUND(C34*F38,0)</f>
        <v>3</v>
      </c>
      <c r="D38" s="226"/>
      <c r="E38" s="226"/>
      <c r="F38" s="265">
        <f>'数据-取费表'!B36</f>
        <v>1.4999999999999999E-2</v>
      </c>
      <c r="G38" s="225" t="s">
        <v>117</v>
      </c>
    </row>
    <row r="39" spans="1:7" s="220" customFormat="1" ht="13.5" customHeight="1">
      <c r="A39" s="884" t="s">
        <v>783</v>
      </c>
      <c r="B39" s="216" t="s">
        <v>104</v>
      </c>
      <c r="C39" s="238">
        <f>ROUND(C33*F20,0)</f>
        <v>17</v>
      </c>
      <c r="D39" s="238"/>
      <c r="E39" s="238"/>
      <c r="F39" s="239"/>
      <c r="G39" s="1197"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55</v>
      </c>
      <c r="D41" s="241">
        <f ca="1">C44</f>
        <v>1.2999999999999999E-3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54</v>
      </c>
      <c r="D42" s="244"/>
      <c r="E42" s="244"/>
      <c r="F42" s="245"/>
      <c r="G42" s="3284" t="s">
        <v>121</v>
      </c>
    </row>
    <row r="43" spans="1:7" ht="13.5" customHeight="1">
      <c r="A43" s="887" t="s">
        <v>792</v>
      </c>
      <c r="B43" s="221" t="s">
        <v>1032</v>
      </c>
      <c r="C43" s="244">
        <f ca="1">ROUND(IF('数据-取费表'!B22&lt;=1,C39*F22*'数据-取费表'!B21/2,C39*(POWER((1+F22),'数据-取费表'!B21/2)-1)),0)</f>
        <v>1</v>
      </c>
      <c r="D43" s="244"/>
      <c r="E43" s="244"/>
      <c r="F43" s="245"/>
      <c r="G43" s="3285"/>
    </row>
    <row r="44" spans="1:7" ht="13.5" customHeight="1">
      <c r="A44" s="887" t="s">
        <v>793</v>
      </c>
      <c r="B44" s="221" t="s">
        <v>1034</v>
      </c>
      <c r="C44" s="244">
        <f ca="1">ROUND(IF('数据-取费表'!B22&lt;=1,C40*F22*'数据-取费表'!B21/2,C40*(POWER((1+F22),'数据-取费表'!B21/2)-1)),4)</f>
        <v>1.2999999999999999E-3</v>
      </c>
      <c r="D44" s="244"/>
      <c r="E44" s="244"/>
      <c r="F44" s="245"/>
      <c r="G44" s="3286"/>
    </row>
    <row r="45" spans="1:7" s="220" customFormat="1" ht="13.5" customHeight="1">
      <c r="A45" s="884" t="s">
        <v>786</v>
      </c>
      <c r="B45" s="250" t="s">
        <v>112</v>
      </c>
      <c r="C45" s="251">
        <f>C46</f>
        <v>126</v>
      </c>
      <c r="D45" s="241">
        <f>C47</f>
        <v>3.0000000000000001E-3</v>
      </c>
      <c r="E45" s="242" t="s">
        <v>129</v>
      </c>
      <c r="F45" s="252"/>
      <c r="G45" s="253" t="s">
        <v>1040</v>
      </c>
    </row>
    <row r="46" spans="1:7" s="220" customFormat="1" ht="13.5" customHeight="1">
      <c r="A46" s="887" t="s">
        <v>794</v>
      </c>
      <c r="B46" s="254" t="s">
        <v>1033</v>
      </c>
      <c r="C46" s="255">
        <f>ROUND((C33+C39)*F27,0)</f>
        <v>126</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1109</v>
      </c>
      <c r="D49" s="238"/>
      <c r="E49" s="238"/>
      <c r="F49" s="270"/>
      <c r="G49" s="240" t="s">
        <v>1041</v>
      </c>
    </row>
    <row r="50" spans="1:7" s="264" customFormat="1" ht="24">
      <c r="A50" s="884" t="s">
        <v>789</v>
      </c>
      <c r="B50" s="216" t="s">
        <v>124</v>
      </c>
      <c r="C50" s="238"/>
      <c r="D50" s="238"/>
      <c r="E50" s="238"/>
      <c r="F50" s="270">
        <f>IF('数据-取费表'!B24=0,'数据-取费表'!N16,1)</f>
        <v>0.77</v>
      </c>
      <c r="G50" s="253" t="s">
        <v>125</v>
      </c>
    </row>
    <row r="51" spans="1:7" ht="16.5" customHeight="1">
      <c r="A51" s="884" t="s">
        <v>790</v>
      </c>
      <c r="B51" s="216" t="s">
        <v>132</v>
      </c>
      <c r="C51" s="238">
        <f ca="1">ROUND(C49*F50,0)</f>
        <v>854</v>
      </c>
      <c r="D51" s="238"/>
      <c r="E51" s="238"/>
      <c r="F51" s="270"/>
      <c r="G51" s="240" t="s">
        <v>64</v>
      </c>
    </row>
    <row r="52" spans="1:7" s="214" customFormat="1" ht="16.5" thickBot="1">
      <c r="A52" s="271" t="s">
        <v>65</v>
      </c>
      <c r="B52" s="272"/>
      <c r="C52" s="273">
        <f ca="1">C31+C51</f>
        <v>31062</v>
      </c>
      <c r="D52" s="272"/>
      <c r="E52" s="272"/>
      <c r="F52" s="272"/>
      <c r="G52" s="274"/>
    </row>
    <row r="55" spans="1:7" ht="15">
      <c r="B55" s="276" t="s">
        <v>66</v>
      </c>
      <c r="C55" s="277"/>
    </row>
    <row r="56" spans="1:7">
      <c r="B56" s="279" t="s">
        <v>67</v>
      </c>
      <c r="C56" s="280">
        <f ca="1">ROUND(C51/C52,3)</f>
        <v>2.7E-2</v>
      </c>
    </row>
    <row r="57" spans="1:7">
      <c r="B57" s="279" t="s">
        <v>68</v>
      </c>
      <c r="C57" s="281">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2" t="s">
        <v>156</v>
      </c>
      <c r="B1" s="3432"/>
      <c r="C1" s="3432"/>
      <c r="D1" s="3432"/>
      <c r="E1" s="3432"/>
      <c r="F1" s="343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3" t="s">
        <v>169</v>
      </c>
      <c r="B2" s="3433"/>
      <c r="C2" s="3433"/>
      <c r="D2" s="3433"/>
      <c r="E2" s="3433"/>
      <c r="F2" s="343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2" t="s">
        <v>839</v>
      </c>
      <c r="B1" s="343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44411</v>
      </c>
      <c r="D1" s="1468" t="s">
        <v>1268</v>
      </c>
      <c r="E1" s="1463">
        <f>'数据-取费表'!B22</f>
        <v>3</v>
      </c>
      <c r="F1" s="1468" t="s">
        <v>1269</v>
      </c>
      <c r="G1" s="1464">
        <f ca="1">INDIRECT("d"&amp;$K$1)/100</f>
        <v>3.85E-2</v>
      </c>
      <c r="H1" s="1468" t="s">
        <v>1299</v>
      </c>
      <c r="I1" s="1464">
        <f ca="1">F4/100</f>
        <v>1.4999999999999999E-2</v>
      </c>
      <c r="J1" s="1469">
        <f>IF(C1&gt;C13,0,MATCH(C1,C$13:C$105,-1))+IF(SUMIF(C13:C105,C1,D13:D105)=0,13,12)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3059</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2"/>
  <sheetViews>
    <sheetView topLeftCell="D79" workbookViewId="0">
      <selection activeCell="H98" sqref="H98"/>
    </sheetView>
  </sheetViews>
  <sheetFormatPr defaultRowHeight="13.5"/>
  <sheetData>
    <row r="1" spans="2:10" ht="14.25" thickBot="1"/>
    <row r="2" spans="2:10" ht="15" thickBot="1">
      <c r="B2" s="3076" t="s">
        <v>3063</v>
      </c>
      <c r="C2" s="3077" t="s">
        <v>3064</v>
      </c>
      <c r="D2" s="3077" t="s">
        <v>3065</v>
      </c>
      <c r="E2" s="3077" t="s">
        <v>3066</v>
      </c>
      <c r="F2" s="3077" t="s">
        <v>3067</v>
      </c>
      <c r="G2" s="3077" t="s">
        <v>3068</v>
      </c>
      <c r="H2" s="3077" t="s">
        <v>3069</v>
      </c>
      <c r="I2" s="3077" t="s">
        <v>3070</v>
      </c>
      <c r="J2" s="3077" t="s">
        <v>3071</v>
      </c>
    </row>
    <row r="3" spans="2:10" ht="15" thickBot="1">
      <c r="B3" s="3440" t="s">
        <v>3072</v>
      </c>
      <c r="C3" s="3440" t="s">
        <v>3073</v>
      </c>
      <c r="D3" s="3443" t="s">
        <v>3074</v>
      </c>
      <c r="E3" s="3078" t="s">
        <v>3075</v>
      </c>
      <c r="F3" s="3440" t="s">
        <v>3076</v>
      </c>
      <c r="G3" s="3079">
        <v>5</v>
      </c>
      <c r="H3" s="3078">
        <v>683.76</v>
      </c>
      <c r="I3" s="3440" t="s">
        <v>27</v>
      </c>
      <c r="J3" s="3440" t="s">
        <v>27</v>
      </c>
    </row>
    <row r="4" spans="2:10" ht="15" thickBot="1">
      <c r="B4" s="3441"/>
      <c r="C4" s="3441"/>
      <c r="D4" s="3444"/>
      <c r="E4" s="3078" t="s">
        <v>3077</v>
      </c>
      <c r="F4" s="3441"/>
      <c r="G4" s="3079">
        <v>5</v>
      </c>
      <c r="H4" s="3078">
        <v>189.28</v>
      </c>
      <c r="I4" s="3441"/>
      <c r="J4" s="3441"/>
    </row>
    <row r="5" spans="2:10" ht="15" thickBot="1">
      <c r="B5" s="3441"/>
      <c r="C5" s="3441"/>
      <c r="D5" s="3444"/>
      <c r="E5" s="3078" t="s">
        <v>3078</v>
      </c>
      <c r="F5" s="3441"/>
      <c r="G5" s="3079">
        <v>5</v>
      </c>
      <c r="H5" s="3078">
        <v>189.28</v>
      </c>
      <c r="I5" s="3441"/>
      <c r="J5" s="3441"/>
    </row>
    <row r="6" spans="2:10" ht="15" thickBot="1">
      <c r="B6" s="3441"/>
      <c r="C6" s="3441"/>
      <c r="D6" s="3444"/>
      <c r="E6" s="3078" t="s">
        <v>3079</v>
      </c>
      <c r="F6" s="3441"/>
      <c r="G6" s="3079">
        <v>5</v>
      </c>
      <c r="H6" s="3078">
        <v>540.91999999999996</v>
      </c>
      <c r="I6" s="3441"/>
      <c r="J6" s="3441"/>
    </row>
    <row r="7" spans="2:10" ht="15" thickBot="1">
      <c r="B7" s="3441"/>
      <c r="C7" s="3441"/>
      <c r="D7" s="3444"/>
      <c r="E7" s="3078" t="s">
        <v>3080</v>
      </c>
      <c r="F7" s="3441"/>
      <c r="G7" s="3079">
        <v>5</v>
      </c>
      <c r="H7" s="3078">
        <v>564.35</v>
      </c>
      <c r="I7" s="3441"/>
      <c r="J7" s="3441"/>
    </row>
    <row r="8" spans="2:10" ht="15" thickBot="1">
      <c r="B8" s="3441"/>
      <c r="C8" s="3441"/>
      <c r="D8" s="3444"/>
      <c r="E8" s="3078" t="s">
        <v>3081</v>
      </c>
      <c r="F8" s="3441"/>
      <c r="G8" s="3079">
        <v>5</v>
      </c>
      <c r="H8" s="3078">
        <v>189.28</v>
      </c>
      <c r="I8" s="3441"/>
      <c r="J8" s="3441"/>
    </row>
    <row r="9" spans="2:10" ht="15" thickBot="1">
      <c r="B9" s="3441"/>
      <c r="C9" s="3441"/>
      <c r="D9" s="3444"/>
      <c r="E9" s="3078" t="s">
        <v>3082</v>
      </c>
      <c r="F9" s="3441"/>
      <c r="G9" s="3079">
        <v>5</v>
      </c>
      <c r="H9" s="3078">
        <v>440.53</v>
      </c>
      <c r="I9" s="3441"/>
      <c r="J9" s="3441"/>
    </row>
    <row r="10" spans="2:10" ht="15" thickBot="1">
      <c r="B10" s="3441"/>
      <c r="C10" s="3441"/>
      <c r="D10" s="3444"/>
      <c r="E10" s="3078" t="s">
        <v>3083</v>
      </c>
      <c r="F10" s="3441"/>
      <c r="G10" s="3079">
        <v>5</v>
      </c>
      <c r="H10" s="3078">
        <v>432.37</v>
      </c>
      <c r="I10" s="3441"/>
      <c r="J10" s="3441"/>
    </row>
    <row r="11" spans="2:10" ht="15" thickBot="1">
      <c r="B11" s="3441"/>
      <c r="C11" s="3441"/>
      <c r="D11" s="3444"/>
      <c r="E11" s="3078" t="s">
        <v>3084</v>
      </c>
      <c r="F11" s="3441"/>
      <c r="G11" s="3079">
        <v>6</v>
      </c>
      <c r="H11" s="3078">
        <v>683.76</v>
      </c>
      <c r="I11" s="3441"/>
      <c r="J11" s="3441"/>
    </row>
    <row r="12" spans="2:10" ht="15" thickBot="1">
      <c r="B12" s="3441"/>
      <c r="C12" s="3441"/>
      <c r="D12" s="3444"/>
      <c r="E12" s="3078" t="s">
        <v>3085</v>
      </c>
      <c r="F12" s="3441"/>
      <c r="G12" s="3079">
        <v>6</v>
      </c>
      <c r="H12" s="3078">
        <v>189.28</v>
      </c>
      <c r="I12" s="3441"/>
      <c r="J12" s="3441"/>
    </row>
    <row r="13" spans="2:10" ht="15" thickBot="1">
      <c r="B13" s="3441"/>
      <c r="C13" s="3441"/>
      <c r="D13" s="3444"/>
      <c r="E13" s="3078" t="s">
        <v>3086</v>
      </c>
      <c r="F13" s="3441"/>
      <c r="G13" s="3079">
        <v>6</v>
      </c>
      <c r="H13" s="3078">
        <v>189.28</v>
      </c>
      <c r="I13" s="3441"/>
      <c r="J13" s="3441"/>
    </row>
    <row r="14" spans="2:10" ht="15" thickBot="1">
      <c r="B14" s="3441"/>
      <c r="C14" s="3441"/>
      <c r="D14" s="3444"/>
      <c r="E14" s="3078" t="s">
        <v>3087</v>
      </c>
      <c r="F14" s="3441"/>
      <c r="G14" s="3079">
        <v>6</v>
      </c>
      <c r="H14" s="3078">
        <v>540.91999999999996</v>
      </c>
      <c r="I14" s="3441"/>
      <c r="J14" s="3441"/>
    </row>
    <row r="15" spans="2:10" ht="15" thickBot="1">
      <c r="B15" s="3441"/>
      <c r="C15" s="3441"/>
      <c r="D15" s="3444"/>
      <c r="E15" s="3078" t="s">
        <v>3088</v>
      </c>
      <c r="F15" s="3441"/>
      <c r="G15" s="3079">
        <v>6</v>
      </c>
      <c r="H15" s="3078">
        <v>564.35</v>
      </c>
      <c r="I15" s="3441"/>
      <c r="J15" s="3441"/>
    </row>
    <row r="16" spans="2:10" ht="15" thickBot="1">
      <c r="B16" s="3441"/>
      <c r="C16" s="3441"/>
      <c r="D16" s="3444"/>
      <c r="E16" s="3078" t="s">
        <v>3089</v>
      </c>
      <c r="F16" s="3441"/>
      <c r="G16" s="3079">
        <v>6</v>
      </c>
      <c r="H16" s="3078">
        <v>189.28</v>
      </c>
      <c r="I16" s="3441"/>
      <c r="J16" s="3441"/>
    </row>
    <row r="17" spans="2:10" ht="15" thickBot="1">
      <c r="B17" s="3441"/>
      <c r="C17" s="3441"/>
      <c r="D17" s="3444"/>
      <c r="E17" s="3078" t="s">
        <v>3090</v>
      </c>
      <c r="F17" s="3441"/>
      <c r="G17" s="3079">
        <v>6</v>
      </c>
      <c r="H17" s="3078">
        <v>440.53</v>
      </c>
      <c r="I17" s="3441"/>
      <c r="J17" s="3441"/>
    </row>
    <row r="18" spans="2:10" ht="15" thickBot="1">
      <c r="B18" s="3441"/>
      <c r="C18" s="3441"/>
      <c r="D18" s="3444"/>
      <c r="E18" s="3078" t="s">
        <v>3091</v>
      </c>
      <c r="F18" s="3441"/>
      <c r="G18" s="3079">
        <v>6</v>
      </c>
      <c r="H18" s="3078">
        <v>432.37</v>
      </c>
      <c r="I18" s="3441"/>
      <c r="J18" s="3441"/>
    </row>
    <row r="19" spans="2:10" ht="15" thickBot="1">
      <c r="B19" s="3441"/>
      <c r="C19" s="3441"/>
      <c r="D19" s="3444"/>
      <c r="E19" s="3078" t="s">
        <v>3092</v>
      </c>
      <c r="F19" s="3441"/>
      <c r="G19" s="3079">
        <v>9</v>
      </c>
      <c r="H19" s="3078">
        <v>683.76</v>
      </c>
      <c r="I19" s="3441"/>
      <c r="J19" s="3441"/>
    </row>
    <row r="20" spans="2:10" ht="15" thickBot="1">
      <c r="B20" s="3441"/>
      <c r="C20" s="3441"/>
      <c r="D20" s="3444"/>
      <c r="E20" s="3078" t="s">
        <v>3093</v>
      </c>
      <c r="F20" s="3441"/>
      <c r="G20" s="3079">
        <v>9</v>
      </c>
      <c r="H20" s="3078">
        <v>189.28</v>
      </c>
      <c r="I20" s="3441"/>
      <c r="J20" s="3441"/>
    </row>
    <row r="21" spans="2:10" ht="15" thickBot="1">
      <c r="B21" s="3441"/>
      <c r="C21" s="3441"/>
      <c r="D21" s="3444"/>
      <c r="E21" s="3078" t="s">
        <v>3094</v>
      </c>
      <c r="F21" s="3441"/>
      <c r="G21" s="3079">
        <v>9</v>
      </c>
      <c r="H21" s="3078">
        <v>189.28</v>
      </c>
      <c r="I21" s="3441"/>
      <c r="J21" s="3441"/>
    </row>
    <row r="22" spans="2:10" ht="15" thickBot="1">
      <c r="B22" s="3441"/>
      <c r="C22" s="3441"/>
      <c r="D22" s="3444"/>
      <c r="E22" s="3078" t="s">
        <v>3095</v>
      </c>
      <c r="F22" s="3441"/>
      <c r="G22" s="3079">
        <v>9</v>
      </c>
      <c r="H22" s="3078">
        <v>540.91999999999996</v>
      </c>
      <c r="I22" s="3441"/>
      <c r="J22" s="3441"/>
    </row>
    <row r="23" spans="2:10" ht="15" thickBot="1">
      <c r="B23" s="3441"/>
      <c r="C23" s="3441"/>
      <c r="D23" s="3444"/>
      <c r="E23" s="3078" t="s">
        <v>3096</v>
      </c>
      <c r="F23" s="3441"/>
      <c r="G23" s="3079">
        <v>9</v>
      </c>
      <c r="H23" s="3078">
        <v>564.35</v>
      </c>
      <c r="I23" s="3441"/>
      <c r="J23" s="3441"/>
    </row>
    <row r="24" spans="2:10" ht="15" thickBot="1">
      <c r="B24" s="3441"/>
      <c r="C24" s="3441"/>
      <c r="D24" s="3444"/>
      <c r="E24" s="3078" t="s">
        <v>3097</v>
      </c>
      <c r="F24" s="3441"/>
      <c r="G24" s="3079">
        <v>9</v>
      </c>
      <c r="H24" s="3078">
        <v>189.28</v>
      </c>
      <c r="I24" s="3441"/>
      <c r="J24" s="3441"/>
    </row>
    <row r="25" spans="2:10" ht="15" thickBot="1">
      <c r="B25" s="3441"/>
      <c r="C25" s="3441"/>
      <c r="D25" s="3444"/>
      <c r="E25" s="3078" t="s">
        <v>3098</v>
      </c>
      <c r="F25" s="3441"/>
      <c r="G25" s="3079">
        <v>9</v>
      </c>
      <c r="H25" s="3078">
        <v>440.53</v>
      </c>
      <c r="I25" s="3441"/>
      <c r="J25" s="3441"/>
    </row>
    <row r="26" spans="2:10" ht="15" thickBot="1">
      <c r="B26" s="3441"/>
      <c r="C26" s="3441"/>
      <c r="D26" s="3444"/>
      <c r="E26" s="3078" t="s">
        <v>3099</v>
      </c>
      <c r="F26" s="3441"/>
      <c r="G26" s="3079">
        <v>9</v>
      </c>
      <c r="H26" s="3078">
        <v>432.37</v>
      </c>
      <c r="I26" s="3441"/>
      <c r="J26" s="3441"/>
    </row>
    <row r="27" spans="2:10" ht="15" thickBot="1">
      <c r="B27" s="3441"/>
      <c r="C27" s="3441"/>
      <c r="D27" s="3444"/>
      <c r="E27" s="3078" t="s">
        <v>3100</v>
      </c>
      <c r="F27" s="3441"/>
      <c r="G27" s="3079">
        <v>10</v>
      </c>
      <c r="H27" s="3078">
        <v>683.76</v>
      </c>
      <c r="I27" s="3441"/>
      <c r="J27" s="3441"/>
    </row>
    <row r="28" spans="2:10" ht="15" thickBot="1">
      <c r="B28" s="3441"/>
      <c r="C28" s="3441"/>
      <c r="D28" s="3444"/>
      <c r="E28" s="3078" t="s">
        <v>3101</v>
      </c>
      <c r="F28" s="3441"/>
      <c r="G28" s="3079">
        <v>10</v>
      </c>
      <c r="H28" s="3078">
        <v>189.28</v>
      </c>
      <c r="I28" s="3441"/>
      <c r="J28" s="3441"/>
    </row>
    <row r="29" spans="2:10" ht="15" thickBot="1">
      <c r="B29" s="3441"/>
      <c r="C29" s="3441"/>
      <c r="D29" s="3444"/>
      <c r="E29" s="3078" t="s">
        <v>3102</v>
      </c>
      <c r="F29" s="3441"/>
      <c r="G29" s="3079">
        <v>10</v>
      </c>
      <c r="H29" s="3078">
        <v>189.28</v>
      </c>
      <c r="I29" s="3441"/>
      <c r="J29" s="3441"/>
    </row>
    <row r="30" spans="2:10" ht="15" thickBot="1">
      <c r="B30" s="3441"/>
      <c r="C30" s="3441"/>
      <c r="D30" s="3444"/>
      <c r="E30" s="3078" t="s">
        <v>3103</v>
      </c>
      <c r="F30" s="3441"/>
      <c r="G30" s="3079">
        <v>10</v>
      </c>
      <c r="H30" s="3078">
        <v>540.91999999999996</v>
      </c>
      <c r="I30" s="3441"/>
      <c r="J30" s="3441"/>
    </row>
    <row r="31" spans="2:10" ht="15" thickBot="1">
      <c r="B31" s="3441"/>
      <c r="C31" s="3441"/>
      <c r="D31" s="3444"/>
      <c r="E31" s="3078" t="s">
        <v>3104</v>
      </c>
      <c r="F31" s="3441"/>
      <c r="G31" s="3079">
        <v>10</v>
      </c>
      <c r="H31" s="3078">
        <v>564.35</v>
      </c>
      <c r="I31" s="3441"/>
      <c r="J31" s="3441"/>
    </row>
    <row r="32" spans="2:10" ht="15" thickBot="1">
      <c r="B32" s="3441"/>
      <c r="C32" s="3441"/>
      <c r="D32" s="3444"/>
      <c r="E32" s="3078" t="s">
        <v>3105</v>
      </c>
      <c r="F32" s="3441"/>
      <c r="G32" s="3079">
        <v>10</v>
      </c>
      <c r="H32" s="3078">
        <v>189.28</v>
      </c>
      <c r="I32" s="3441"/>
      <c r="J32" s="3441"/>
    </row>
    <row r="33" spans="2:10" ht="15" thickBot="1">
      <c r="B33" s="3441"/>
      <c r="C33" s="3441"/>
      <c r="D33" s="3444"/>
      <c r="E33" s="3078" t="s">
        <v>3106</v>
      </c>
      <c r="F33" s="3441"/>
      <c r="G33" s="3079">
        <v>10</v>
      </c>
      <c r="H33" s="3078">
        <v>440.53</v>
      </c>
      <c r="I33" s="3441"/>
      <c r="J33" s="3441"/>
    </row>
    <row r="34" spans="2:10" ht="15" thickBot="1">
      <c r="B34" s="3441"/>
      <c r="C34" s="3441"/>
      <c r="D34" s="3444"/>
      <c r="E34" s="3078" t="s">
        <v>3107</v>
      </c>
      <c r="F34" s="3441"/>
      <c r="G34" s="3079">
        <v>10</v>
      </c>
      <c r="H34" s="3078">
        <v>432.37</v>
      </c>
      <c r="I34" s="3441"/>
      <c r="J34" s="3441"/>
    </row>
    <row r="35" spans="2:10" ht="15" thickBot="1">
      <c r="B35" s="3441"/>
      <c r="C35" s="3441"/>
      <c r="D35" s="3444"/>
      <c r="E35" s="3078" t="s">
        <v>3108</v>
      </c>
      <c r="F35" s="3441"/>
      <c r="G35" s="3079">
        <v>17</v>
      </c>
      <c r="H35" s="3078">
        <v>683.76</v>
      </c>
      <c r="I35" s="3441"/>
      <c r="J35" s="3441"/>
    </row>
    <row r="36" spans="2:10" ht="15" thickBot="1">
      <c r="B36" s="3441"/>
      <c r="C36" s="3441"/>
      <c r="D36" s="3444"/>
      <c r="E36" s="3078" t="s">
        <v>3109</v>
      </c>
      <c r="F36" s="3441"/>
      <c r="G36" s="3079">
        <v>17</v>
      </c>
      <c r="H36" s="3078">
        <v>189.28</v>
      </c>
      <c r="I36" s="3441"/>
      <c r="J36" s="3441"/>
    </row>
    <row r="37" spans="2:10" ht="15" thickBot="1">
      <c r="B37" s="3441"/>
      <c r="C37" s="3441"/>
      <c r="D37" s="3444"/>
      <c r="E37" s="3078" t="s">
        <v>3110</v>
      </c>
      <c r="F37" s="3441"/>
      <c r="G37" s="3079">
        <v>17</v>
      </c>
      <c r="H37" s="3078">
        <v>189.28</v>
      </c>
      <c r="I37" s="3441"/>
      <c r="J37" s="3441"/>
    </row>
    <row r="38" spans="2:10" ht="15" thickBot="1">
      <c r="B38" s="3441"/>
      <c r="C38" s="3441"/>
      <c r="D38" s="3444"/>
      <c r="E38" s="3078" t="s">
        <v>3111</v>
      </c>
      <c r="F38" s="3441"/>
      <c r="G38" s="3079">
        <v>17</v>
      </c>
      <c r="H38" s="3078">
        <v>534.33000000000004</v>
      </c>
      <c r="I38" s="3441"/>
      <c r="J38" s="3441"/>
    </row>
    <row r="39" spans="2:10" ht="15" thickBot="1">
      <c r="B39" s="3441"/>
      <c r="C39" s="3441"/>
      <c r="D39" s="3444"/>
      <c r="E39" s="3078" t="s">
        <v>3112</v>
      </c>
      <c r="F39" s="3441"/>
      <c r="G39" s="3079">
        <v>17</v>
      </c>
      <c r="H39" s="3078">
        <v>540.91999999999996</v>
      </c>
      <c r="I39" s="3441"/>
      <c r="J39" s="3441"/>
    </row>
    <row r="40" spans="2:10" ht="15" thickBot="1">
      <c r="B40" s="3441"/>
      <c r="C40" s="3441"/>
      <c r="D40" s="3444"/>
      <c r="E40" s="3078" t="s">
        <v>3113</v>
      </c>
      <c r="F40" s="3441"/>
      <c r="G40" s="3079">
        <v>17</v>
      </c>
      <c r="H40" s="3078">
        <v>189.28</v>
      </c>
      <c r="I40" s="3441"/>
      <c r="J40" s="3441"/>
    </row>
    <row r="41" spans="2:10" ht="15" thickBot="1">
      <c r="B41" s="3441"/>
      <c r="C41" s="3441"/>
      <c r="D41" s="3444"/>
      <c r="E41" s="3078" t="s">
        <v>3114</v>
      </c>
      <c r="F41" s="3441"/>
      <c r="G41" s="3079">
        <v>17</v>
      </c>
      <c r="H41" s="3078">
        <v>440.53</v>
      </c>
      <c r="I41" s="3441"/>
      <c r="J41" s="3441"/>
    </row>
    <row r="42" spans="2:10" ht="15" thickBot="1">
      <c r="B42" s="3441"/>
      <c r="C42" s="3441"/>
      <c r="D42" s="3444"/>
      <c r="E42" s="3078" t="s">
        <v>3115</v>
      </c>
      <c r="F42" s="3441"/>
      <c r="G42" s="3079">
        <v>17</v>
      </c>
      <c r="H42" s="3078">
        <v>432.37</v>
      </c>
      <c r="I42" s="3441"/>
      <c r="J42" s="3441"/>
    </row>
    <row r="43" spans="2:10" ht="15" thickBot="1">
      <c r="B43" s="3441"/>
      <c r="C43" s="3441"/>
      <c r="D43" s="3444"/>
      <c r="E43" s="3078" t="s">
        <v>3116</v>
      </c>
      <c r="F43" s="3441"/>
      <c r="G43" s="3079">
        <v>20</v>
      </c>
      <c r="H43" s="3078">
        <v>627.70000000000005</v>
      </c>
      <c r="I43" s="3441"/>
      <c r="J43" s="3441"/>
    </row>
    <row r="44" spans="2:10" ht="15" thickBot="1">
      <c r="B44" s="3441"/>
      <c r="C44" s="3441"/>
      <c r="D44" s="3444"/>
      <c r="E44" s="3078" t="s">
        <v>3117</v>
      </c>
      <c r="F44" s="3441"/>
      <c r="G44" s="3079">
        <v>20</v>
      </c>
      <c r="H44" s="3078">
        <v>189.28</v>
      </c>
      <c r="I44" s="3441"/>
      <c r="J44" s="3441"/>
    </row>
    <row r="45" spans="2:10" ht="15" thickBot="1">
      <c r="B45" s="3441"/>
      <c r="C45" s="3441"/>
      <c r="D45" s="3444"/>
      <c r="E45" s="3078" t="s">
        <v>3118</v>
      </c>
      <c r="F45" s="3441"/>
      <c r="G45" s="3079">
        <v>20</v>
      </c>
      <c r="H45" s="3078">
        <v>189.28</v>
      </c>
      <c r="I45" s="3441"/>
      <c r="J45" s="3441"/>
    </row>
    <row r="46" spans="2:10" ht="15" thickBot="1">
      <c r="B46" s="3441"/>
      <c r="C46" s="3441"/>
      <c r="D46" s="3444"/>
      <c r="E46" s="3078" t="s">
        <v>3119</v>
      </c>
      <c r="F46" s="3441"/>
      <c r="G46" s="3079">
        <v>20</v>
      </c>
      <c r="H46" s="3078">
        <v>633.87</v>
      </c>
      <c r="I46" s="3441"/>
      <c r="J46" s="3441"/>
    </row>
    <row r="47" spans="2:10" ht="15" thickBot="1">
      <c r="B47" s="3441"/>
      <c r="C47" s="3441"/>
      <c r="D47" s="3444"/>
      <c r="E47" s="3078" t="s">
        <v>3120</v>
      </c>
      <c r="F47" s="3441"/>
      <c r="G47" s="3079">
        <v>20</v>
      </c>
      <c r="H47" s="3078">
        <v>569.41999999999996</v>
      </c>
      <c r="I47" s="3441"/>
      <c r="J47" s="3441"/>
    </row>
    <row r="48" spans="2:10" ht="15" thickBot="1">
      <c r="B48" s="3441"/>
      <c r="C48" s="3441"/>
      <c r="D48" s="3444"/>
      <c r="E48" s="3078" t="s">
        <v>3121</v>
      </c>
      <c r="F48" s="3441"/>
      <c r="G48" s="3079">
        <v>20</v>
      </c>
      <c r="H48" s="3078">
        <v>188.16</v>
      </c>
      <c r="I48" s="3441"/>
      <c r="J48" s="3441"/>
    </row>
    <row r="49" spans="2:10" ht="15" thickBot="1">
      <c r="B49" s="3441"/>
      <c r="C49" s="3441"/>
      <c r="D49" s="3444"/>
      <c r="E49" s="3078" t="s">
        <v>3122</v>
      </c>
      <c r="F49" s="3441"/>
      <c r="G49" s="3079">
        <v>20</v>
      </c>
      <c r="H49" s="3078">
        <v>440.11</v>
      </c>
      <c r="I49" s="3441"/>
      <c r="J49" s="3441"/>
    </row>
    <row r="50" spans="2:10" ht="15" thickBot="1">
      <c r="B50" s="3441"/>
      <c r="C50" s="3441"/>
      <c r="D50" s="3444"/>
      <c r="E50" s="3078" t="s">
        <v>3123</v>
      </c>
      <c r="F50" s="3441"/>
      <c r="G50" s="3079">
        <v>20</v>
      </c>
      <c r="H50" s="3078">
        <v>354.46</v>
      </c>
      <c r="I50" s="3441"/>
      <c r="J50" s="3441"/>
    </row>
    <row r="51" spans="2:10" ht="15" thickBot="1">
      <c r="B51" s="3441"/>
      <c r="C51" s="3441"/>
      <c r="D51" s="3444"/>
      <c r="E51" s="3078" t="s">
        <v>3124</v>
      </c>
      <c r="F51" s="3441"/>
      <c r="G51" s="3079">
        <v>21</v>
      </c>
      <c r="H51" s="3078">
        <v>645.97</v>
      </c>
      <c r="I51" s="3441"/>
      <c r="J51" s="3441"/>
    </row>
    <row r="52" spans="2:10" ht="15" thickBot="1">
      <c r="B52" s="3441"/>
      <c r="C52" s="3441"/>
      <c r="D52" s="3444"/>
      <c r="E52" s="3078" t="s">
        <v>3125</v>
      </c>
      <c r="F52" s="3441"/>
      <c r="G52" s="3079">
        <v>21</v>
      </c>
      <c r="H52" s="3078">
        <v>189.28</v>
      </c>
      <c r="I52" s="3441"/>
      <c r="J52" s="3441"/>
    </row>
    <row r="53" spans="2:10" ht="15" thickBot="1">
      <c r="B53" s="3441"/>
      <c r="C53" s="3441"/>
      <c r="D53" s="3444"/>
      <c r="E53" s="3078" t="s">
        <v>3126</v>
      </c>
      <c r="F53" s="3441"/>
      <c r="G53" s="3079">
        <v>21</v>
      </c>
      <c r="H53" s="3078">
        <v>189.28</v>
      </c>
      <c r="I53" s="3441"/>
      <c r="J53" s="3441"/>
    </row>
    <row r="54" spans="2:10" ht="15" thickBot="1">
      <c r="B54" s="3441"/>
      <c r="C54" s="3441"/>
      <c r="D54" s="3444"/>
      <c r="E54" s="3078" t="s">
        <v>3127</v>
      </c>
      <c r="F54" s="3441"/>
      <c r="G54" s="3079">
        <v>21</v>
      </c>
      <c r="H54" s="3078">
        <v>633.87</v>
      </c>
      <c r="I54" s="3441"/>
      <c r="J54" s="3441"/>
    </row>
    <row r="55" spans="2:10" ht="15" thickBot="1">
      <c r="B55" s="3441"/>
      <c r="C55" s="3441"/>
      <c r="D55" s="3444"/>
      <c r="E55" s="3078" t="s">
        <v>3128</v>
      </c>
      <c r="F55" s="3441"/>
      <c r="G55" s="3079">
        <v>21</v>
      </c>
      <c r="H55" s="3078">
        <v>635.01</v>
      </c>
      <c r="I55" s="3441"/>
      <c r="J55" s="3441"/>
    </row>
    <row r="56" spans="2:10" ht="15" thickBot="1">
      <c r="B56" s="3441"/>
      <c r="C56" s="3441"/>
      <c r="D56" s="3444"/>
      <c r="E56" s="3078" t="s">
        <v>3129</v>
      </c>
      <c r="F56" s="3441"/>
      <c r="G56" s="3079">
        <v>21</v>
      </c>
      <c r="H56" s="3078">
        <v>188.16</v>
      </c>
      <c r="I56" s="3441"/>
      <c r="J56" s="3441"/>
    </row>
    <row r="57" spans="2:10" ht="15" thickBot="1">
      <c r="B57" s="3441"/>
      <c r="C57" s="3441"/>
      <c r="D57" s="3444"/>
      <c r="E57" s="3078" t="s">
        <v>3130</v>
      </c>
      <c r="F57" s="3441"/>
      <c r="G57" s="3079">
        <v>21</v>
      </c>
      <c r="H57" s="3078">
        <v>440.11</v>
      </c>
      <c r="I57" s="3441"/>
      <c r="J57" s="3441"/>
    </row>
    <row r="58" spans="2:10" ht="15" thickBot="1">
      <c r="B58" s="3441"/>
      <c r="C58" s="3441"/>
      <c r="D58" s="3444"/>
      <c r="E58" s="3078" t="s">
        <v>3131</v>
      </c>
      <c r="F58" s="3441"/>
      <c r="G58" s="3079">
        <v>21</v>
      </c>
      <c r="H58" s="3078">
        <v>375.32</v>
      </c>
      <c r="I58" s="3441"/>
      <c r="J58" s="3441"/>
    </row>
    <row r="59" spans="2:10" ht="15" thickBot="1">
      <c r="B59" s="3441"/>
      <c r="C59" s="3441"/>
      <c r="D59" s="3444"/>
      <c r="E59" s="3078" t="s">
        <v>3132</v>
      </c>
      <c r="F59" s="3441"/>
      <c r="G59" s="3079">
        <v>26</v>
      </c>
      <c r="H59" s="3078">
        <v>642.15</v>
      </c>
      <c r="I59" s="3441"/>
      <c r="J59" s="3441"/>
    </row>
    <row r="60" spans="2:10" ht="15" thickBot="1">
      <c r="B60" s="3441"/>
      <c r="C60" s="3441"/>
      <c r="D60" s="3444"/>
      <c r="E60" s="3078" t="s">
        <v>3133</v>
      </c>
      <c r="F60" s="3441"/>
      <c r="G60" s="3079">
        <v>26</v>
      </c>
      <c r="H60" s="3078">
        <v>189.28</v>
      </c>
      <c r="I60" s="3441"/>
      <c r="J60" s="3441"/>
    </row>
    <row r="61" spans="2:10" ht="15" thickBot="1">
      <c r="B61" s="3441"/>
      <c r="C61" s="3441"/>
      <c r="D61" s="3444"/>
      <c r="E61" s="3078" t="s">
        <v>3134</v>
      </c>
      <c r="F61" s="3441"/>
      <c r="G61" s="3079">
        <v>26</v>
      </c>
      <c r="H61" s="3078">
        <v>189.28</v>
      </c>
      <c r="I61" s="3441"/>
      <c r="J61" s="3441"/>
    </row>
    <row r="62" spans="2:10" ht="15" thickBot="1">
      <c r="B62" s="3441"/>
      <c r="C62" s="3441"/>
      <c r="D62" s="3444"/>
      <c r="E62" s="3078" t="s">
        <v>3135</v>
      </c>
      <c r="F62" s="3441"/>
      <c r="G62" s="3079">
        <v>26</v>
      </c>
      <c r="H62" s="3078">
        <v>633.87</v>
      </c>
      <c r="I62" s="3441"/>
      <c r="J62" s="3441"/>
    </row>
    <row r="63" spans="2:10" ht="15" thickBot="1">
      <c r="B63" s="3441"/>
      <c r="C63" s="3441"/>
      <c r="D63" s="3444"/>
      <c r="E63" s="3078" t="s">
        <v>3136</v>
      </c>
      <c r="F63" s="3441"/>
      <c r="G63" s="3079">
        <v>26</v>
      </c>
      <c r="H63" s="3078">
        <v>635.01</v>
      </c>
      <c r="I63" s="3441"/>
      <c r="J63" s="3441"/>
    </row>
    <row r="64" spans="2:10" ht="15" thickBot="1">
      <c r="B64" s="3441"/>
      <c r="C64" s="3441"/>
      <c r="D64" s="3444"/>
      <c r="E64" s="3078" t="s">
        <v>3137</v>
      </c>
      <c r="F64" s="3441"/>
      <c r="G64" s="3079">
        <v>26</v>
      </c>
      <c r="H64" s="3078">
        <v>188.16</v>
      </c>
      <c r="I64" s="3441"/>
      <c r="J64" s="3441"/>
    </row>
    <row r="65" spans="2:10" ht="15" thickBot="1">
      <c r="B65" s="3441"/>
      <c r="C65" s="3441"/>
      <c r="D65" s="3444"/>
      <c r="E65" s="3078" t="s">
        <v>3138</v>
      </c>
      <c r="F65" s="3441"/>
      <c r="G65" s="3079">
        <v>26</v>
      </c>
      <c r="H65" s="3078">
        <v>440.11</v>
      </c>
      <c r="I65" s="3441"/>
      <c r="J65" s="3441"/>
    </row>
    <row r="66" spans="2:10" ht="15" thickBot="1">
      <c r="B66" s="3441"/>
      <c r="C66" s="3441"/>
      <c r="D66" s="3444"/>
      <c r="E66" s="3078" t="s">
        <v>3139</v>
      </c>
      <c r="F66" s="3441"/>
      <c r="G66" s="3079">
        <v>26</v>
      </c>
      <c r="H66" s="3078">
        <v>375.49</v>
      </c>
      <c r="I66" s="3441"/>
      <c r="J66" s="3441"/>
    </row>
    <row r="67" spans="2:10" ht="15" thickBot="1">
      <c r="B67" s="3441"/>
      <c r="C67" s="3441"/>
      <c r="D67" s="3444"/>
      <c r="E67" s="3078" t="s">
        <v>3140</v>
      </c>
      <c r="F67" s="3441"/>
      <c r="G67" s="3079">
        <v>27</v>
      </c>
      <c r="H67" s="3078">
        <v>642.15</v>
      </c>
      <c r="I67" s="3441"/>
      <c r="J67" s="3441"/>
    </row>
    <row r="68" spans="2:10" ht="15" thickBot="1">
      <c r="B68" s="3441"/>
      <c r="C68" s="3441"/>
      <c r="D68" s="3444"/>
      <c r="E68" s="3078" t="s">
        <v>3141</v>
      </c>
      <c r="F68" s="3441"/>
      <c r="G68" s="3079">
        <v>27</v>
      </c>
      <c r="H68" s="3078">
        <v>189.28</v>
      </c>
      <c r="I68" s="3441"/>
      <c r="J68" s="3441"/>
    </row>
    <row r="69" spans="2:10" ht="15" thickBot="1">
      <c r="B69" s="3441"/>
      <c r="C69" s="3441"/>
      <c r="D69" s="3444"/>
      <c r="E69" s="3078" t="s">
        <v>3142</v>
      </c>
      <c r="F69" s="3441"/>
      <c r="G69" s="3079">
        <v>27</v>
      </c>
      <c r="H69" s="3078">
        <v>189.28</v>
      </c>
      <c r="I69" s="3441"/>
      <c r="J69" s="3441"/>
    </row>
    <row r="70" spans="2:10" ht="15" thickBot="1">
      <c r="B70" s="3441"/>
      <c r="C70" s="3441"/>
      <c r="D70" s="3444"/>
      <c r="E70" s="3078" t="s">
        <v>3143</v>
      </c>
      <c r="F70" s="3441"/>
      <c r="G70" s="3079">
        <v>27</v>
      </c>
      <c r="H70" s="3078">
        <v>633.87</v>
      </c>
      <c r="I70" s="3441"/>
      <c r="J70" s="3441"/>
    </row>
    <row r="71" spans="2:10" ht="15" thickBot="1">
      <c r="B71" s="3441"/>
      <c r="C71" s="3441"/>
      <c r="D71" s="3444"/>
      <c r="E71" s="3078" t="s">
        <v>3144</v>
      </c>
      <c r="F71" s="3441"/>
      <c r="G71" s="3079">
        <v>27</v>
      </c>
      <c r="H71" s="3078">
        <v>635.01</v>
      </c>
      <c r="I71" s="3441"/>
      <c r="J71" s="3441"/>
    </row>
    <row r="72" spans="2:10" ht="15" thickBot="1">
      <c r="B72" s="3441"/>
      <c r="C72" s="3441"/>
      <c r="D72" s="3444"/>
      <c r="E72" s="3078" t="s">
        <v>3145</v>
      </c>
      <c r="F72" s="3441"/>
      <c r="G72" s="3079">
        <v>27</v>
      </c>
      <c r="H72" s="3078">
        <v>188.16</v>
      </c>
      <c r="I72" s="3441"/>
      <c r="J72" s="3441"/>
    </row>
    <row r="73" spans="2:10" ht="15" thickBot="1">
      <c r="B73" s="3441"/>
      <c r="C73" s="3441"/>
      <c r="D73" s="3444"/>
      <c r="E73" s="3078" t="s">
        <v>3146</v>
      </c>
      <c r="F73" s="3441"/>
      <c r="G73" s="3079">
        <v>27</v>
      </c>
      <c r="H73" s="3078">
        <v>440.11</v>
      </c>
      <c r="I73" s="3441"/>
      <c r="J73" s="3441"/>
    </row>
    <row r="74" spans="2:10" ht="15" thickBot="1">
      <c r="B74" s="3441"/>
      <c r="C74" s="3441"/>
      <c r="D74" s="3444"/>
      <c r="E74" s="3078" t="s">
        <v>3147</v>
      </c>
      <c r="F74" s="3441"/>
      <c r="G74" s="3079">
        <v>27</v>
      </c>
      <c r="H74" s="3078">
        <v>373.44</v>
      </c>
      <c r="I74" s="3441"/>
      <c r="J74" s="3441"/>
    </row>
    <row r="75" spans="2:10" ht="15" thickBot="1">
      <c r="B75" s="3441"/>
      <c r="C75" s="3441"/>
      <c r="D75" s="3444"/>
      <c r="E75" s="3078" t="s">
        <v>3148</v>
      </c>
      <c r="F75" s="3441"/>
      <c r="G75" s="3079">
        <v>30</v>
      </c>
      <c r="H75" s="3078">
        <v>640.97</v>
      </c>
      <c r="I75" s="3441"/>
      <c r="J75" s="3441"/>
    </row>
    <row r="76" spans="2:10" ht="15" thickBot="1">
      <c r="B76" s="3441"/>
      <c r="C76" s="3441"/>
      <c r="D76" s="3444"/>
      <c r="E76" s="3078" t="s">
        <v>3149</v>
      </c>
      <c r="F76" s="3441"/>
      <c r="G76" s="3079">
        <v>30</v>
      </c>
      <c r="H76" s="3078">
        <v>189.28</v>
      </c>
      <c r="I76" s="3441"/>
      <c r="J76" s="3441"/>
    </row>
    <row r="77" spans="2:10" ht="15" thickBot="1">
      <c r="B77" s="3441"/>
      <c r="C77" s="3441"/>
      <c r="D77" s="3444"/>
      <c r="E77" s="3078" t="s">
        <v>3150</v>
      </c>
      <c r="F77" s="3441"/>
      <c r="G77" s="3079">
        <v>30</v>
      </c>
      <c r="H77" s="3078">
        <v>189.28</v>
      </c>
      <c r="I77" s="3441"/>
      <c r="J77" s="3441"/>
    </row>
    <row r="78" spans="2:10" ht="15" thickBot="1">
      <c r="B78" s="3441"/>
      <c r="C78" s="3441"/>
      <c r="D78" s="3444"/>
      <c r="E78" s="3078" t="s">
        <v>3151</v>
      </c>
      <c r="F78" s="3441"/>
      <c r="G78" s="3079">
        <v>30</v>
      </c>
      <c r="H78" s="3078">
        <v>633.87</v>
      </c>
      <c r="I78" s="3441"/>
      <c r="J78" s="3441"/>
    </row>
    <row r="79" spans="2:10" ht="15" thickBot="1">
      <c r="B79" s="3441"/>
      <c r="C79" s="3441"/>
      <c r="D79" s="3444"/>
      <c r="E79" s="3078" t="s">
        <v>3152</v>
      </c>
      <c r="F79" s="3441"/>
      <c r="G79" s="3079">
        <v>30</v>
      </c>
      <c r="H79" s="3078">
        <v>635.01</v>
      </c>
      <c r="I79" s="3441"/>
      <c r="J79" s="3441"/>
    </row>
    <row r="80" spans="2:10" ht="15" thickBot="1">
      <c r="B80" s="3441"/>
      <c r="C80" s="3441"/>
      <c r="D80" s="3444"/>
      <c r="E80" s="3078" t="s">
        <v>3153</v>
      </c>
      <c r="F80" s="3441"/>
      <c r="G80" s="3079">
        <v>30</v>
      </c>
      <c r="H80" s="3078">
        <v>188.16</v>
      </c>
      <c r="I80" s="3441"/>
      <c r="J80" s="3441"/>
    </row>
    <row r="81" spans="2:10" ht="15" thickBot="1">
      <c r="B81" s="3441"/>
      <c r="C81" s="3441"/>
      <c r="D81" s="3444"/>
      <c r="E81" s="3078" t="s">
        <v>3154</v>
      </c>
      <c r="F81" s="3441"/>
      <c r="G81" s="3079">
        <v>30</v>
      </c>
      <c r="H81" s="3078">
        <v>440.11</v>
      </c>
      <c r="I81" s="3441"/>
      <c r="J81" s="3441"/>
    </row>
    <row r="82" spans="2:10" ht="15" thickBot="1">
      <c r="B82" s="3442"/>
      <c r="C82" s="3442"/>
      <c r="D82" s="3445"/>
      <c r="E82" s="3078" t="s">
        <v>3155</v>
      </c>
      <c r="F82" s="3446"/>
      <c r="G82" s="3079">
        <v>30</v>
      </c>
      <c r="H82" s="3078">
        <v>372.35</v>
      </c>
      <c r="I82" s="3446"/>
      <c r="J82" s="3446"/>
    </row>
    <row r="83" spans="2:10" ht="15" thickBot="1">
      <c r="B83" s="3080" t="s">
        <v>37</v>
      </c>
      <c r="C83" s="3436"/>
      <c r="D83" s="3437"/>
      <c r="E83" s="3437"/>
      <c r="F83" s="3437"/>
      <c r="G83" s="3438"/>
      <c r="H83" s="3436">
        <v>32481.79</v>
      </c>
      <c r="I83" s="3437"/>
      <c r="J83" s="3439"/>
    </row>
    <row r="88" spans="2:10">
      <c r="B88" s="3094" t="s">
        <v>3215</v>
      </c>
      <c r="C88" s="3094" t="s">
        <v>3216</v>
      </c>
      <c r="D88" s="3094" t="s">
        <v>3217</v>
      </c>
      <c r="E88" s="3094" t="s">
        <v>3218</v>
      </c>
      <c r="F88" s="3094" t="s">
        <v>3219</v>
      </c>
      <c r="G88" s="3094" t="s">
        <v>3220</v>
      </c>
      <c r="H88" s="3094" t="s">
        <v>3221</v>
      </c>
      <c r="I88" s="3094" t="s">
        <v>3218</v>
      </c>
    </row>
    <row r="89" spans="2:10">
      <c r="B89">
        <f>'数据-汇总表'!D27</f>
        <v>1574.1399999999999</v>
      </c>
      <c r="C89">
        <f>'数据-汇总表'!E27</f>
        <v>32481.79</v>
      </c>
      <c r="D89">
        <f ca="1">H89-F89</f>
        <v>142452</v>
      </c>
      <c r="E89">
        <f ca="1">I89-G89</f>
        <v>43856</v>
      </c>
      <c r="F89">
        <f ca="1">ROUND(G89*C89/10000,0)</f>
        <v>22341</v>
      </c>
      <c r="G89">
        <f ca="1">'结果表-基准'!G118</f>
        <v>6878</v>
      </c>
      <c r="H89">
        <f ca="1">结果表!H118</f>
        <v>164793</v>
      </c>
      <c r="I89">
        <f ca="1">结果表!I118</f>
        <v>50734</v>
      </c>
    </row>
    <row r="92" spans="2:10">
      <c r="D92">
        <f ca="1">H92-F92</f>
        <v>142468</v>
      </c>
      <c r="E92">
        <f ca="1">I92-G92</f>
        <v>43861</v>
      </c>
      <c r="F92">
        <f ca="1">ROUND(G92*C89/10000,0)</f>
        <v>22325</v>
      </c>
      <c r="G92">
        <f ca="1">ROUND(典型户型修正!R24*'收益法 (元)'!C80,0)</f>
        <v>6873</v>
      </c>
      <c r="H92">
        <f ca="1">典型户型修正!S22</f>
        <v>164793</v>
      </c>
      <c r="I92">
        <f ca="1">典型户型修正!R22</f>
        <v>50734</v>
      </c>
    </row>
  </sheetData>
  <mergeCells count="8">
    <mergeCell ref="C83:G83"/>
    <mergeCell ref="H83:J83"/>
    <mergeCell ref="B3:B82"/>
    <mergeCell ref="C3:C82"/>
    <mergeCell ref="D3:D82"/>
    <mergeCell ref="F3:F82"/>
    <mergeCell ref="I3:I82"/>
    <mergeCell ref="J3:J8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104" sqref="A10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62" t="s">
        <v>1603</v>
      </c>
      <c r="E3" s="962" t="s">
        <v>1609</v>
      </c>
      <c r="F3" s="962" t="s">
        <v>1603</v>
      </c>
      <c r="G3" s="962" t="s">
        <v>1604</v>
      </c>
      <c r="H3" s="962" t="s">
        <v>1603</v>
      </c>
      <c r="I3" s="962" t="s">
        <v>1604</v>
      </c>
    </row>
    <row r="4" spans="1:9" ht="15">
      <c r="A4" s="1688" t="str">
        <f>项目基本情况!S2</f>
        <v>北京市房地产</v>
      </c>
      <c r="B4" s="962">
        <f>项目基本情况!C17</f>
        <v>32481.79</v>
      </c>
      <c r="C4" s="962">
        <f>项目基本情况!C18</f>
        <v>1574.14</v>
      </c>
      <c r="D4" s="962">
        <f ca="1">结果表!D118</f>
        <v>142711</v>
      </c>
      <c r="E4" s="962">
        <f ca="1">结果表!E118</f>
        <v>43936</v>
      </c>
      <c r="F4" s="962">
        <f ca="1">结果表!F118</f>
        <v>22082</v>
      </c>
      <c r="G4" s="962">
        <f ca="1">结果表!G118</f>
        <v>6798</v>
      </c>
      <c r="H4" s="962">
        <f ca="1">结果表!H118</f>
        <v>164793</v>
      </c>
      <c r="I4" s="962">
        <f ca="1">结果表!I118</f>
        <v>50734</v>
      </c>
    </row>
    <row r="5" spans="1:9" ht="30" customHeight="1">
      <c r="A5" s="3108" t="s">
        <v>1605</v>
      </c>
      <c r="B5" s="3108"/>
      <c r="C5" s="3108"/>
      <c r="D5" s="3109" t="str">
        <f ca="1">结果表!D119</f>
        <v>壹拾肆亿贰仟柒佰壹拾壹万元整</v>
      </c>
      <c r="E5" s="3109"/>
      <c r="F5" s="3109" t="str">
        <f ca="1">结果表!F119</f>
        <v>贰亿贰仟零捌拾贰万元整</v>
      </c>
      <c r="G5" s="3109"/>
      <c r="H5" s="3109" t="str">
        <f ca="1">结果表!H119</f>
        <v>壹拾陆亿肆仟柒佰玖拾叁万元整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1605</v>
      </c>
      <c r="B7" s="3108"/>
      <c r="C7" s="3108"/>
      <c r="D7" s="3111" t="str">
        <f>结果表!D121</f>
        <v>零元整</v>
      </c>
      <c r="E7" s="3112"/>
      <c r="F7" s="3112"/>
      <c r="G7" s="3112"/>
      <c r="H7" s="3112"/>
      <c r="I7" s="3113"/>
    </row>
    <row r="8" spans="1:9" ht="15.75">
      <c r="A8" s="3110" t="str">
        <f>结果表!A122</f>
        <v>房地产抵押价值</v>
      </c>
      <c r="B8" s="3110"/>
      <c r="C8" s="3110"/>
      <c r="D8" s="3110">
        <f ca="1">结果表!D122</f>
        <v>164793</v>
      </c>
      <c r="E8" s="3110"/>
      <c r="F8" s="3110"/>
      <c r="G8" s="3110"/>
      <c r="H8" s="3110"/>
      <c r="I8" s="3110"/>
    </row>
    <row r="9" spans="1:9" ht="15">
      <c r="A9" s="3108" t="s">
        <v>1605</v>
      </c>
      <c r="B9" s="3108"/>
      <c r="C9" s="3108"/>
      <c r="D9" s="3109" t="str">
        <f ca="1">结果表!D123</f>
        <v>壹拾陆亿肆仟柒佰玖拾叁万元整</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1605</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7" t="s">
        <v>1627</v>
      </c>
      <c r="B1" s="3117"/>
      <c r="C1" s="3117"/>
      <c r="D1" s="3117"/>
    </row>
    <row r="2" spans="1:4" ht="18">
      <c r="A2" s="3118" t="s">
        <v>1611</v>
      </c>
      <c r="B2" s="3118"/>
      <c r="C2" s="3118"/>
      <c r="D2" s="3118"/>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18" t="s">
        <v>1617</v>
      </c>
      <c r="B6" s="3118"/>
      <c r="C6" s="3118"/>
      <c r="D6" s="3118"/>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9"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3" t="s">
        <v>1621</v>
      </c>
      <c r="B16" s="3123"/>
      <c r="C16" s="3123"/>
      <c r="D16" s="3123"/>
    </row>
    <row r="17" spans="1:4" ht="144" customHeight="1">
      <c r="A17" s="3123" t="s">
        <v>1622</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31" t="s">
        <v>1634</v>
      </c>
      <c r="B15" s="3126" t="s">
        <v>136</v>
      </c>
      <c r="C15" s="3127"/>
    </row>
    <row r="16" spans="1:7" ht="13.5">
      <c r="A16" s="3132"/>
      <c r="B16" s="3126" t="s">
        <v>69</v>
      </c>
      <c r="C16" s="3127"/>
    </row>
    <row r="17" spans="1:3" ht="13.5">
      <c r="A17" s="3132"/>
      <c r="B17" s="3129" t="s">
        <v>1635</v>
      </c>
      <c r="C17" s="1715" t="s">
        <v>1634</v>
      </c>
    </row>
    <row r="18" spans="1:3" ht="13.5">
      <c r="A18" s="3132"/>
      <c r="B18" s="3129"/>
      <c r="C18" s="1715" t="s">
        <v>1636</v>
      </c>
    </row>
    <row r="19" spans="1:3" ht="13.5">
      <c r="A19" s="3132"/>
      <c r="B19" s="3129"/>
      <c r="C19" s="1715" t="s">
        <v>1637</v>
      </c>
    </row>
    <row r="20" spans="1:3" ht="13.5">
      <c r="A20" s="3133"/>
      <c r="B20" s="3128" t="s">
        <v>1638</v>
      </c>
      <c r="C20" s="3127"/>
    </row>
    <row r="21" spans="1:3" ht="13.5">
      <c r="A21" s="1716" t="s">
        <v>1639</v>
      </c>
      <c r="B21" s="1717"/>
      <c r="C21" s="1718"/>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5" t="s">
        <v>1645</v>
      </c>
    </row>
    <row r="26" spans="1:3" ht="13.5">
      <c r="A26" s="3130"/>
      <c r="B26" s="3129"/>
      <c r="C26" s="1715" t="s">
        <v>1646</v>
      </c>
    </row>
    <row r="27" spans="1:3" ht="13.5">
      <c r="A27" s="3130"/>
      <c r="B27" s="3129"/>
      <c r="C27" s="1715" t="s">
        <v>1647</v>
      </c>
    </row>
    <row r="28" spans="1:3" ht="13.5">
      <c r="A28" s="3130"/>
      <c r="B28" s="3129"/>
      <c r="C28" s="1715" t="s">
        <v>1648</v>
      </c>
    </row>
    <row r="29" spans="1:3" ht="13.5">
      <c r="A29" s="3130"/>
      <c r="B29" s="3129"/>
      <c r="C29" s="1715" t="s">
        <v>1649</v>
      </c>
    </row>
    <row r="30" spans="1:3" ht="13.5">
      <c r="A30" s="3130"/>
      <c r="B30" s="3129"/>
      <c r="C30" s="1715" t="s">
        <v>1650</v>
      </c>
    </row>
    <row r="31" spans="1:3" ht="13.5">
      <c r="A31" s="3130"/>
      <c r="B31" s="3129"/>
      <c r="C31" s="1715" t="s">
        <v>1651</v>
      </c>
    </row>
    <row r="32" spans="1:3" ht="13.5">
      <c r="A32" s="3130"/>
      <c r="B32" s="3129"/>
      <c r="C32" s="1715" t="s">
        <v>1652</v>
      </c>
    </row>
    <row r="33" spans="1:3" ht="13.5">
      <c r="A33" s="3130"/>
      <c r="B33" s="312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44412</v>
      </c>
      <c r="C2" s="2561" t="s">
        <v>2881</v>
      </c>
      <c r="D2" s="2561"/>
      <c r="E2" s="2561"/>
      <c r="F2" s="2557"/>
      <c r="G2" s="2557"/>
      <c r="H2" s="2557"/>
    </row>
    <row r="3" spans="1:8" ht="24" customHeight="1">
      <c r="A3" s="2562" t="s">
        <v>2882</v>
      </c>
      <c r="B3" s="2563" t="s">
        <v>2883</v>
      </c>
      <c r="C3" s="2563" t="s">
        <v>2884</v>
      </c>
      <c r="D3" s="2564" t="s">
        <v>2885</v>
      </c>
      <c r="E3" s="2565" t="s">
        <v>2886</v>
      </c>
      <c r="F3" s="1470" t="s">
        <v>2887</v>
      </c>
      <c r="G3" s="2563" t="s">
        <v>2884</v>
      </c>
      <c r="H3" s="2564" t="s">
        <v>2888</v>
      </c>
    </row>
    <row r="4" spans="1:8" ht="24" customHeight="1">
      <c r="A4" s="1470" t="s">
        <v>2889</v>
      </c>
      <c r="B4" s="1470">
        <f ca="1">IF(C4&lt;B2,"已过期",1119970066)</f>
        <v>1119970066</v>
      </c>
      <c r="C4" s="2566">
        <v>44876</v>
      </c>
      <c r="D4" s="2567" t="str">
        <f ca="1">A4&amp;"（注册号："&amp;B4&amp;"）"</f>
        <v>梁津（注册号：1119970066）</v>
      </c>
      <c r="E4" s="2568" t="s">
        <v>2889</v>
      </c>
      <c r="F4" s="1470">
        <f ca="1">IF(G4&lt;B2,"已过期",96010014)</f>
        <v>96010014</v>
      </c>
      <c r="G4" s="2569">
        <v>47118</v>
      </c>
      <c r="H4" s="2570" t="str">
        <f ca="1">E4&amp;"（注册号："&amp;F4&amp;"）"</f>
        <v>梁津（注册号：96010014）</v>
      </c>
    </row>
    <row r="5" spans="1:8" ht="24" customHeight="1">
      <c r="A5" s="1470" t="s">
        <v>2890</v>
      </c>
      <c r="B5" s="1470">
        <f ca="1">IF(C5&lt;B2,"已过期",1119970111)</f>
        <v>1119970111</v>
      </c>
      <c r="C5" s="2566">
        <v>44876</v>
      </c>
      <c r="D5" s="2567" t="str">
        <f t="shared" ref="D5:D15" ca="1" si="0">A5&amp;"（注册号："&amp;B5&amp;"）"</f>
        <v>叶凌（注册号：1119970111）</v>
      </c>
      <c r="E5" s="2568" t="s">
        <v>2890</v>
      </c>
      <c r="F5" s="1470">
        <f ca="1">IF(G5&lt;B2,"已过期",94010078)</f>
        <v>94010078</v>
      </c>
      <c r="G5" s="2569">
        <v>46387</v>
      </c>
      <c r="H5" s="2570" t="str">
        <f t="shared" ref="H5:H16" ca="1" si="1">E5&amp;"（注册号："&amp;F5&amp;"）"</f>
        <v>叶凌（注册号：94010078）</v>
      </c>
    </row>
    <row r="6" spans="1:8" ht="24" customHeight="1">
      <c r="A6" s="1470" t="s">
        <v>2891</v>
      </c>
      <c r="B6" s="1470" t="str">
        <f ca="1">IF(C6&lt;B2,"已过期",1120050019)</f>
        <v>已过期</v>
      </c>
      <c r="C6" s="2566">
        <v>44395</v>
      </c>
      <c r="D6" s="2567" t="str">
        <f t="shared" ca="1" si="0"/>
        <v>王鹏（注册号：已过期）</v>
      </c>
      <c r="E6" s="2568" t="s">
        <v>2891</v>
      </c>
      <c r="F6" s="1470">
        <f ca="1">IF(G6&lt;B2,"已过期",2002110030)</f>
        <v>2002110030</v>
      </c>
      <c r="G6" s="2569">
        <v>46387</v>
      </c>
      <c r="H6" s="2570" t="str">
        <f t="shared" ca="1" si="1"/>
        <v>王鹏（注册号：2002110030）</v>
      </c>
    </row>
    <row r="7" spans="1:8" ht="24" customHeight="1">
      <c r="A7" s="1470" t="s">
        <v>2892</v>
      </c>
      <c r="B7" s="1470">
        <f ca="1">IF(C7&lt;B2,"已过期",1120000080)</f>
        <v>1120000080</v>
      </c>
      <c r="C7" s="2566">
        <v>44876</v>
      </c>
      <c r="D7" s="2567" t="str">
        <f t="shared" ca="1" si="0"/>
        <v>欧红伟（注册号：1120000080）</v>
      </c>
      <c r="E7" s="2568" t="s">
        <v>2892</v>
      </c>
      <c r="F7" s="1470">
        <f ca="1">IF(G7&lt;B2,"已过期",2000110082)</f>
        <v>2000110082</v>
      </c>
      <c r="G7" s="2569">
        <v>46387</v>
      </c>
      <c r="H7" s="2570" t="str">
        <f t="shared" ca="1" si="1"/>
        <v>欧红伟（注册号：2000110082）</v>
      </c>
    </row>
    <row r="8" spans="1:8" ht="24" customHeight="1">
      <c r="A8" s="1470" t="s">
        <v>2893</v>
      </c>
      <c r="B8" s="1470">
        <f ca="1">IF(C8&lt;B2,"已过期",1419970001)</f>
        <v>1419970001</v>
      </c>
      <c r="C8" s="2566">
        <v>44899</v>
      </c>
      <c r="D8" s="2567" t="str">
        <f t="shared" ca="1" si="0"/>
        <v>吴薇（注册号：1419970001）</v>
      </c>
      <c r="E8" s="2568" t="s">
        <v>2893</v>
      </c>
      <c r="F8" s="1470">
        <f ca="1">IF(G8&lt;B2,"已过期",2002110125)</f>
        <v>2002110125</v>
      </c>
      <c r="G8" s="2569">
        <v>47118</v>
      </c>
      <c r="H8" s="2570" t="str">
        <f t="shared" ca="1" si="1"/>
        <v>吴薇（注册号：2002110125）</v>
      </c>
    </row>
    <row r="9" spans="1:8" ht="24" customHeight="1">
      <c r="A9" s="1470" t="s">
        <v>2894</v>
      </c>
      <c r="B9" s="1470">
        <f ca="1">IF(C9&lt;B2,"已过期",1120060040)</f>
        <v>1120060040</v>
      </c>
      <c r="C9" s="2571">
        <v>44554</v>
      </c>
      <c r="D9" s="2567" t="str">
        <f t="shared" ca="1" si="0"/>
        <v>陈颖（注册号：1120060040）</v>
      </c>
      <c r="E9" s="2568" t="s">
        <v>2894</v>
      </c>
      <c r="F9" s="1470">
        <f ca="1">IF(G9&lt;B2,"已过期",2004110096)</f>
        <v>2004110096</v>
      </c>
      <c r="G9" s="2569">
        <v>47118</v>
      </c>
      <c r="H9" s="2570" t="str">
        <f t="shared" ca="1" si="1"/>
        <v>陈颖（注册号：2004110096）</v>
      </c>
    </row>
    <row r="10" spans="1:8" ht="24" customHeight="1">
      <c r="A10" s="1470" t="s">
        <v>2895</v>
      </c>
      <c r="B10" s="1470">
        <f ca="1">IF(C10&lt;B2,"已过期",1120100036)</f>
        <v>1120100036</v>
      </c>
      <c r="C10" s="2571">
        <v>44675</v>
      </c>
      <c r="D10" s="2567" t="str">
        <f t="shared" ca="1" si="0"/>
        <v>崔锴（注册号：1120100036）</v>
      </c>
      <c r="E10" s="2568" t="s">
        <v>2895</v>
      </c>
      <c r="F10" s="1470">
        <f ca="1">IF(G10&lt;B2,"已过期",2010110070)</f>
        <v>2010110070</v>
      </c>
      <c r="G10" s="2569">
        <v>47907</v>
      </c>
      <c r="H10" s="2570" t="str">
        <f t="shared" ca="1" si="1"/>
        <v>崔锴（注册号：2010110070）</v>
      </c>
    </row>
    <row r="11" spans="1:8" ht="24" customHeight="1">
      <c r="A11" s="1470" t="s">
        <v>2896</v>
      </c>
      <c r="B11" s="1470">
        <f ca="1">IF(C11&lt;B2,"已过期",1120070131)</f>
        <v>1120070131</v>
      </c>
      <c r="C11" s="2566">
        <v>44849</v>
      </c>
      <c r="D11" s="2567" t="str">
        <f t="shared" ca="1" si="0"/>
        <v>郑燚（注册号：1120070131）</v>
      </c>
      <c r="E11" s="2568" t="s">
        <v>2896</v>
      </c>
      <c r="F11" s="1470">
        <f ca="1">IF(G11&lt;B2,"已过期",2014110011)</f>
        <v>2014110011</v>
      </c>
      <c r="G11" s="2569">
        <v>49302</v>
      </c>
      <c r="H11" s="2570" t="str">
        <f t="shared" ca="1" si="1"/>
        <v>郑燚（注册号：2014110011）</v>
      </c>
    </row>
    <row r="12" spans="1:8" ht="24" customHeight="1">
      <c r="A12" s="1470" t="s">
        <v>2897</v>
      </c>
      <c r="B12" s="1470">
        <f ca="1">IF(C12&lt;B2,"已过期",1120040230)</f>
        <v>1120040230</v>
      </c>
      <c r="C12" s="2571">
        <v>44864</v>
      </c>
      <c r="D12" s="2567" t="str">
        <f t="shared" ca="1" si="0"/>
        <v>苏海（注册号：1120040230）</v>
      </c>
      <c r="E12" s="2568" t="s">
        <v>2897</v>
      </c>
      <c r="F12" s="1470">
        <f ca="1">IF(G12&lt;B2,"已过期",98030020)</f>
        <v>98030020</v>
      </c>
      <c r="G12" s="2569">
        <v>47118</v>
      </c>
      <c r="H12" s="2570" t="str">
        <f t="shared" ca="1" si="1"/>
        <v>苏海（注册号：98030020）</v>
      </c>
    </row>
    <row r="13" spans="1:8" ht="24" customHeight="1">
      <c r="A13" s="1470" t="s">
        <v>2898</v>
      </c>
      <c r="B13" s="1470" t="str">
        <f ca="1">IF(C13&lt;B2,"已过期",1120020033)</f>
        <v>已过期</v>
      </c>
      <c r="C13" s="2566">
        <v>44339</v>
      </c>
      <c r="D13" s="2567" t="str">
        <f t="shared" ca="1" si="0"/>
        <v>刘敬东（注册号：已过期）</v>
      </c>
      <c r="E13" s="2568" t="s">
        <v>2898</v>
      </c>
      <c r="F13" s="1470">
        <f ca="1">IF(G13&lt;B2,"已过期",2000110137)</f>
        <v>2000110137</v>
      </c>
      <c r="G13" s="2569">
        <v>46387</v>
      </c>
      <c r="H13" s="2570" t="str">
        <f t="shared" ca="1" si="1"/>
        <v>刘敬东（注册号：2000110137）</v>
      </c>
    </row>
    <row r="14" spans="1:8" ht="24" customHeight="1">
      <c r="A14" s="1470" t="s">
        <v>2899</v>
      </c>
      <c r="B14" s="1470">
        <f ca="1">IF(C14&lt;B2,"已过期",1119980106)</f>
        <v>1119980106</v>
      </c>
      <c r="C14" s="2571">
        <v>44969</v>
      </c>
      <c r="D14" s="2567" t="str">
        <f t="shared" ca="1" si="0"/>
        <v>刘俊财（注册号：1119980106）</v>
      </c>
      <c r="E14" s="2568" t="s">
        <v>2899</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2900</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4"/>
      <c r="E18" s="3136" t="s">
        <v>2903</v>
      </c>
      <c r="F18" s="3135"/>
      <c r="G18" s="3135"/>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2021-08-04T02:57:00Z</dcterms:modified>
</cp:coreProperties>
</file>