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70" yWindow="15" windowWidth="14385" windowHeight="1222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C6" i="69"/>
  <c r="D33" i="43"/>
  <c r="G62" i="43"/>
  <c r="G63" i="43"/>
  <c r="G64" i="43"/>
  <c r="G65" i="43"/>
  <c r="G66" i="43"/>
  <c r="G67" i="43"/>
  <c r="G68" i="43"/>
  <c r="G69" i="43"/>
  <c r="G61" i="43"/>
  <c r="Y6" i="1" l="1"/>
  <c r="T20" i="1"/>
  <c r="V20" i="1"/>
  <c r="T19" i="1"/>
  <c r="V19" i="1" s="1"/>
  <c r="N6" i="1"/>
  <c r="N18" i="1"/>
  <c r="N20" i="1" s="1"/>
  <c r="B55" i="1"/>
  <c r="B21" i="1"/>
  <c r="F19" i="6"/>
  <c r="V21" i="1" l="1"/>
  <c r="T21" i="1"/>
  <c r="U21" i="1" s="1"/>
  <c r="D3" i="4" l="1"/>
  <c r="E27" i="45" l="1"/>
  <c r="G14" i="73" l="1"/>
  <c r="F14" i="73"/>
  <c r="E14" i="73"/>
  <c r="I12" i="79" l="1"/>
  <c r="AR34" i="79" l="1"/>
  <c r="AP34" i="79"/>
  <c r="AO34" i="79"/>
  <c r="AP35" i="79"/>
  <c r="AP36" i="79" s="1"/>
  <c r="AP37" i="79" s="1"/>
  <c r="AP38" i="79" s="1"/>
  <c r="AP39" i="79" s="1"/>
  <c r="AP40" i="79" s="1"/>
  <c r="AP41" i="79" s="1"/>
  <c r="AP42" i="79" s="1"/>
  <c r="AP43" i="79" s="1"/>
  <c r="AP44" i="79" s="1"/>
  <c r="AP45" i="79" s="1"/>
  <c r="AP46" i="79" s="1"/>
  <c r="AP47" i="79" s="1"/>
  <c r="AP48" i="79" s="1"/>
  <c r="AP49" i="79" s="1"/>
  <c r="AP50" i="79" s="1"/>
  <c r="AP51" i="79" s="1"/>
  <c r="AP52" i="79" s="1"/>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R7" i="79" s="1"/>
  <c r="AC7" i="79"/>
  <c r="AB7" i="79"/>
  <c r="AA7" i="79"/>
  <c r="AD7" i="79" s="1"/>
  <c r="Z7" i="79"/>
  <c r="Y7" i="79"/>
  <c r="O7" i="79"/>
  <c r="N7" i="79"/>
  <c r="M7" i="79"/>
  <c r="P7" i="79" s="1"/>
  <c r="L7" i="79"/>
  <c r="K7" i="79"/>
  <c r="I7" i="79"/>
  <c r="AD34" i="79" l="1"/>
  <c r="AR35" i="79"/>
  <c r="AR36" i="79" s="1"/>
  <c r="AR8" i="79"/>
  <c r="AD35"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D6" i="73"/>
  <c r="F8" i="15"/>
  <c r="AO13" i="1"/>
  <c r="F9" i="67"/>
  <c r="J15" i="67"/>
  <c r="M9" i="67"/>
  <c r="E8" i="76"/>
  <c r="F5" i="73"/>
  <c r="D35" i="9"/>
  <c r="M28" i="67"/>
  <c r="E7" i="76"/>
  <c r="M22" i="15"/>
  <c r="M9" i="15"/>
  <c r="M28" i="15"/>
  <c r="M23" i="15"/>
  <c r="F7" i="15"/>
  <c r="E13" i="76"/>
  <c r="B13" i="76"/>
  <c r="F13" i="67"/>
  <c r="B12" i="76"/>
  <c r="F43" i="15"/>
  <c r="L47" i="15"/>
  <c r="F7" i="67"/>
  <c r="M29" i="67"/>
  <c r="C76" i="15"/>
  <c r="M8" i="15"/>
  <c r="F37" i="15"/>
  <c r="F26" i="15"/>
  <c r="F9" i="15"/>
  <c r="E2" i="68"/>
  <c r="F42" i="15"/>
  <c r="F6" i="15"/>
  <c r="M22" i="67"/>
  <c r="F40" i="15"/>
  <c r="F7" i="73"/>
  <c r="M6" i="15"/>
  <c r="B11" i="76"/>
  <c r="F13" i="15"/>
  <c r="F16" i="67"/>
  <c r="F6" i="67"/>
  <c r="E9" i="76"/>
  <c r="F42" i="67"/>
  <c r="F20" i="31"/>
  <c r="F3" i="73"/>
  <c r="L48" i="67"/>
  <c r="B7" i="76"/>
  <c r="M24" i="67"/>
  <c r="F16" i="15"/>
  <c r="B9" i="76"/>
  <c r="J15" i="15"/>
  <c r="F36" i="67"/>
  <c r="C76" i="67"/>
  <c r="M24" i="15"/>
  <c r="M8" i="67"/>
  <c r="M26" i="67"/>
  <c r="B10" i="76"/>
  <c r="L47" i="67"/>
  <c r="M29" i="15"/>
  <c r="F6" i="73"/>
  <c r="L48" i="15"/>
  <c r="F43" i="67"/>
  <c r="E11" i="76"/>
  <c r="F38" i="67"/>
  <c r="E2" i="69"/>
  <c r="F36" i="15"/>
  <c r="F38" i="15"/>
  <c r="E12" i="76"/>
  <c r="M26" i="15"/>
  <c r="M23" i="67"/>
  <c r="F4" i="73"/>
  <c r="D34" i="9"/>
  <c r="F37" i="67"/>
  <c r="F8" i="67"/>
  <c r="E10" i="76"/>
  <c r="B8" i="76"/>
  <c r="F40" i="67"/>
  <c r="F26" i="67"/>
  <c r="M6" i="67"/>
  <c r="C21" i="68" l="1"/>
  <c r="C40" i="69"/>
  <c r="AZ14" i="3"/>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K16" i="1" s="1"/>
  <c r="D9" i="11"/>
  <c r="C9" i="11" s="1"/>
  <c r="D19" i="12"/>
  <c r="C19" i="12" s="1"/>
  <c r="AZ13" i="3"/>
  <c r="O9" i="1"/>
  <c r="P9" i="1" s="1"/>
  <c r="O12" i="1"/>
  <c r="P12" i="1" s="1"/>
  <c r="O8" i="1"/>
  <c r="P8" i="1" s="1"/>
  <c r="H73" i="43"/>
  <c r="H90" i="43"/>
  <c r="O23" i="43"/>
  <c r="I18" i="43"/>
  <c r="E17" i="43" s="1"/>
  <c r="C17" i="43" s="1"/>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7" i="73"/>
  <c r="C16" i="15"/>
  <c r="C16" i="67"/>
  <c r="D3" i="73"/>
  <c r="D4" i="73"/>
  <c r="D5" i="73"/>
  <c r="G26" i="43" l="1"/>
  <c r="P6" i="1"/>
  <c r="C13" i="12" s="1"/>
  <c r="J26" i="43"/>
  <c r="F26" i="43"/>
  <c r="D26" i="43" s="1"/>
  <c r="C25" i="43" s="1"/>
  <c r="E26" i="43"/>
  <c r="D20" i="53"/>
  <c r="B40" i="72" s="1"/>
  <c r="G16" i="1"/>
  <c r="F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H6" i="3"/>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F41" i="67"/>
  <c r="AC6" i="3" l="1"/>
  <c r="E6" i="3" s="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F41" i="15"/>
  <c r="M27" i="15"/>
  <c r="F25" i="12" l="1"/>
  <c r="D116" i="43"/>
  <c r="F22" i="68"/>
  <c r="C23"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66" i="67"/>
  <c r="C60" i="67"/>
  <c r="D10" i="69"/>
  <c r="C34" i="69"/>
  <c r="D10" i="68"/>
  <c r="C14" i="67"/>
  <c r="C17" i="67"/>
  <c r="C17" i="15"/>
  <c r="H25" i="6" l="1"/>
  <c r="C44" i="68"/>
  <c r="D41" i="68" s="1"/>
  <c r="C26" i="68"/>
  <c r="D22" i="68" s="1"/>
  <c r="F41" i="68"/>
  <c r="C44" i="11"/>
  <c r="D41" i="11" s="1"/>
  <c r="C26" i="1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15"/>
  <c r="F35" i="67"/>
  <c r="M21"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4"/>
  <c r="D2" i="35"/>
  <c r="L51" i="15"/>
  <c r="D2" i="37"/>
  <c r="D2" i="36"/>
  <c r="D102" i="9" l="1"/>
  <c r="D21" i="9"/>
  <c r="D22" i="9"/>
  <c r="G19"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10" i="1"/>
  <c r="AO12" i="1"/>
  <c r="AO9" i="1"/>
  <c r="AO8" i="1"/>
  <c r="AO11" i="1"/>
  <c r="AO7" i="1"/>
  <c r="AO6" i="1"/>
  <c r="G21" i="9" l="1"/>
  <c r="J25" i="9"/>
  <c r="D103" i="9"/>
  <c r="G20" i="9"/>
  <c r="C3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I118" i="9" l="1"/>
  <c r="C105" i="9" s="1"/>
  <c r="H118" i="9"/>
  <c r="G118" i="9"/>
  <c r="F118" i="9" s="1"/>
  <c r="H119" i="9" l="1"/>
  <c r="H5" i="52" s="1"/>
  <c r="D14" i="74"/>
  <c r="H101" i="9"/>
  <c r="H107" i="9" s="1"/>
  <c r="D13" i="53" s="1"/>
  <c r="F4" i="52"/>
  <c r="B51" i="72" s="1"/>
  <c r="F119" i="9"/>
  <c r="F5" i="52" s="1"/>
  <c r="B53" i="72" s="1"/>
  <c r="G4" i="52"/>
  <c r="B52" i="72" s="1"/>
  <c r="H102" i="9"/>
  <c r="M48" i="9"/>
  <c r="I4" i="52"/>
  <c r="E118" i="9"/>
  <c r="H4" i="52"/>
  <c r="D5" i="53"/>
  <c r="C104" i="9"/>
  <c r="D45" i="9" l="1"/>
  <c r="E14" i="74"/>
  <c r="F14" i="74"/>
  <c r="B5" i="74"/>
  <c r="D5" i="74" s="1"/>
  <c r="D122" i="9"/>
  <c r="G14" i="74" s="1"/>
  <c r="B6" i="74" s="1"/>
  <c r="D6" i="74" s="1"/>
  <c r="M49" i="9"/>
  <c r="L64" i="9" s="1"/>
  <c r="M64" i="9" s="1"/>
  <c r="D118" i="9"/>
  <c r="E4" i="52"/>
  <c r="B48" i="72" s="1"/>
  <c r="D8" i="52"/>
  <c r="D123" i="9"/>
  <c r="D9" i="52" s="1"/>
  <c r="D7" i="53"/>
  <c r="B21" i="72" s="1"/>
  <c r="H108" i="9"/>
  <c r="D53" i="9"/>
  <c r="C78" i="9"/>
  <c r="C73" i="9" s="1"/>
  <c r="C93" i="9"/>
  <c r="C86" i="9" s="1"/>
  <c r="D52" i="9"/>
  <c r="C64" i="9"/>
  <c r="C63" i="9" s="1"/>
  <c r="C67" i="9" s="1"/>
  <c r="D55" i="9"/>
  <c r="M53" i="9" s="1"/>
  <c r="C72" i="9"/>
  <c r="C79" i="9" s="1"/>
  <c r="C85" i="9"/>
  <c r="B20" i="72"/>
  <c r="D6" i="53"/>
  <c r="B22" i="72" s="1"/>
  <c r="B30" i="72"/>
  <c r="D14" i="53"/>
  <c r="B32" i="72" s="1"/>
  <c r="C5" i="74" l="1"/>
  <c r="L65" i="9"/>
  <c r="M65" i="9" s="1"/>
  <c r="L68" i="9"/>
  <c r="M68" i="9" s="1"/>
  <c r="L63" i="9"/>
  <c r="M63" i="9" s="1"/>
  <c r="L66" i="9"/>
  <c r="M66" i="9" s="1"/>
  <c r="L67" i="9"/>
  <c r="M67" i="9" s="1"/>
  <c r="M69" i="9" s="1"/>
  <c r="N69" i="9" s="1"/>
  <c r="D4" i="52"/>
  <c r="B47" i="72" s="1"/>
  <c r="D119" i="9"/>
  <c r="D5" i="52" s="1"/>
  <c r="B49" i="72" s="1"/>
  <c r="C95" i="9"/>
  <c r="C6" i="74"/>
  <c r="D15" i="53"/>
  <c r="B31" i="72" s="1"/>
  <c r="D59" i="9"/>
  <c r="M55" i="9" s="1"/>
  <c r="C68" i="9"/>
  <c r="D54" i="9" s="1"/>
  <c r="C80" i="9"/>
  <c r="E80" i="9" s="1"/>
  <c r="E81" i="9" s="1"/>
  <c r="C96" i="9" l="1"/>
  <c r="E96" i="9" s="1"/>
  <c r="E97" i="9" s="1"/>
  <c r="C81" i="9"/>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<sst xmlns="http://schemas.openxmlformats.org/spreadsheetml/2006/main" count="7905" uniqueCount="3452">
  <si>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</si>
  <si>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</si>
  <si>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</si>
  <si>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</si>
  <si>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</si>
  <si>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</si>
  <si>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</si>
  <si>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</si>
  <si>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</si>
  <si>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</si>
  <si>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</si>
  <si>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</si>
  <si>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</si>
  <si>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</si>
  <si>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</si>
  <si>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</si>
  <si>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</si>
  <si>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</si>
  <si>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</si>
  <si>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</si>
  <si>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</si>
  <si>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</si>
  <si>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</si>
  <si>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</si>
  <si>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</si>
  <si>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</si>
  <si>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</si>
  <si>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</si>
  <si>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</si>
  <si>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</si>
  <si>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</si>
  <si>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</si>
  <si>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</si>
  <si>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</si>
  <si>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</si>
  <si>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</si>
  <si>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</si>
  <si>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</si>
  <si>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</si>
  <si>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</si>
  <si>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</si>
  <si>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</si>
  <si>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</si>
  <si>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</si>
  <si>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</si>
  <si>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</si>
  <si>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</si>
  <si>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</si>
  <si>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</si>
  <si>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</si>
  <si>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</si>
  <si>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</si>
  <si>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</si>
  <si>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</si>
  <si>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</si>
  <si>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</si>
  <si>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</si>
  <si>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</si>
  <si>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</si>
  <si>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</si>
  <si>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</si>
  <si>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</si>
  <si>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</si>
  <si>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</si>
  <si>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</si>
  <si>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</si>
  <si>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</si>
  <si>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</si>
  <si>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</si>
  <si>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</si>
  <si>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</si>
  <si>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</si>
  <si>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</si>
  <si>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</si>
  <si>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</si>
  <si>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</si>
  <si>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</si>
  <si>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</si>
  <si>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</si>
  <si>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</si>
  <si>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</si>
  <si>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</si>
  <si>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</si>
  <si>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</si>
  <si>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</si>
  <si>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</si>
  <si>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</si>
  <si>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</si>
  <si>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</si>
  <si>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</si>
  <si>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</si>
  <si>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</si>
  <si>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</si>
  <si>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</si>
  <si>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</si>
  <si>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</si>
  <si>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</si>
  <si>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</si>
  <si>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</si>
  <si>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</si>
  <si>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</si>
  <si>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</si>
  <si>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</si>
  <si>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</si>
  <si>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</si>
  <si>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</si>
  <si>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</si>
  <si>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</si>
  <si>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</si>
  <si>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</si>
  <si>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</si>
  <si>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</si>
  <si>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</si>
  <si>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</si>
  <si>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</si>
  <si>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</si>
  <si>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</si>
  <si>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</si>
  <si>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</si>
  <si>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</si>
  <si>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</si>
  <si>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</si>
  <si>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</si>
  <si>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</si>
  <si>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</si>
  <si>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</si>
  <si>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</si>
  <si>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</si>
  <si>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</si>
  <si>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</si>
  <si>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</si>
  <si>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</si>
  <si>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</si>
  <si>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</si>
  <si>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</si>
  <si>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</si>
  <si>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</si>
  <si>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</si>
  <si>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</si>
  <si>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</si>
  <si>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</si>
  <si>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</si>
  <si>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</si>
  <si>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</si>
  <si>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</si>
  <si>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</si>
  <si>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</si>
  <si>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</si>
  <si>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</si>
  <si>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</si>
  <si>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</si>
  <si>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</si>
  <si>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</si>
  <si>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</si>
  <si>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</si>
  <si>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</si>
  <si>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</si>
  <si>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</si>
  <si>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</si>
  <si>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</si>
  <si>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</si>
  <si>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</si>
  <si>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</si>
  <si>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</si>
  <si>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</si>
  <si>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</si>
  <si>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</si>
  <si>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</si>
  <si>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</si>
  <si>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</si>
  <si>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</si>
  <si>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</si>
  <si>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</si>
  <si>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</si>
  <si>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</si>
  <si>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</si>
  <si>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</si>
  <si>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</si>
  <si>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</si>
  <si>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</si>
  <si>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</si>
  <si>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</si>
  <si>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</si>
  <si>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</si>
  <si>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</si>
  <si>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</si>
  <si>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</si>
  <si>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</si>
  <si>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</si>
  <si>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</si>
  <si>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</si>
  <si>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</si>
  <si>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</si>
  <si>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</si>
  <si>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</si>
  <si>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</si>
  <si>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</si>
  <si>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</si>
  <si>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</si>
  <si>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</si>
  <si>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</si>
  <si>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</si>
  <si>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</si>
  <si>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</si>
  <si>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</si>
  <si>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</si>
  <si>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</si>
  <si>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</si>
  <si>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</si>
  <si>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</si>
  <si>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</si>
  <si>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</si>
  <si>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</si>
  <si>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</si>
  <si>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</si>
  <si>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</si>
  <si>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</si>
  <si>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</si>
  <si>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</si>
  <si>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</si>
  <si>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</si>
  <si>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</si>
  <si>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</si>
  <si>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</si>
  <si>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</si>
  <si>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</si>
  <si>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</si>
  <si>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</si>
  <si>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</si>
  <si>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</si>
  <si>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</si>
  <si>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</si>
  <si>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</si>
  <si>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</si>
  <si>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</si>
  <si>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</si>
  <si>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</si>
  <si>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</si>
  <si>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</si>
  <si>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</si>
  <si>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</si>
  <si>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</si>
  <si>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</si>
  <si>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</si>
  <si>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</si>
  <si>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</si>
  <si>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</si>
  <si>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</si>
  <si>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</si>
  <si>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</si>
  <si>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</si>
  <si>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</si>
  <si>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</si>
  <si>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</si>
  <si>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</si>
  <si>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</si>
  <si>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</si>
  <si>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</si>
  <si>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</si>
  <si>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</si>
  <si>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</si>
  <si>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</si>
  <si>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</si>
  <si>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</si>
  <si>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</si>
  <si>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</si>
  <si>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</si>
  <si>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</si>
  <si>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</si>
  <si>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</si>
  <si>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</si>
  <si>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</si>
  <si>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</si>
  <si>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</si>
  <si>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</si>
  <si>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</si>
  <si>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</si>
  <si>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</si>
  <si>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</si>
  <si>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</si>
  <si>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</si>
  <si>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</si>
  <si>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</si>
  <si>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</si>
  <si>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</si>
  <si>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</si>
  <si>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</si>
  <si>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</si>
  <si>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</si>
  <si>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</si>
  <si>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</si>
  <si>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</si>
  <si>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</si>
  <si>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</si>
  <si>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</si>
  <si>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</si>
  <si>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</si>
  <si>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</si>
  <si>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</si>
  <si>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</si>
  <si>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</si>
  <si>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</si>
  <si>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</si>
  <si>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</si>
  <si>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</si>
  <si>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</si>
  <si>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</si>
  <si>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</si>
  <si>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</si>
  <si>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</si>
  <si>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</si>
  <si>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</si>
  <si>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</si>
  <si>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</si>
  <si>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</si>
  <si>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</si>
  <si>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</si>
  <si>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</si>
  <si>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</si>
  <si>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</si>
  <si>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</si>
  <si>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</si>
  <si>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</si>
  <si>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</si>
  <si>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</si>
  <si>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</si>
  <si>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</si>
  <si>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</si>
  <si>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</si>
  <si>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</si>
  <si>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</si>
  <si>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</si>
  <si>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</si>
  <si>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</si>
  <si>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</si>
  <si>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</si>
  <si>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</si>
  <si>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</si>
  <si>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</si>
  <si>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</si>
  <si>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</si>
  <si>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</si>
  <si>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</si>
  <si>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</si>
  <si>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</si>
  <si>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</si>
  <si>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</si>
  <si>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</si>
  <si>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</si>
  <si>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</si>
  <si>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</si>
  <si>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</si>
  <si>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</si>
  <si>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</si>
  <si>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</si>
  <si>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</si>
  <si>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</si>
  <si>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</si>
  <si>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</si>
  <si>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</si>
  <si>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</si>
  <si>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</si>
  <si>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</si>
  <si>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</si>
  <si>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</si>
  <si>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</si>
  <si>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</si>
  <si>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</si>
  <si>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</si>
  <si>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</si>
  <si>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</si>
  <si>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</si>
  <si>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</si>
  <si>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</si>
  <si>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</si>
  <si>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</si>
  <si>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</si>
  <si>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</si>
  <si>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</si>
  <si>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</si>
  <si>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</si>
  <si>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</si>
  <si>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</si>
  <si>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</si>
  <si>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</si>
  <si>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</si>
  <si>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</si>
  <si>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</si>
  <si>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</si>
  <si>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</si>
  <si>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</si>
  <si>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</si>
  <si>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</si>
  <si>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</si>
  <si>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</si>
  <si>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</si>
  <si>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</si>
  <si>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</si>
  <si>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</si>
  <si>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</si>
  <si>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</si>
  <si>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</si>
  <si>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</si>
  <si>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</si>
  <si>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</si>
  <si>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</si>
  <si>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</si>
  <si>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</si>
  <si>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</si>
  <si>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</si>
  <si>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</si>
  <si>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</si>
  <si>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</si>
  <si>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</si>
  <si>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</si>
  <si>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</si>
  <si>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</si>
  <si>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</si>
  <si>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</si>
  <si>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</si>
  <si>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</si>
  <si>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</si>
  <si>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</si>
  <si>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</si>
  <si>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</si>
  <si>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</si>
  <si>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</si>
  <si>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</si>
  <si>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</si>
  <si>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</si>
  <si>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</si>
  <si>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</si>
  <si>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</si>
  <si>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</si>
  <si>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</si>
  <si>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</si>
  <si>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</si>
  <si>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</si>
  <si>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</si>
  <si>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</si>
  <si>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</si>
  <si>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</si>
  <si>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</si>
  <si>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</si>
  <si>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</si>
  <si>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</si>
  <si>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</si>
  <si>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</si>
  <si>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</si>
  <si>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</si>
  <si>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</si>
  <si>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</si>
  <si>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</si>
  <si>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</si>
  <si>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</si>
  <si>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</si>
  <si>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</si>
  <si>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</si>
  <si>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</si>
  <si>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</si>
  <si>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</si>
  <si>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</si>
  <si>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</si>
  <si>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</si>
  <si>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</si>
  <si>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</si>
  <si>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</si>
  <si>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</si>
  <si>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</si>
  <si>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</si>
  <si>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</si>
  <si>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</si>
  <si>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</si>
  <si>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</si>
  <si>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</si>
  <si>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</si>
  <si>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</si>
  <si>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</si>
  <si>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</si>
  <si>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</si>
  <si>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</si>
  <si>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</si>
  <si>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</si>
  <si>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</si>
  <si>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</si>
  <si>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</si>
  <si>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</si>
  <si>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</si>
  <si>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</si>
  <si>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</si>
  <si>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</si>
  <si>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</si>
  <si>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</si>
  <si>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</si>
  <si>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</si>
  <si>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</si>
  <si>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</si>
  <si>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</si>
  <si>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</si>
  <si>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</si>
  <si>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</si>
  <si>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</si>
  <si>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</si>
  <si>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</si>
  <si>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</si>
  <si>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</si>
  <si>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</si>
  <si>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</si>
  <si>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</si>
  <si>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</si>
  <si>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</si>
  <si>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</si>
  <si>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</si>
  <si>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</si>
  <si>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</si>
  <si>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</si>
  <si>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</si>
  <si>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</si>
  <si>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</si>
  <si>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</si>
  <si>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</si>
  <si>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</si>
  <si>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</si>
  <si>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</si>
  <si>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</si>
  <si>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</si>
  <si>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</si>
  <si>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</si>
  <si>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</si>
  <si>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</si>
  <si>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</si>
  <si>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</si>
  <si>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</si>
  <si>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</si>
  <si>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</si>
  <si>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</si>
  <si>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</si>
  <si>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</si>
  <si>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</si>
  <si>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</si>
  <si>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</si>
  <si>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</si>
  <si>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</si>
  <si>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</si>
  <si>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</si>
  <si>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</si>
  <si>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</si>
  <si>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</si>
  <si>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</si>
  <si>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</si>
  <si>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</si>
  <si>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</si>
  <si>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</si>
  <si>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</si>
  <si>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</si>
  <si>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</si>
  <si>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</si>
  <si>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</si>
  <si>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</si>
  <si>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</si>
  <si>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</si>
  <si>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</si>
  <si>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</si>
  <si>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</si>
  <si>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</si>
  <si>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</si>
  <si>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</si>
  <si>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</si>
  <si>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</si>
  <si>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</si>
  <si>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</si>
  <si>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</si>
  <si>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</si>
  <si>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</si>
  <si>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</si>
  <si>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</si>
  <si>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</si>
  <si>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</si>
  <si>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</si>
  <si>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</si>
  <si>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</si>
  <si>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</si>
  <si>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</si>
  <si>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</si>
  <si>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</si>
  <si>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</si>
  <si>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</si>
  <si>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</si>
  <si>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</si>
  <si>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</si>
  <si>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</si>
  <si>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</si>
  <si>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</si>
  <si>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</si>
  <si>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</si>
  <si>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</si>
  <si>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</si>
  <si>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</si>
  <si>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</si>
  <si>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</si>
  <si>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</si>
  <si>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</si>
  <si>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</si>
  <si>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</si>
  <si>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</si>
  <si>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</si>
  <si>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</si>
  <si>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</si>
  <si>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</si>
  <si>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</si>
  <si>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</si>
  <si>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</si>
  <si>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</si>
  <si>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</si>
  <si>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</si>
  <si>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</si>
  <si>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</si>
  <si>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</si>
  <si>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</si>
  <si>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</si>
  <si>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</si>
  <si>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</si>
  <si>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</si>
  <si>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</si>
  <si>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</si>
  <si>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</si>
  <si>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</si>
  <si>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</si>
  <si>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</si>
  <si>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</si>
  <si>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</si>
  <si>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</si>
  <si>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</si>
  <si>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</si>
  <si>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</si>
  <si>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</si>
  <si>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</si>
  <si>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</si>
  <si>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</si>
  <si>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</si>
  <si>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</si>
  <si>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</si>
  <si>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</si>
  <si>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</si>
  <si>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</si>
  <si>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</si>
  <si>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</si>
  <si>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</si>
  <si>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</si>
  <si>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</si>
  <si>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</si>
  <si>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</si>
  <si>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</si>
  <si>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</si>
  <si>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</si>
  <si>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</si>
  <si>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</si>
  <si>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</si>
  <si>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</si>
  <si>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</si>
  <si>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</si>
  <si>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</si>
  <si>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</si>
  <si>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</si>
  <si>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</si>
  <si>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</si>
  <si>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</si>
  <si>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</si>
  <si>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</si>
  <si>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</si>
  <si>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</si>
  <si>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</si>
  <si>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</si>
  <si>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</si>
  <si>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</si>
  <si>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</si>
  <si>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</si>
  <si>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</si>
  <si>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</si>
  <si>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</si>
  <si>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</si>
  <si>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</si>
  <si>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</si>
  <si>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</si>
  <si>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</si>
  <si>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</si>
  <si>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</si>
  <si>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</si>
  <si>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</si>
  <si>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</si>
  <si>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</si>
  <si>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</si>
  <si>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</si>
  <si>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</si>
  <si>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</si>
  <si>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</si>
  <si>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</si>
  <si>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</si>
  <si>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</si>
  <si>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</si>
  <si>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</si>
  <si>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</si>
  <si>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</si>
  <si>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</si>
  <si>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</si>
  <si>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</si>
  <si>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</si>
  <si>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</si>
  <si>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</si>
  <si>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</si>
  <si>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</si>
  <si>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</si>
  <si>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</si>
  <si>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</si>
  <si>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</si>
  <si>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</si>
  <si>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</si>
  <si>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</si>
  <si>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</si>
  <si>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</si>
  <si>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</si>
  <si>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</si>
  <si>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</si>
  <si>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</si>
  <si>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</si>
  <si>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</si>
  <si>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</si>
  <si>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</si>
  <si>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</si>
  <si>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</si>
  <si>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</si>
  <si>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</si>
  <si>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</si>
  <si>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</si>
  <si>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</si>
  <si>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</si>
  <si>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</si>
  <si>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</si>
  <si>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</si>
  <si>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</si>
  <si>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</si>
  <si>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</si>
  <si>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</si>
  <si>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</si>
  <si>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</si>
  <si>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</si>
  <si>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</si>
  <si>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</si>
  <si>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</si>
  <si>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</si>
  <si>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</si>
  <si>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</si>
  <si>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</si>
  <si>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</si>
  <si>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</si>
  <si>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</si>
  <si>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</si>
  <si>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</si>
  <si>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</si>
  <si>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</si>
  <si>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</si>
  <si>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</si>
  <si>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</si>
  <si>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</si>
  <si>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</si>
  <si>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</si>
  <si>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</si>
  <si>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</si>
  <si>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</si>
  <si>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</si>
  <si>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</si>
  <si>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</si>
  <si>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</si>
  <si>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</si>
  <si>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</si>
  <si>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</si>
  <si>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</si>
  <si>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</si>
  <si>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</si>
  <si>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</si>
  <si>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</si>
  <si>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</si>
  <si>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</si>
  <si>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</si>
  <si>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</si>
  <si>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</si>
  <si>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</si>
  <si>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</si>
  <si>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</si>
  <si>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</si>
  <si>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</si>
  <si>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</si>
  <si>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</si>
  <si>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</si>
  <si>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</si>
  <si>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</si>
  <si>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</si>
  <si>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</si>
  <si>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</si>
  <si>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</si>
  <si>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</si>
  <si>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</si>
  <si>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</si>
  <si>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</si>
  <si>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</si>
  <si>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</si>
  <si>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</si>
  <si>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</si>
  <si>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</si>
  <si>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</si>
  <si>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</si>
  <si>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</si>
  <si>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</si>
  <si>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</si>
  <si>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</si>
  <si>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</si>
  <si>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</si>
  <si>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</si>
  <si>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</si>
  <si>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</si>
  <si>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</si>
  <si>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</si>
  <si>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</si>
  <si>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</si>
  <si>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</si>
  <si>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</si>
  <si>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</si>
  <si>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</si>
  <si>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</si>
  <si>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</si>
  <si>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</si>
  <si>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</si>
  <si>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</si>
  <si>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</si>
  <si>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</si>
  <si>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</si>
  <si>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</si>
  <si>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</si>
  <si>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</si>
  <si>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</si>
  <si>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</si>
  <si>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</si>
  <si>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</si>
  <si>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</si>
  <si>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</si>
  <si>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</si>
  <si>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</si>
  <si>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</si>
  <si>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</si>
  <si>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</si>
  <si>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</si>
  <si>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</si>
  <si>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</si>
  <si>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</si>
  <si>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</si>
  <si>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</si>
  <si>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</si>
  <si>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</si>
  <si>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</si>
  <si>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</si>
  <si>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</si>
  <si>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</si>
  <si>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</si>
  <si>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</si>
  <si>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</si>
  <si>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</si>
  <si>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</si>
  <si>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</si>
  <si>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</si>
  <si>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</si>
  <si>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</si>
  <si>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</si>
  <si>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</si>
  <si>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</si>
  <si>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</si>
  <si>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</si>
  <si>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</si>
  <si>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</si>
  <si>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</si>
  <si>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</si>
  <si>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</si>
  <si>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</si>
  <si>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</si>
  <si>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</si>
  <si>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</si>
  <si>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</si>
  <si>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</si>
  <si>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</si>
  <si>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</si>
  <si>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</si>
  <si>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</si>
  <si>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</si>
  <si>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</si>
  <si>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</si>
  <si>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</si>
  <si>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</si>
  <si>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</si>
  <si>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</si>
  <si>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</si>
  <si>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</si>
  <si>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</si>
  <si>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</si>
  <si>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</si>
  <si>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</si>
  <si>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</si>
  <si>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</si>
  <si>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</si>
  <si>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</si>
  <si>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</si>
  <si>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</si>
  <si>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</si>
  <si>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</si>
  <si>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</si>
  <si>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</si>
  <si>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</si>
  <si>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</si>
  <si>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</si>
  <si>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</si>
  <si>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</si>
  <si>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</si>
  <si>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</si>
  <si>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</si>
  <si>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</si>
  <si>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</si>
  <si>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</si>
  <si>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</si>
  <si>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</si>
  <si>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</si>
  <si>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</si>
  <si>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</si>
  <si>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</si>
  <si>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</si>
  <si>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</si>
  <si>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</si>
  <si>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</si>
  <si>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</si>
  <si>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</si>
  <si>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</si>
  <si>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</si>
  <si>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</si>
  <si>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</si>
  <si>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</si>
  <si>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</si>
  <si>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</si>
  <si>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</si>
  <si>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</si>
  <si>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</si>
  <si>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</si>
  <si>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</si>
  <si>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</si>
  <si>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</si>
  <si>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</si>
  <si>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</si>
  <si>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</si>
  <si>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</si>
  <si>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</si>
  <si>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</si>
  <si>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</si>
  <si>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</si>
  <si>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</si>
  <si>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</si>
  <si>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</si>
  <si>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</si>
  <si>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</si>
  <si>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</si>
  <si>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</si>
  <si>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</si>
  <si>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</si>
  <si>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</si>
  <si>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</si>
  <si>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</si>
  <si>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</si>
  <si>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</si>
  <si>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</si>
  <si>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</si>
  <si>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</si>
  <si>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</si>
  <si>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</si>
  <si>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</si>
  <si>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</si>
  <si>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</si>
  <si>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</si>
  <si>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</si>
  <si>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</si>
  <si>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</si>
  <si>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</si>
  <si>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</si>
  <si>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</si>
  <si>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</si>
  <si>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</si>
  <si>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</si>
  <si>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</si>
  <si>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</si>
  <si>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</si>
  <si>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</si>
  <si>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</si>
  <si>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</si>
  <si>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</si>
  <si>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</si>
  <si>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</si>
  <si>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</si>
  <si>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</si>
  <si>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</si>
  <si>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</si>
  <si>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</si>
  <si>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</si>
  <si>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</si>
  <si>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</si>
  <si>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</si>
  <si>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</si>
  <si>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</si>
  <si>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</si>
  <si>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</si>
  <si>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</si>
  <si>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</si>
  <si>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</si>
  <si>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</si>
  <si>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</si>
  <si>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</si>
  <si>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</si>
  <si>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</si>
  <si>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</si>
  <si>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</si>
  <si>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</si>
  <si>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</si>
  <si>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</si>
  <si>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</si>
  <si>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</si>
  <si>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</si>
  <si>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</si>
  <si>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</si>
  <si>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</si>
  <si>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</si>
  <si>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</si>
  <si>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</si>
  <si>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</si>
  <si>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</si>
  <si>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</si>
  <si>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</si>
  <si>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</si>
  <si>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</si>
  <si>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</si>
  <si>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</si>
  <si>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</si>
  <si>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</si>
  <si>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</si>
  <si>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</si>
  <si>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</si>
  <si>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</si>
  <si>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</si>
  <si>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</si>
  <si>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</si>
  <si>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</si>
  <si>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</si>
  <si>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</si>
  <si>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</si>
  <si>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</si>
  <si>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</si>
  <si>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</si>
  <si>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</si>
  <si>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</si>
  <si>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</si>
  <si>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</si>
  <si>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</si>
  <si>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</si>
  <si>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</si>
  <si>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</si>
  <si>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</si>
  <si>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</si>
  <si>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</si>
  <si>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</si>
  <si>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</si>
  <si>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</si>
  <si>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</si>
  <si>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</si>
  <si>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</si>
  <si>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</si>
  <si>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</si>
  <si>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</si>
  <si>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</si>
  <si>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</si>
  <si>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</si>
  <si>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</si>
  <si>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</si>
  <si>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</si>
  <si>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</si>
  <si>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</si>
  <si>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</si>
  <si>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</si>
  <si>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</si>
  <si>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</si>
  <si>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</si>
  <si>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</si>
  <si>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</si>
  <si>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</si>
  <si>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</si>
  <si>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</si>
  <si>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</si>
  <si>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</si>
  <si>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</si>
  <si>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</si>
  <si>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</si>
  <si>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</si>
  <si>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</si>
  <si>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</si>
  <si>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</si>
  <si>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</si>
  <si>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</si>
  <si>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</si>
  <si>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</si>
  <si>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</si>
  <si>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</si>
  <si>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</si>
  <si>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</si>
  <si>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</si>
  <si>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</si>
  <si>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</si>
  <si>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</si>
  <si>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</si>
  <si>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</si>
  <si>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</si>
  <si>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</si>
  <si>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</si>
  <si>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</si>
  <si>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</si>
  <si>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</si>
  <si>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</si>
  <si>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</si>
  <si>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</si>
  <si>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</si>
  <si>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</si>
  <si>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</si>
  <si>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</si>
  <si>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</si>
  <si>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</si>
  <si>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</si>
  <si>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</si>
  <si>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</si>
  <si>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</si>
  <si>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</si>
  <si>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</si>
  <si>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</si>
  <si>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</si>
  <si>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</si>
  <si>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</si>
  <si>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</si>
  <si>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</si>
  <si>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</si>
  <si>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</si>
  <si>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</si>
  <si>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</si>
  <si>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</si>
  <si>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</si>
  <si>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</si>
  <si>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</si>
  <si>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</si>
  <si>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</si>
  <si>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</si>
  <si>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</si>
  <si>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</si>
  <si>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</si>
  <si>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</si>
  <si>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</si>
  <si>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</si>
  <si>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</si>
  <si>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</si>
  <si>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</si>
  <si>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</si>
  <si>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</si>
  <si>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</si>
  <si>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</si>
  <si>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</si>
  <si>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</si>
  <si>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</si>
  <si>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</si>
  <si>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</si>
  <si>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</si>
  <si>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</si>
  <si>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</si>
  <si>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</si>
  <si>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</si>
  <si>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</si>
  <si>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</si>
  <si>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</si>
  <si>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</si>
  <si>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</si>
  <si>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</si>
  <si>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</si>
  <si>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</si>
  <si>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</si>
  <si>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</si>
  <si>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</si>
  <si>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</si>
  <si>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</si>
  <si>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</si>
  <si>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</si>
  <si>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</si>
  <si>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</si>
  <si>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</si>
  <si>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</si>
  <si>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</si>
  <si>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</si>
  <si>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</si>
  <si>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</si>
  <si>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</si>
  <si>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</si>
  <si>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</si>
  <si>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</si>
  <si>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</si>
  <si>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</si>
  <si>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</si>
  <si>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</si>
  <si>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</si>
  <si>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</si>
  <si>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</si>
  <si>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</si>
  <si>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</si>
  <si>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</si>
  <si>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</si>
  <si>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</si>
  <si>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</si>
  <si>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</si>
  <si>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</si>
  <si>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</si>
  <si>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</si>
  <si>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</si>
  <si>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</si>
  <si>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</si>
  <si>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</si>
  <si>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</si>
  <si>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</si>
  <si>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</si>
  <si>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</si>
  <si>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</si>
  <si>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</si>
  <si>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</si>
  <si>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</si>
  <si>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</si>
  <si>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</si>
  <si>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</si>
  <si>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</si>
  <si>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</si>
  <si>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</si>
  <si>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</si>
  <si>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</si>
  <si>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</si>
  <si>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</si>
  <si>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</si>
  <si>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</si>
  <si>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</si>
  <si>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</si>
  <si>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</si>
  <si>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</si>
  <si>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</si>
  <si>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</si>
  <si>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</si>
  <si>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</si>
  <si>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</si>
  <si>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</si>
  <si>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</si>
  <si>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</si>
  <si>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</si>
  <si>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</si>
  <si>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</si>
  <si>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</si>
  <si>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</si>
  <si>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</si>
  <si>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</si>
  <si>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</si>
  <si>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</si>
  <si>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</si>
  <si>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</si>
  <si>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</si>
  <si>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</si>
  <si>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</si>
  <si>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</si>
  <si>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</si>
  <si>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</si>
  <si>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</si>
  <si>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</si>
  <si>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</si>
  <si>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</si>
  <si>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</si>
  <si>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</si>
  <si>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</si>
  <si>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</si>
  <si>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</si>
  <si>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</si>
  <si>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</si>
  <si>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</si>
  <si>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</si>
  <si>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</si>
  <si>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</si>
  <si>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</si>
  <si>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</si>
  <si>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</si>
  <si>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</si>
  <si>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</si>
  <si>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</si>
  <si>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</si>
  <si>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</si>
  <si>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</si>
  <si>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</si>
  <si>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</si>
  <si>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</si>
  <si>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</si>
  <si>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</si>
  <si>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</si>
  <si>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</si>
  <si>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</si>
  <si>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</si>
  <si>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</si>
  <si>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</si>
  <si>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</si>
  <si>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</si>
  <si>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</si>
  <si>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</si>
  <si>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</si>
  <si>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</si>
  <si>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</si>
  <si>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</si>
  <si>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</si>
  <si>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</si>
  <si>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</si>
  <si>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</si>
  <si>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</si>
  <si>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</si>
  <si>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</si>
  <si>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</si>
  <si>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</si>
  <si>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</si>
  <si>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</si>
  <si>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</si>
  <si>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</si>
  <si>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</si>
  <si>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</si>
  <si>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</si>
  <si>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</si>
  <si>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</si>
  <si>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</si>
  <si>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</si>
  <si>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</si>
  <si>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</si>
  <si>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</si>
  <si>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</si>
  <si>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</si>
  <si>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</si>
  <si>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</si>
  <si>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</si>
  <si>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</si>
  <si>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</si>
  <si>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</si>
  <si>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</si>
  <si>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</si>
  <si>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</si>
  <si>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</si>
  <si>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</si>
  <si>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</si>
  <si>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</si>
  <si>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</si>
  <si>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</si>
  <si>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</si>
  <si>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</si>
  <si>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</si>
  <si>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</si>
  <si>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</si>
  <si>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</si>
  <si>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</si>
  <si>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</si>
  <si>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</si>
  <si>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</si>
  <si>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</si>
  <si>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</si>
  <si>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</si>
  <si>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</si>
  <si>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</si>
  <si>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</si>
  <si>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</si>
  <si>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</si>
  <si>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</si>
  <si>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</si>
  <si>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</si>
  <si>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</si>
  <si>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</si>
  <si>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</si>
  <si>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</si>
  <si>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</si>
  <si>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</si>
  <si>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</si>
  <si>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</si>
  <si>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</si>
  <si>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</si>
  <si>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</si>
  <si>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</si>
  <si>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</si>
  <si>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</si>
  <si>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</si>
  <si>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</si>
  <si>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</si>
  <si>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</si>
  <si>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</si>
  <si>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</si>
  <si>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</si>
  <si>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</si>
  <si>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</si>
  <si>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</si>
  <si>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</si>
  <si>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</si>
  <si>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</si>
  <si>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</si>
  <si>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</si>
  <si>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</si>
  <si>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</si>
  <si>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</si>
  <si>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</si>
  <si>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</si>
  <si>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</si>
  <si>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</si>
  <si>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</si>
  <si>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</si>
  <si>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</si>
  <si>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</si>
  <si>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</si>
  <si>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</si>
  <si>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</si>
  <si>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</si>
  <si>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</si>
  <si>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</si>
  <si>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</si>
  <si>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</si>
  <si>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</si>
  <si>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</si>
  <si>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</si>
  <si>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</si>
  <si>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</si>
  <si>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</si>
  <si>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</si>
  <si>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</si>
  <si>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</si>
  <si>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</si>
  <si>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</si>
  <si>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</si>
  <si>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</si>
  <si>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</si>
  <si>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</si>
  <si>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</si>
  <si>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</si>
  <si>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</si>
  <si>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</si>
  <si>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</si>
  <si>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</si>
  <si>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</si>
  <si>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</si>
  <si>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</si>
  <si>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</si>
  <si>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</si>
  <si>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</si>
  <si>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</si>
  <si>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</si>
  <si>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</si>
  <si>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</si>
  <si>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</si>
  <si>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</si>
  <si>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</si>
  <si>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</si>
  <si>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</si>
  <si>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</si>
  <si>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</si>
  <si>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</si>
  <si>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</si>
  <si>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</si>
  <si>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</si>
  <si>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</si>
  <si>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</si>
  <si>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</si>
  <si>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</si>
  <si>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</si>
  <si>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</si>
  <si>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</si>
  <si>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</si>
  <si>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</si>
  <si>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</si>
  <si>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</si>
  <si>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</si>
  <si>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</si>
  <si>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</si>
  <si>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</si>
  <si>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</si>
  <si>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</si>
  <si>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</si>
  <si>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</si>
  <si>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</si>
  <si>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</si>
  <si>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</si>
  <si>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</si>
  <si>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</si>
  <si>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</si>
  <si>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</si>
  <si>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</si>
  <si>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</si>
  <si>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</si>
  <si>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</si>
  <si>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</si>
  <si>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</si>
  <si>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</si>
  <si>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</si>
  <si>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</si>
  <si>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</si>
  <si>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</si>
  <si>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</si>
  <si>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</si>
  <si>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</si>
  <si>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</si>
  <si>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</si>
  <si>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</si>
  <si>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</si>
  <si>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</si>
  <si>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</si>
  <si>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</si>
  <si>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</si>
  <si>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</si>
  <si>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</si>
  <si>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</si>
  <si>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</si>
  <si>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</si>
  <si>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</si>
  <si>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</si>
  <si>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</si>
  <si>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</si>
  <si>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</si>
  <si>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</si>
  <si>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</si>
  <si>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</si>
  <si>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</si>
  <si>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</si>
  <si>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</si>
  <si>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</si>
  <si>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</si>
  <si>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</si>
  <si>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</si>
  <si>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</si>
  <si>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</si>
  <si>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</si>
  <si>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</si>
  <si>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</si>
  <si>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</si>
  <si>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</si>
  <si>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</si>
  <si>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</si>
  <si>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</si>
  <si>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</si>
  <si>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</si>
  <si>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</si>
  <si>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</si>
  <si>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</si>
  <si>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</si>
  <si>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</si>
  <si>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</si>
  <si>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</si>
  <si>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</si>
  <si>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</si>
  <si>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</si>
  <si>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</si>
  <si>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</si>
  <si>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</si>
  <si>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</si>
  <si>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</si>
  <si>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</si>
  <si>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</si>
  <si>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</si>
  <si>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</si>
  <si>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</si>
  <si>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</si>
  <si>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</si>
  <si>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</si>
  <si>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</si>
  <si>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</si>
  <si>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</si>
  <si>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</si>
  <si>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</si>
  <si>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</si>
  <si>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</si>
  <si>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</si>
  <si>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</si>
  <si>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</si>
  <si>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</si>
  <si>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</si>
  <si>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</si>
  <si>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</si>
  <si>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</si>
  <si>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</si>
  <si>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</si>
  <si>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</si>
  <si>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</si>
  <si>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</si>
  <si>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</si>
  <si>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</si>
  <si>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</si>
  <si>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</si>
  <si>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</si>
  <si>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</si>
  <si>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</si>
  <si>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</si>
  <si>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</si>
  <si>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</si>
  <si>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</si>
  <si>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</si>
  <si>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</si>
  <si>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</si>
  <si>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</si>
  <si>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</si>
  <si>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</si>
  <si>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</si>
  <si>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</si>
  <si>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</si>
  <si>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</si>
  <si>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</si>
  <si>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</si>
  <si>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</si>
  <si>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</si>
  <si>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</si>
  <si>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</si>
  <si>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</si>
  <si>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</si>
  <si>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</si>
  <si>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</si>
  <si>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</si>
  <si>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</si>
  <si>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</si>
  <si>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</si>
  <si>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</si>
  <si>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</si>
  <si>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</si>
  <si>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</si>
  <si>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</si>
  <si>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</si>
  <si>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</si>
  <si>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</si>
  <si>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</si>
  <si>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</si>
  <si>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</si>
  <si>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</si>
  <si>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</si>
  <si>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</si>
  <si>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</si>
  <si>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</si>
  <si>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</si>
  <si>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</si>
  <si>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</si>
  <si>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</si>
  <si>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</si>
  <si>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</si>
  <si>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</si>
  <si>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</si>
  <si>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</si>
  <si>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</si>
  <si>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</si>
  <si>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</si>
  <si>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</si>
  <si>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</si>
  <si>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</si>
  <si>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</si>
  <si>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</si>
  <si>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</si>
  <si>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</si>
  <si>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</si>
  <si>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</si>
  <si>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</si>
  <si>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</si>
  <si>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</si>
  <si>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</si>
  <si>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</si>
  <si>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</si>
  <si>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</si>
  <si>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</si>
  <si>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</si>
  <si>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</si>
  <si>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</si>
  <si>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</si>
  <si>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</si>
  <si>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</si>
  <si>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</si>
  <si>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</si>
  <si>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</si>
  <si>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</si>
  <si>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</si>
  <si>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</si>
  <si>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</si>
  <si>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</si>
  <si>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</si>
  <si>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</si>
  <si>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</si>
  <si>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</si>
  <si>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</si>
  <si>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</si>
  <si>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</si>
  <si>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</si>
  <si>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</si>
  <si>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</si>
  <si>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</si>
  <si>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</si>
  <si>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</si>
  <si>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</si>
  <si>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</si>
  <si>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</si>
  <si>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</si>
  <si>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</si>
  <si>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</si>
  <si>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</si>
  <si>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</si>
  <si>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</si>
  <si>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</si>
  <si>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</si>
  <si>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</si>
  <si>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</si>
  <si>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</si>
  <si>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</si>
  <si>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</si>
  <si>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</si>
  <si>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</si>
  <si>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</si>
  <si>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</si>
  <si>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</si>
  <si>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</si>
  <si>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</si>
  <si>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</si>
  <si>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</si>
  <si>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</si>
  <si>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</si>
  <si>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</si>
  <si>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</si>
  <si>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</si>
  <si>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</si>
  <si>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</si>
  <si>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</si>
  <si>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</si>
  <si>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</si>
  <si>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</si>
  <si>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</si>
  <si>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</si>
  <si>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</si>
  <si>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</si>
  <si>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</si>
  <si>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</si>
  <si>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</si>
  <si>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</si>
  <si>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</si>
  <si>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</si>
  <si>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</si>
  <si>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</si>
  <si>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</si>
  <si>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</si>
  <si>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</si>
  <si>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</si>
  <si>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</si>
  <si>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</si>
  <si>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</si>
  <si>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</si>
  <si>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</si>
  <si>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</si>
  <si>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</si>
  <si>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</si>
  <si>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</si>
  <si>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</si>
  <si>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</si>
  <si>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</si>
  <si>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</si>
  <si>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</si>
  <si>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</si>
  <si>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</si>
  <si>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</si>
  <si>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</si>
  <si>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</si>
  <si>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</si>
  <si>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</si>
  <si>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</si>
  <si>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</si>
  <si>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</si>
  <si>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</si>
  <si>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</si>
  <si>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</si>
  <si>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</si>
  <si>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</si>
  <si>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</si>
  <si>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</si>
  <si>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</si>
  <si>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</si>
  <si>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</si>
  <si>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</si>
  <si>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</si>
  <si>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</si>
  <si>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</si>
  <si>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</si>
  <si>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</si>
  <si>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</si>
  <si>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</si>
  <si>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</si>
  <si>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</si>
  <si>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</si>
  <si>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</si>
  <si>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</si>
  <si>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</si>
  <si>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</si>
  <si>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</si>
  <si>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</si>
  <si>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</si>
  <si>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</si>
  <si>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</si>
  <si>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</si>
  <si>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</si>
  <si>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</si>
  <si>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</si>
  <si>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</si>
  <si>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</si>
  <si>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</si>
  <si>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</si>
  <si>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</si>
  <si>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</si>
  <si>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</si>
  <si>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</si>
  <si>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</si>
  <si>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</si>
  <si>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</si>
  <si>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</si>
  <si>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</si>
  <si>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</si>
  <si>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</si>
  <si>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</si>
  <si>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</si>
  <si>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</si>
  <si>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</si>
  <si>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</si>
  <si>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</si>
  <si>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</si>
  <si>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</si>
  <si>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</si>
  <si>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</si>
  <si>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</si>
  <si>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</si>
  <si>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</si>
  <si>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</si>
  <si>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</si>
  <si>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</si>
  <si>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</si>
  <si>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</si>
  <si>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</si>
  <si>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</si>
  <si>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</si>
  <si>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</si>
  <si>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</si>
  <si>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</si>
  <si>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</si>
  <si>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</si>
  <si>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</si>
  <si>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</si>
  <si>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</si>
  <si>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</si>
  <si>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</si>
  <si>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</si>
  <si>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</si>
  <si>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</si>
  <si>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</si>
  <si>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</si>
  <si>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</si>
  <si>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</si>
  <si>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</si>
  <si>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</si>
  <si>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</si>
  <si>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</si>
  <si>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</si>
  <si>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</si>
  <si>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</si>
  <si>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</si>
  <si>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</si>
  <si>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</si>
  <si>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</si>
  <si>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</si>
  <si>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</si>
  <si>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</si>
  <si>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</si>
  <si>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</si>
  <si>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</si>
  <si>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</si>
  <si>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</si>
  <si>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</si>
  <si>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</si>
  <si>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</si>
  <si>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</si>
  <si>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</si>
  <si>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</si>
  <si>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</si>
  <si>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</si>
  <si>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</si>
  <si>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</si>
  <si>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</si>
  <si>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</si>
  <si>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</si>
  <si>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</si>
  <si>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</si>
  <si>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</si>
  <si>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</si>
  <si>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</si>
  <si>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</si>
  <si>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</si>
  <si>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</si>
  <si>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</si>
  <si>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</si>
  <si>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</si>
  <si>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</si>
  <si>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</si>
  <si>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</si>
  <si>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</si>
  <si>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</si>
  <si>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</si>
  <si>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</si>
  <si>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</si>
  <si>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</si>
  <si>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</si>
  <si>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</si>
  <si>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</si>
  <si>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</si>
  <si>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</si>
  <si>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</si>
  <si>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</si>
  <si>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</si>
  <si>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</si>
  <si>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</si>
  <si>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</si>
  <si>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</si>
  <si>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</si>
  <si>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</si>
  <si>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</si>
  <si>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</si>
  <si>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</si>
  <si>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</si>
  <si>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</si>
  <si>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</si>
  <si>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</si>
  <si>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</si>
  <si>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</si>
  <si>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</si>
  <si>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</si>
  <si>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</si>
  <si>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</si>
  <si>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</si>
  <si>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</si>
  <si>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</si>
  <si>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</si>
  <si>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</si>
  <si>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</si>
  <si>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</si>
  <si>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</si>
  <si>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</si>
  <si>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</si>
  <si>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</si>
  <si>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</si>
  <si>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</si>
  <si>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</si>
  <si>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</si>
  <si>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</si>
  <si>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</si>
  <si>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</si>
  <si>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</si>
  <si>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</si>
  <si>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</si>
  <si>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</si>
  <si>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</si>
  <si>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</si>
  <si>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</si>
  <si>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</si>
  <si>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</si>
  <si>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</si>
  <si>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</si>
  <si>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</si>
  <si>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</si>
  <si>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</si>
  <si>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</si>
  <si>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</si>
  <si>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</si>
  <si>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</si>
  <si>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</si>
  <si>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</si>
  <si>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</si>
  <si>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</si>
  <si>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</si>
  <si>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</si>
  <si>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</si>
  <si>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</si>
  <si>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</si>
  <si>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</si>
  <si>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</si>
  <si>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</si>
  <si>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</si>
  <si>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</si>
  <si>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</si>
  <si>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</si>
  <si>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</si>
  <si>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</si>
  <si>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</si>
  <si>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</si>
  <si>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</si>
  <si>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</si>
  <si>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</si>
  <si>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</si>
  <si>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</si>
  <si>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</si>
  <si>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</si>
  <si>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</si>
  <si>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</si>
  <si>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</si>
  <si>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</si>
  <si>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</si>
  <si>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</si>
  <si>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</si>
  <si>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</si>
  <si>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</si>
  <si>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</si>
  <si>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</si>
  <si>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</si>
  <si>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</si>
  <si>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</si>
  <si>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</si>
  <si>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</si>
  <si>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</si>
  <si>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</si>
  <si>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</si>
  <si>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</si>
  <si>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</si>
  <si>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</si>
  <si>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</si>
  <si>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</si>
  <si>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</si>
  <si>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</si>
  <si>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</si>
  <si>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</si>
  <si>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</si>
  <si>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</si>
  <si>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</si>
  <si>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</si>
  <si>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</si>
  <si>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</si>
  <si>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</si>
  <si>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</si>
  <si>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</si>
  <si>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</si>
  <si>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</si>
  <si>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</si>
  <si>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</si>
  <si>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</si>
  <si>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</si>
  <si>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</si>
  <si>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</si>
  <si>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</si>
  <si>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</si>
  <si>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</si>
  <si>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</si>
  <si>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</si>
  <si>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</si>
  <si>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</si>
  <si>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</si>
  <si>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</si>
  <si>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</si>
  <si>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</si>
  <si>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</si>
  <si>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</si>
  <si>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</si>
  <si>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</si>
  <si>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</si>
  <si>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</si>
  <si>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</si>
  <si>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</si>
  <si>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</si>
  <si>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</si>
  <si>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</si>
  <si>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</si>
  <si>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</si>
  <si>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</si>
  <si>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</si>
  <si>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</si>
  <si>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</si>
  <si>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</si>
  <si>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</si>
  <si>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</si>
  <si>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</si>
  <si>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</si>
  <si>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</si>
  <si>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</si>
  <si>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</si>
  <si>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</si>
  <si>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</si>
  <si>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</si>
  <si>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</si>
  <si>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</si>
  <si>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</si>
  <si>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</si>
  <si>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</si>
  <si>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</si>
  <si>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</si>
  <si>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</si>
  <si>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</si>
  <si>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</si>
  <si>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</si>
  <si>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</si>
  <si>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</si>
  <si>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</si>
  <si>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</si>
  <si>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</si>
  <si>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</si>
  <si>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</si>
  <si>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</si>
  <si>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</si>
  <si>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</si>
  <si>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</si>
  <si>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</si>
  <si>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</si>
  <si>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</si>
  <si>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</si>
  <si>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</si>
  <si>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</si>
  <si>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</si>
  <si>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</si>
  <si>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</si>
  <si>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</si>
  <si>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</si>
  <si>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</si>
  <si>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</si>
  <si>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</si>
  <si>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</si>
  <si>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</si>
  <si>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</si>
  <si>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</si>
  <si>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</si>
  <si>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</si>
  <si>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</si>
  <si>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</si>
  <si>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</si>
  <si>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</si>
  <si>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</si>
  <si>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</si>
  <si>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</si>
  <si>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</si>
  <si>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</si>
  <si>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</si>
  <si>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</si>
  <si>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</si>
  <si>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</si>
  <si>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</si>
  <si>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</si>
  <si>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</si>
  <si>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</si>
  <si>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</si>
  <si>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</si>
  <si>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</si>
  <si>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</si>
  <si>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</si>
  <si>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</si>
  <si>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</si>
  <si>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</si>
  <si>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</si>
  <si>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</si>
  <si>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</si>
  <si>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</si>
  <si>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</si>
  <si>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</si>
  <si>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</si>
  <si>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</si>
  <si>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</si>
  <si>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</si>
  <si>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</si>
  <si>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</si>
  <si>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</si>
  <si>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</si>
  <si>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</si>
  <si>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</si>
  <si>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</si>
  <si>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</si>
  <si>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</si>
  <si>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</si>
  <si>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</si>
  <si>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</si>
  <si>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</si>
  <si>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</si>
  <si>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</si>
  <si>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</si>
  <si>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</si>
  <si>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</si>
  <si>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</si>
  <si>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</si>
  <si>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</si>
  <si>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</si>
  <si>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</si>
  <si>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</si>
  <si>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</si>
  <si>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</si>
  <si>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</si>
  <si>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</si>
  <si>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</si>
  <si>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</si>
  <si>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</si>
  <si>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</si>
  <si>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</si>
  <si>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</si>
  <si>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</si>
  <si>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</si>
  <si>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</si>
  <si>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</si>
  <si>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</si>
  <si>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</si>
  <si>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</si>
  <si>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</si>
  <si>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</si>
  <si>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</si>
  <si>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</si>
  <si>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</si>
  <si>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</si>
  <si>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</si>
  <si>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</si>
  <si>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</si>
  <si>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</si>
  <si>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</si>
  <si>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</si>
  <si>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</si>
  <si>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</si>
  <si>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</si>
  <si>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</si>
  <si>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</si>
  <si>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</si>
  <si>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</si>
  <si>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</si>
  <si>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</si>
  <si>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</si>
  <si>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</si>
  <si>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</si>
  <si>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</si>
  <si>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</si>
  <si>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</si>
  <si>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</si>
  <si>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</si>
  <si>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</si>
  <si>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</si>
  <si>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</si>
  <si>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</si>
  <si>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</si>
  <si>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</si>
  <si>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</si>
  <si>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</si>
  <si>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</si>
  <si>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</si>
  <si>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</si>
  <si>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</si>
  <si>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</si>
  <si>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</si>
  <si>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</si>
  <si>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</si>
  <si>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</si>
  <si>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</si>
  <si>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</si>
  <si>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</si>
  <si>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</si>
  <si>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</si>
  <si>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</si>
  <si>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</si>
  <si>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</si>
  <si>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</si>
  <si>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</si>
  <si>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</si>
  <si>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</si>
  <si>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</si>
  <si>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</si>
  <si>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</si>
  <si>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</si>
  <si>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</si>
  <si>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</si>
  <si>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</si>
  <si>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</si>
  <si>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</si>
  <si>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</si>
  <si>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</si>
  <si>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</si>
  <si>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</si>
  <si>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</si>
  <si>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</si>
  <si>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</si>
  <si>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</si>
  <si>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</si>
  <si>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</si>
  <si>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</si>
  <si>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</si>
  <si>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</si>
  <si>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</si>
  <si>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</si>
  <si>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</si>
  <si>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</si>
  <si>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</si>
  <si>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</si>
  <si>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</si>
  <si>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</si>
  <si>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</si>
  <si>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</si>
  <si>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</si>
  <si>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</si>
  <si>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</si>
  <si>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</si>
  <si>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</si>
  <si>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</si>
  <si>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</si>
  <si>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</si>
  <si>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</si>
  <si>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</si>
  <si>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</si>
  <si>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</si>
  <si>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</si>
  <si>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</si>
  <si>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</si>
  <si>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</si>
  <si>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</si>
  <si>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</si>
  <si>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</si>
  <si>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</si>
  <si>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</si>
  <si>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</si>
  <si>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</si>
  <si>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</si>
  <si>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</si>
  <si>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</si>
  <si>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</si>
  <si>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</si>
  <si>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</si>
  <si>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</si>
  <si>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</si>
  <si>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</si>
  <si>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</si>
  <si>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</si>
  <si>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</si>
  <si>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</si>
  <si>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</si>
  <si>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</si>
  <si>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</si>
  <si>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</si>
  <si>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</si>
  <si>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</si>
  <si>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</si>
  <si>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</si>
  <si>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</si>
  <si>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</si>
  <si>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</si>
  <si>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</si>
  <si>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</si>
  <si>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</si>
  <si>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</si>
  <si>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</si>
  <si>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</si>
  <si>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</si>
  <si>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</si>
  <si>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</si>
  <si>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</si>
  <si>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</si>
  <si>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</si>
  <si>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</si>
  <si>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</si>
  <si>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</si>
  <si>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</si>
  <si>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</si>
  <si>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</si>
  <si>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</si>
  <si>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</si>
  <si>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</si>
  <si>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</si>
  <si>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</si>
  <si>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</si>
  <si>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</si>
  <si>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</si>
  <si>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</si>
  <si>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</si>
  <si>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</si>
  <si>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</si>
  <si>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</si>
  <si>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</si>
  <si>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</si>
  <si>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</si>
  <si>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</si>
  <si>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</si>
  <si>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</si>
  <si>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</si>
  <si>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</si>
  <si>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</si>
  <si>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</si>
  <si>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</si>
  <si>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</si>
  <si>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</si>
  <si>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</si>
  <si>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</si>
  <si>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</si>
  <si>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</si>
  <si>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</si>
  <si>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</si>
  <si>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</si>
  <si>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</si>
  <si>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</si>
  <si>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</si>
  <si>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</si>
  <si>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</si>
  <si>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</si>
  <si>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</si>
  <si>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</si>
  <si>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</si>
  <si>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</si>
  <si>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</si>
  <si>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</si>
  <si>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</si>
  <si>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</si>
  <si>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</si>
  <si>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</si>
  <si>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</si>
  <si>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</si>
  <si>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</si>
  <si>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</si>
  <si>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</si>
  <si>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</si>
  <si>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</si>
  <si>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</si>
  <si>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</si>
  <si>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</si>
  <si>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</si>
  <si>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</si>
  <si>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</si>
  <si>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</si>
  <si>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</si>
  <si>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</si>
  <si>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</si>
  <si>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</si>
  <si>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</si>
  <si>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</si>
  <si>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</si>
  <si>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</si>
  <si>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</si>
  <si>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</si>
  <si>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</si>
  <si>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</si>
  <si>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</si>
  <si>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</si>
  <si>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</si>
  <si>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</si>
  <si>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</si>
  <si>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</si>
  <si>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</si>
  <si>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</si>
  <si>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</si>
  <si>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</si>
  <si>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</si>
  <si>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</si>
  <si>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</si>
  <si>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</si>
  <si>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</si>
  <si>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</si>
  <si>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</si>
  <si>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</si>
  <si>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</si>
  <si>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</si>
  <si>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</si>
  <si>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</si>
  <si>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</si>
  <si>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</si>
  <si>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</si>
  <si>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</si>
  <si>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</si>
  <si>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</si>
  <si>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</si>
  <si>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</si>
  <si>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</si>
  <si>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</si>
  <si>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</si>
  <si>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</si>
  <si>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</si>
  <si>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</si>
  <si>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</si>
  <si>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</si>
  <si>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</si>
  <si>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</si>
  <si>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</si>
  <si>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</si>
  <si>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</si>
  <si>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</si>
  <si>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</si>
  <si>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</si>
  <si>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</si>
  <si>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</si>
  <si>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</si>
  <si>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</si>
  <si>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</si>
  <si>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</si>
  <si>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</si>
  <si>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</si>
  <si>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</si>
  <si>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</si>
  <si>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</si>
  <si>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</si>
  <si>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</si>
  <si>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</si>
  <si>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</si>
  <si>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</si>
  <si>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</si>
  <si>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</si>
  <si>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</si>
  <si>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</si>
  <si>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</si>
  <si>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</si>
  <si>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</si>
  <si>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</si>
  <si>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</si>
  <si>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</si>
  <si>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</si>
  <si>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</si>
  <si>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</si>
  <si>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</si>
  <si>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</si>
  <si>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</si>
  <si>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</si>
  <si>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</si>
  <si>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</si>
  <si>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</si>
  <si>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</si>
  <si>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</si>
  <si>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</si>
  <si>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</si>
  <si>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</si>
  <si>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</si>
  <si>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</si>
  <si>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</si>
  <si>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</si>
  <si>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</si>
  <si>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</si>
  <si>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</si>
  <si>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</si>
  <si>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</si>
  <si>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</si>
  <si>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</si>
  <si>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</si>
  <si>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</si>
  <si>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</si>
  <si>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</si>
  <si>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</si>
  <si>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</si>
  <si>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</si>
  <si>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</si>
  <si>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</si>
  <si>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</si>
  <si>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</si>
  <si>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</si>
  <si>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</si>
  <si>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</si>
  <si>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</si>
  <si>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</si>
  <si>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</si>
  <si>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</si>
  <si>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</si>
  <si>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</si>
  <si>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</si>
  <si>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</si>
  <si>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</si>
  <si>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</si>
  <si>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</si>
  <si>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</si>
  <si>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</si>
  <si>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</si>
  <si>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</si>
  <si>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</si>
  <si>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</si>
  <si>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</si>
  <si>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</si>
  <si>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</si>
  <si>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</si>
  <si>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</si>
  <si>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</si>
  <si>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</si>
  <si>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</si>
  <si>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</si>
  <si>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</si>
  <si>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</si>
  <si>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</si>
  <si>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</si>
  <si>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</si>
  <si>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</si>
  <si>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</si>
  <si>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</si>
  <si>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</si>
  <si>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</si>
  <si>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</si>
  <si>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</si>
  <si>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</si>
  <si>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</si>
  <si>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</si>
  <si>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</si>
  <si>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</si>
  <si>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</si>
  <si>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</si>
  <si>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</si>
  <si>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</si>
  <si>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</si>
  <si>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</si>
  <si>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</si>
  <si>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</si>
  <si>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</si>
  <si>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</si>
  <si>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</si>
  <si>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</si>
  <si>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</si>
  <si>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</si>
  <si>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</si>
  <si>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</si>
  <si>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</si>
  <si>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</si>
  <si>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</si>
  <si>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</si>
  <si>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</si>
  <si>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</si>
  <si>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</si>
  <si>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</si>
  <si>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</si>
  <si>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</si>
  <si>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</si>
  <si>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</si>
  <si>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</si>
  <si>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</si>
  <si>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</si>
  <si>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</si>
  <si>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</si>
  <si>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</si>
  <si>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</si>
  <si>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</si>
  <si>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</si>
  <si>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</si>
  <si>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</si>
  <si>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</si>
  <si>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</si>
  <si>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</si>
  <si>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</si>
  <si>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</si>
  <si>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</si>
  <si>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</si>
  <si>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</si>
  <si>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</si>
  <si>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</si>
  <si>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</si>
  <si>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</si>
  <si>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</si>
  <si>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</si>
  <si>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</si>
  <si>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</si>
  <si>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</si>
  <si>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</si>
  <si>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</si>
  <si>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</si>
  <si>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</si>
  <si>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</si>
  <si>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</si>
  <si>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</si>
  <si>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</si>
  <si>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</si>
  <si>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</si>
  <si>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</si>
  <si>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</si>
  <si>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</si>
  <si>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</si>
  <si>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</si>
  <si>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</si>
  <si>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</si>
  <si>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</si>
  <si>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</si>
  <si>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</si>
  <si>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</si>
  <si>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</si>
  <si>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</si>
  <si>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</si>
  <si>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</si>
  <si>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</si>
  <si>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</si>
  <si>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</si>
  <si>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</si>
  <si>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</si>
  <si>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</si>
  <si>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</si>
  <si>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</si>
  <si>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</si>
  <si>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</si>
  <si>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</si>
  <si>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</si>
  <si>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</si>
  <si>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</si>
  <si>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</si>
  <si>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</si>
  <si>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</si>
  <si>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</si>
  <si>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</si>
  <si>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</si>
  <si>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</si>
  <si>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</si>
  <si>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</si>
  <si>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</si>
  <si>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</si>
  <si>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</si>
  <si>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</si>
  <si>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</si>
  <si>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</si>
  <si>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</si>
  <si>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</si>
  <si>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</si>
  <si>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</si>
  <si>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</si>
  <si>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</si>
  <si>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</si>
  <si>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</si>
  <si>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</si>
  <si>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</si>
  <si>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</si>
  <si>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</si>
  <si>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</si>
  <si>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</si>
  <si>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</si>
  <si>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</si>
  <si>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</si>
  <si>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</si>
  <si>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</si>
  <si>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</si>
  <si>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</si>
  <si>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</si>
  <si>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</si>
  <si>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</si>
  <si>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</si>
  <si>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</si>
  <si>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</si>
  <si>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</si>
  <si>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</si>
  <si>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</si>
  <si>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</si>
  <si>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</si>
  <si>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</si>
  <si>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</si>
  <si>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</si>
  <si>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</si>
  <si>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</si>
  <si>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</si>
  <si>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</si>
  <si>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</si>
  <si>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</si>
  <si>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</si>
  <si>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</si>
  <si>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</si>
  <si>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</si>
  <si>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</si>
  <si>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</si>
  <si>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</si>
  <si>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</si>
  <si>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</si>
  <si>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</si>
  <si>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</si>
  <si>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</si>
  <si>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</si>
  <si>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</si>
  <si>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</si>
  <si>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</si>
  <si>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</si>
  <si>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</si>
  <si>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</si>
  <si>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</si>
  <si>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</si>
  <si>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</si>
  <si>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</si>
  <si>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</si>
  <si>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</si>
  <si>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</si>
  <si>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</si>
  <si>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</si>
  <si>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</si>
  <si>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</si>
  <si>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</si>
  <si>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</si>
  <si>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</si>
  <si>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</si>
  <si>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</si>
  <si>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</si>
  <si>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</si>
  <si>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</si>
  <si>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</si>
  <si>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</si>
  <si>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</si>
  <si>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</si>
  <si>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</si>
  <si>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</si>
  <si>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</si>
  <si>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</si>
  <si>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</si>
  <si>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</si>
  <si>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</si>
  <si>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</si>
  <si>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</si>
  <si>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</si>
  <si>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</si>
  <si>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</si>
  <si>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</si>
  <si>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</si>
  <si>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</si>
  <si>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</si>
  <si>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</si>
  <si>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</si>
  <si>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</si>
  <si>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</si>
  <si>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</si>
  <si>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</si>
  <si>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</si>
  <si>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</si>
  <si>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</si>
  <si>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</si>
  <si>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</si>
  <si>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</si>
  <si>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</si>
  <si>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</si>
  <si>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</si>
  <si>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</si>
  <si>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</si>
  <si>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</si>
  <si>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</si>
  <si>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</si>
  <si>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</si>
  <si>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</si>
  <si>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</si>
  <si>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</si>
  <si>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</si>
  <si>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</si>
  <si>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</si>
  <si>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</si>
  <si>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</si>
  <si>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</si>
  <si>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</si>
  <si>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</si>
  <si>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</si>
  <si>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</si>
  <si>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</si>
  <si>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</si>
  <si>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</si>
  <si>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</si>
  <si>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</si>
  <si>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</si>
  <si>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</si>
  <si>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</si>
  <si>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</si>
  <si>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</si>
  <si>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</si>
  <si>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</si>
  <si>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</si>
  <si>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</si>
  <si>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</si>
  <si>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</si>
  <si>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</si>
  <si>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</si>
  <si>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</si>
  <si>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</si>
  <si>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</si>
  <si>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</si>
  <si>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</si>
  <si>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</si>
  <si>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</si>
  <si>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</si>
  <si>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</si>
  <si>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</si>
  <si>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</si>
  <si>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</si>
  <si>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</si>
  <si>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</si>
  <si>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</si>
  <si>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</si>
  <si>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</si>
  <si>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</si>
  <si>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</si>
  <si>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</si>
  <si>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</si>
  <si>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</si>
  <si>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</si>
  <si>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</si>
  <si>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</si>
  <si>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</si>
  <si>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</si>
  <si>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</si>
  <si>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</si>
  <si>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</si>
  <si>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</si>
  <si>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</si>
  <si>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</si>
  <si>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</si>
  <si>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</si>
  <si>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</si>
  <si>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</si>
  <si>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</si>
  <si>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</si>
  <si>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</si>
  <si>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</si>
  <si>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</si>
  <si>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</si>
  <si>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</si>
  <si>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</si>
  <si>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</si>
  <si>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</si>
  <si>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</si>
  <si>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</si>
  <si>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</si>
  <si>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</si>
  <si>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</si>
  <si>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</si>
  <si>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</si>
  <si>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</si>
  <si>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</si>
  <si>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</si>
  <si>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</si>
  <si>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</si>
  <si>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</si>
  <si>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</si>
  <si>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</si>
  <si>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</si>
  <si>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</si>
  <si>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</si>
  <si>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</si>
  <si>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</si>
  <si>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</si>
  <si>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</si>
  <si>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</si>
  <si>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</si>
  <si>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</si>
  <si>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</si>
  <si>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</si>
  <si>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</si>
  <si>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</si>
  <si>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</si>
  <si>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</si>
  <si>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</si>
  <si>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</si>
  <si>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</si>
  <si>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</si>
  <si>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</si>
  <si>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</si>
  <si>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</si>
  <si>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</si>
  <si>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</si>
  <si>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</si>
  <si>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</si>
  <si>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</si>
  <si>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</si>
  <si>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</si>
  <si>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</si>
  <si>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</si>
  <si>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</si>
  <si>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</si>
  <si>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</si>
  <si>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</si>
  <si>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</si>
  <si>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</si>
  <si>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</si>
  <si>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</si>
  <si>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</si>
  <si>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</si>
  <si>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</si>
  <si>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</si>
  <si>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</si>
  <si>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</si>
  <si>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</si>
  <si>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</si>
  <si>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</si>
  <si>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</si>
  <si>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</si>
  <si>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</si>
  <si>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</si>
  <si>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</si>
  <si>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</si>
  <si>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</si>
  <si>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</si>
  <si>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</si>
  <si>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</si>
  <si>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</si>
  <si>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</si>
  <si>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</si>
  <si>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</si>
  <si>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</si>
  <si>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</si>
  <si>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</si>
  <si>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</si>
  <si>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</si>
  <si>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</si>
  <si>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</si>
  <si>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</si>
  <si>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</si>
  <si>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</si>
  <si>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</si>
  <si>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</si>
  <si>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</si>
  <si>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</si>
  <si>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</si>
  <si>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</si>
  <si>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</si>
  <si>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</si>
  <si>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</si>
  <si>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</si>
  <si>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</si>
  <si>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</si>
  <si>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</si>
  <si>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</si>
  <si>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</si>
  <si>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</si>
  <si>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</si>
  <si>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</si>
  <si>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</si>
  <si>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</si>
  <si>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</si>
  <si>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</si>
  <si>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</si>
  <si>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</si>
  <si>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</si>
  <si>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</si>
  <si>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</si>
  <si>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</si>
  <si>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</si>
  <si>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</si>
  <si>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</si>
  <si>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</si>
  <si>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</si>
  <si>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</si>
  <si>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</si>
  <si>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</si>
  <si>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</si>
  <si>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</si>
  <si>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</si>
  <si>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</si>
  <si>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</si>
  <si>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</si>
  <si>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</si>
  <si>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</si>
  <si>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</si>
  <si>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</si>
  <si>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</si>
  <si>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</si>
  <si>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</si>
  <si>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</si>
  <si>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</si>
  <si>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</si>
  <si>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</si>
  <si>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</si>
  <si>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</si>
  <si>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</si>
  <si>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</si>
  <si>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</si>
  <si>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</si>
  <si>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</si>
  <si>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</si>
  <si>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</si>
  <si>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</si>
  <si>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</si>
  <si>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</si>
  <si>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</si>
  <si>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</si>
  <si>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</si>
  <si>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</si>
  <si>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</si>
  <si>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</si>
  <si>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</si>
  <si>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</si>
  <si>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</si>
  <si>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</si>
  <si>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</si>
  <si>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</si>
  <si>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</si>
  <si>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</si>
  <si>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</si>
  <si>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</si>
  <si>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</si>
  <si>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</si>
  <si>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</si>
  <si>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</si>
  <si>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</si>
  <si>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</si>
  <si>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</si>
  <si>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</si>
  <si>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</si>
  <si>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</si>
  <si>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</si>
  <si>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</si>
  <si>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</si>
  <si>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</si>
  <si>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</si>
  <si>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</si>
  <si>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</si>
  <si>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</si>
  <si>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</si>
  <si>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</si>
  <si>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</si>
  <si>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</si>
  <si>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</si>
  <si>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</si>
  <si>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</si>
  <si>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</si>
  <si>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</si>
  <si>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</si>
  <si>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</si>
  <si>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</si>
  <si>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</si>
  <si>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</si>
  <si>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</si>
  <si>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</si>
  <si>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</si>
  <si>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</si>
  <si>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</si>
  <si>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</si>
  <si>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</si>
  <si>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</si>
  <si>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</si>
  <si>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</si>
  <si>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</si>
  <si>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</si>
  <si>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</si>
  <si>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</si>
  <si>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</si>
  <si>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</si>
  <si>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</si>
  <si>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</si>
  <si>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</si>
  <si>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</si>
  <si>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</si>
  <si>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</si>
  <si>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</si>
  <si>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</si>
  <si>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</si>
  <si>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</si>
  <si>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</si>
  <si>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</si>
  <si>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</si>
  <si>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</si>
  <si>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</si>
  <si>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</si>
  <si>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</si>
  <si>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</si>
  <si>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</si>
  <si>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</si>
  <si>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</si>
  <si>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</si>
  <si>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</si>
  <si>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</si>
  <si>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</si>
  <si>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</si>
  <si>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</si>
  <si>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</si>
  <si>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</si>
  <si>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</si>
  <si>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</si>
  <si>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</si>
  <si>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</si>
  <si>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</si>
  <si>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</si>
  <si>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</si>
  <si>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</si>
  <si>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</si>
  <si>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</si>
  <si>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</si>
  <si>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</si>
  <si>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</si>
  <si>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</si>
  <si>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</si>
  <si>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</si>
  <si>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</si>
  <si>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</si>
  <si>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</si>
  <si>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</si>
  <si>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</si>
  <si>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</si>
  <si>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</si>
  <si>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</si>
  <si>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</si>
  <si>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</si>
  <si>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</si>
  <si>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</si>
  <si>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</si>
  <si>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</si>
  <si>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</si>
  <si>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</si>
  <si>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</si>
  <si>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</si>
  <si>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</si>
  <si>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</si>
  <si>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</si>
  <si>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</si>
  <si>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</si>
  <si>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</si>
  <si>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</si>
  <si>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</si>
  <si>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</si>
  <si>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</si>
  <si>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</si>
  <si>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</si>
  <si>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</si>
  <si>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</si>
  <si>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</si>
  <si>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</si>
  <si>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</si>
  <si>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</si>
  <si>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</si>
  <si>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</si>
  <si>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</si>
  <si>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</si>
  <si>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</si>
  <si>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</si>
  <si>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</si>
  <si>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</si>
  <si>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</si>
  <si>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</si>
  <si>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</si>
  <si>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</si>
  <si>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</si>
  <si>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</si>
  <si>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</si>
  <si>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</si>
  <si>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</si>
  <si>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</si>
  <si>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</si>
  <si>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</si>
  <si>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</si>
  <si>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</si>
  <si>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</si>
  <si>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</si>
  <si>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</si>
  <si>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</si>
  <si>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</si>
  <si>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</si>
  <si>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</si>
  <si>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</si>
  <si>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</si>
  <si>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</si>
  <si>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</si>
  <si>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</si>
  <si>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</si>
  <si>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</si>
  <si>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</si>
  <si>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</si>
  <si>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</si>
  <si>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</si>
  <si>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</si>
  <si>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</si>
  <si>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</si>
  <si>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</si>
  <si>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</si>
  <si>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</si>
  <si>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</si>
  <si>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</si>
  <si>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</si>
  <si>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</si>
  <si>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</si>
  <si>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</si>
  <si>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</si>
  <si>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</si>
  <si>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</si>
  <si>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</si>
  <si>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</si>
  <si>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</si>
  <si>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</si>
  <si>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</si>
  <si>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</si>
  <si>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</si>
  <si>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</si>
  <si>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</si>
  <si>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</si>
  <si>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</si>
  <si>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</si>
  <si>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</si>
  <si>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</si>
  <si>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</si>
  <si>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</si>
  <si>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</si>
  <si>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</si>
  <si>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</si>
  <si>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</si>
  <si>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</si>
  <si>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</si>
  <si>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</si>
  <si>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</si>
  <si>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</si>
  <si>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</si>
  <si>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</si>
  <si>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</si>
  <si>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</si>
  <si>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</si>
  <si>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</si>
  <si>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</si>
  <si>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</si>
  <si>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</si>
  <si>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</si>
  <si>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</si>
  <si>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</si>
  <si>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</si>
  <si>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</si>
  <si>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</si>
  <si>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</si>
  <si>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</si>
  <si>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</si>
  <si>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</si>
  <si>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</si>
  <si>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</si>
  <si>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</si>
  <si>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</si>
  <si>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</si>
  <si>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</si>
  <si>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</si>
  <si>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</si>
  <si>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</si>
  <si>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</si>
  <si>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</si>
  <si>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</si>
  <si>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</si>
  <si>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</si>
  <si>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</si>
  <si>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</si>
  <si>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</si>
  <si>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</si>
  <si>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</si>
  <si>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</si>
  <si>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</si>
  <si>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</si>
  <si>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</si>
  <si>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</si>
  <si>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</si>
  <si>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</si>
  <si>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</si>
  <si>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</si>
  <si>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</si>
  <si>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</si>
  <si>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</si>
  <si>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</si>
  <si>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</si>
  <si>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</si>
  <si>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</si>
  <si>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</si>
  <si>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</si>
  <si>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</si>
  <si>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</si>
  <si>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</si>
  <si>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</si>
  <si>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</si>
  <si>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</si>
  <si>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</si>
  <si>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</si>
  <si>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</si>
  <si>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</si>
  <si>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</si>
  <si>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</si>
  <si>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</si>
  <si>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</si>
  <si>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</si>
  <si>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</si>
  <si>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</si>
  <si>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</si>
  <si>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</si>
  <si>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</si>
  <si>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</si>
  <si>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</si>
  <si>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</si>
  <si>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</si>
  <si>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</si>
  <si>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</si>
  <si>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</si>
  <si>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</si>
  <si>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</si>
  <si>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</si>
  <si>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</si>
  <si>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</si>
  <si>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</si>
  <si>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</si>
  <si>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</si>
  <si>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</si>
  <si>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</si>
  <si>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</si>
  <si>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</si>
  <si>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</si>
  <si>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</si>
  <si>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</si>
  <si>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</si>
  <si>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</si>
  <si>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</si>
  <si>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</si>
  <si>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</si>
  <si>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</si>
  <si>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</si>
  <si>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</si>
  <si>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</si>
  <si>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</si>
  <si>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</si>
  <si>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</si>
  <si>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</si>
  <si>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</si>
  <si>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</si>
  <si>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</si>
  <si>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</si>
  <si>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</si>
  <si>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</si>
  <si>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</si>
  <si>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</si>
  <si>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</si>
  <si>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</si>
  <si>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</si>
  <si>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</si>
  <si>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</si>
  <si>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</si>
  <si>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</si>
  <si>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</si>
  <si>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</si>
  <si>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</si>
  <si>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</si>
  <si>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</si>
  <si>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</si>
  <si>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</si>
  <si>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</si>
  <si>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</si>
  <si>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</si>
  <si>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</si>
  <si>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</si>
  <si>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</si>
  <si>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</si>
  <si>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企业</t>
  </si>
  <si>
    <t>北京世纪华娜服装有限公司</t>
    <phoneticPr fontId="6" type="noConversion"/>
  </si>
  <si>
    <r>
      <rPr>
        <sz val="10"/>
        <color theme="9" tint="-0.249977111117893"/>
        <rFont val="宋体"/>
        <family val="3"/>
        <charset val="134"/>
      </rPr>
      <t>西坝河中里</t>
    </r>
    <r>
      <rPr>
        <sz val="10"/>
        <color theme="9" tint="-0.249977111117893"/>
        <rFont val="Arial"/>
        <family val="2"/>
      </rPr>
      <t>21</t>
    </r>
    <r>
      <rPr>
        <sz val="10"/>
        <color theme="9" tint="-0.249977111117893"/>
        <rFont val="宋体"/>
        <family val="3"/>
        <charset val="134"/>
      </rPr>
      <t>号楼</t>
    </r>
    <phoneticPr fontId="6" type="noConversion"/>
  </si>
  <si>
    <t>是</t>
  </si>
  <si>
    <t>21-2</t>
    <phoneticPr fontId="3" type="noConversion"/>
  </si>
  <si>
    <t>21-4</t>
    <phoneticPr fontId="3" type="noConversion"/>
  </si>
  <si>
    <t>地上</t>
  </si>
  <si>
    <t>办公</t>
    <phoneticPr fontId="7" type="noConversion"/>
  </si>
  <si>
    <t>成新度</t>
  </si>
  <si>
    <t>直线</t>
    <phoneticPr fontId="3" type="noConversion"/>
  </si>
  <si>
    <t>观察</t>
    <phoneticPr fontId="3" type="noConversion"/>
  </si>
  <si>
    <r>
      <t>1</t>
    </r>
    <r>
      <rPr>
        <sz val="10"/>
        <color indexed="8"/>
        <rFont val="宋体"/>
        <family val="3"/>
        <charset val="134"/>
      </rPr>
      <t>层</t>
    </r>
    <phoneticPr fontId="3" type="noConversion"/>
  </si>
  <si>
    <r>
      <t>2-4</t>
    </r>
    <r>
      <rPr>
        <sz val="10"/>
        <color indexed="8"/>
        <rFont val="宋体"/>
        <family val="3"/>
        <charset val="134"/>
      </rPr>
      <t>层</t>
    </r>
    <phoneticPr fontId="3" type="noConversion"/>
  </si>
  <si>
    <t>收益法 (元)</t>
  </si>
  <si>
    <t>押一</t>
  </si>
  <si>
    <t>钢混</t>
  </si>
  <si>
    <t>非生产用房</t>
  </si>
  <si>
    <t>否</t>
  </si>
  <si>
    <t>估价对象容积率</t>
  </si>
  <si>
    <t>与级别开发程度一致</t>
  </si>
  <si>
    <t>按公示增长率计算</t>
  </si>
  <si>
    <t>中心城区</t>
  </si>
  <si>
    <t>较好</t>
  </si>
  <si>
    <t>较差</t>
  </si>
  <si>
    <t>好</t>
  </si>
  <si>
    <t>未包含在土地购买价格中</t>
  </si>
  <si>
    <t>已包含在土地取得成本中</t>
  </si>
  <si>
    <t>成本法 (元)</t>
  </si>
  <si>
    <r>
      <t>2025</t>
    </r>
    <r>
      <rPr>
        <sz val="10"/>
        <color indexed="8"/>
        <rFont val="宋体"/>
        <family val="3"/>
        <charset val="134"/>
      </rPr>
      <t>年</t>
    </r>
    <r>
      <rPr>
        <sz val="10"/>
        <color indexed="8"/>
        <rFont val="Arial"/>
        <family val="2"/>
      </rPr>
      <t>3</t>
    </r>
    <r>
      <rPr>
        <sz val="10"/>
        <color indexed="8"/>
        <rFont val="宋体"/>
        <family val="3"/>
        <charset val="134"/>
      </rPr>
      <t>月时点</t>
    </r>
    <phoneticPr fontId="8" type="noConversion"/>
  </si>
  <si>
    <t>总值</t>
    <phoneticPr fontId="8" type="noConversion"/>
  </si>
  <si>
    <t>单价</t>
    <phoneticPr fontId="8" type="noConversion"/>
  </si>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</sst>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77" fillId="7" borderId="54" xfId="0" applyFont="1" applyFill="1" applyBorder="1" applyAlignment="1" applyProtection="1">
      <alignment vertical="center" wrapText="1"/>
      <protection locked="0"/>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49" fontId="47" fillId="0" borderId="1" xfId="0" applyNumberFormat="1" applyFont="1" applyBorder="1" applyAlignment="1" applyProtection="1">
      <alignment vertical="center" wrapText="1"/>
      <protection locked="0"/>
    </xf>
    <xf numFmtId="0" fontId="77" fillId="12" borderId="0" xfId="0" applyFont="1" applyFill="1" applyProtection="1">
      <alignment vertical="center"/>
      <protection locked="0"/>
    </xf>
    <xf numFmtId="0" fontId="47" fillId="12"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77" fillId="7" borderId="0" xfId="0" applyFont="1" applyFill="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北京市西坝河中里21号楼房地产抵押价值预评估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受贵公司委托，我公司对北京市西坝河中里21号楼房地产抵押价值进行了预评估。</v>
      </c>
    </row>
    <row r="7" spans="1:2" s="1203" customFormat="1">
      <c r="A7" s="1201" t="s">
        <v>566</v>
      </c>
      <c r="B7" s="1202" t="str">
        <f>'预评函-1'!A7</f>
        <v>估价对象为北京市西坝河中里21号楼房地产，为北京世纪华娜服装有限公司所有。根据《国有土地使用证》[]，估价对象（分摊）出让国有建设用地使用权面积为208.73平方米，建筑面积为662.27平方米。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西坝河中里21号楼房地产,属北京世纪华娜服装有限公司开发建设的，该项目尚在开发建设中。根据《国有土地使用证》[]，估价对象（分摊）出让国有建设用地使用权面积为208.73平方米，规划建筑面积为662.27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西坝河中里21号楼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2025年12月5日（评估专业人员实地查勘之日）</v>
      </c>
    </row>
    <row r="13" spans="1:2" s="1203" customFormat="1">
      <c r="A13" s="1201" t="s">
        <v>529</v>
      </c>
      <c r="B13" s="1202" t="str">
        <f>'预评函-1'!A18</f>
        <v>本次估价的“房地产价值”是指在正常市场情况下，在价值时点2025年12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1972</v>
      </c>
    </row>
    <row r="21" spans="1:2" s="1203" customFormat="1">
      <c r="A21" s="1201" t="s">
        <v>537</v>
      </c>
      <c r="B21" s="1202">
        <f ca="1">'预评函-2'!D7</f>
        <v>29769</v>
      </c>
    </row>
    <row r="22" spans="1:2" s="1203" customFormat="1">
      <c r="A22" s="1201" t="s">
        <v>538</v>
      </c>
      <c r="B22" s="1202" t="str">
        <f ca="1">'预评函-2'!D6</f>
        <v>壹仟玖佰柒拾贰万元整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1972</v>
      </c>
    </row>
    <row r="31" spans="1:2" s="1203" customFormat="1">
      <c r="A31" s="1201" t="s">
        <v>576</v>
      </c>
      <c r="B31" s="1202">
        <f ca="1">'预评函-2'!D15</f>
        <v>29769</v>
      </c>
    </row>
    <row r="32" spans="1:2" s="1203" customFormat="1">
      <c r="A32" s="1201" t="s">
        <v>543</v>
      </c>
      <c r="B32" s="1202" t="str">
        <f ca="1">'预评函-2'!D14</f>
        <v>壹仟玖佰柒拾贰万元整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北京市西坝河中里21号楼房地产</v>
      </c>
    </row>
    <row r="42" spans="1:2" s="1203" customFormat="1">
      <c r="A42" s="1201" t="s">
        <v>590</v>
      </c>
      <c r="B42" s="1202" t="str">
        <f>'预评函-3'!B2</f>
        <v>建筑面积</v>
      </c>
    </row>
    <row r="43" spans="1:2" s="1203" customFormat="1">
      <c r="A43" s="1201" t="s">
        <v>591</v>
      </c>
      <c r="B43" s="1202">
        <f>'预评函-3'!B4</f>
        <v>662.27</v>
      </c>
    </row>
    <row r="44" spans="1:2" s="1203" customFormat="1">
      <c r="A44" s="1201" t="s">
        <v>575</v>
      </c>
      <c r="B44" s="1202" t="str">
        <f>'预评函-3'!C2</f>
        <v>(分摊)土地面积</v>
      </c>
    </row>
    <row r="45" spans="1:2" s="1203" customFormat="1">
      <c r="A45" s="1201" t="s">
        <v>547</v>
      </c>
      <c r="B45" s="1202">
        <f>'预评函-3'!C4</f>
        <v>208.73</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3403</v>
      </c>
      <c r="AA1" s="1542" t="s">
        <v>3402</v>
      </c>
      <c r="AB1" s="1542" t="s">
        <v>3</v>
      </c>
    </row>
    <row r="2" spans="1:28">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3409</v>
      </c>
      <c r="Z2" s="1551" t="s">
        <v>2452</v>
      </c>
      <c r="AA2" s="1551" t="s">
        <v>3410</v>
      </c>
      <c r="AB2" s="1551" t="s">
        <v>2479</v>
      </c>
    </row>
    <row r="3" spans="1:28">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3411</v>
      </c>
    </row>
    <row r="6" spans="1:28">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3340</v>
      </c>
      <c r="X7" s="1551" t="s">
        <v>2449</v>
      </c>
      <c r="Z7" s="1551" t="s">
        <v>2462</v>
      </c>
      <c r="AB7" s="1551" t="s">
        <v>2488</v>
      </c>
    </row>
    <row r="8" spans="1:28">
      <c r="A8" s="1546" t="s">
        <v>1026</v>
      </c>
      <c r="B8" s="1546" t="s">
        <v>1027</v>
      </c>
      <c r="C8" s="1547" t="s">
        <v>319</v>
      </c>
      <c r="F8" s="1548" t="s">
        <v>1028</v>
      </c>
      <c r="H8" s="1548" t="s">
        <v>2577</v>
      </c>
      <c r="I8" s="1548" t="s">
        <v>3341</v>
      </c>
      <c r="X8" s="1551" t="s">
        <v>3412</v>
      </c>
      <c r="Z8" s="1551" t="s">
        <v>2464</v>
      </c>
      <c r="AB8" s="1551" t="s">
        <v>2490</v>
      </c>
    </row>
    <row r="9" spans="1:28">
      <c r="A9" s="1546" t="s">
        <v>1029</v>
      </c>
      <c r="B9" s="1546" t="s">
        <v>1030</v>
      </c>
      <c r="C9" s="1547" t="s">
        <v>320</v>
      </c>
      <c r="F9" s="1548" t="s">
        <v>1031</v>
      </c>
      <c r="H9" s="1548"/>
      <c r="I9" s="1551" t="s">
        <v>3342</v>
      </c>
      <c r="X9" s="1551" t="s">
        <v>3413</v>
      </c>
      <c r="Z9" s="1551" t="s">
        <v>2466</v>
      </c>
      <c r="AB9" s="1551" t="s">
        <v>2492</v>
      </c>
    </row>
    <row r="10" spans="1:28">
      <c r="A10" s="1546" t="s">
        <v>1032</v>
      </c>
      <c r="B10" s="1546" t="s">
        <v>1033</v>
      </c>
      <c r="C10" s="1547" t="s">
        <v>321</v>
      </c>
      <c r="F10" s="1548" t="s">
        <v>2578</v>
      </c>
      <c r="I10" s="1551" t="s">
        <v>3343</v>
      </c>
      <c r="Z10" s="1551" t="s">
        <v>2468</v>
      </c>
      <c r="AB10" s="1551" t="s">
        <v>2494</v>
      </c>
    </row>
    <row r="11" spans="1:28">
      <c r="A11" s="1546" t="s">
        <v>1034</v>
      </c>
      <c r="B11" s="1546" t="s">
        <v>1035</v>
      </c>
      <c r="C11" s="1547" t="s">
        <v>322</v>
      </c>
      <c r="F11" s="1548" t="s">
        <v>13</v>
      </c>
      <c r="I11" s="1551" t="s">
        <v>3344</v>
      </c>
      <c r="Z11" s="1551" t="s">
        <v>2470</v>
      </c>
      <c r="AB11" s="1551" t="s">
        <v>2496</v>
      </c>
    </row>
    <row r="12" spans="1:28">
      <c r="A12" s="1546" t="s">
        <v>1036</v>
      </c>
      <c r="B12" s="1546" t="s">
        <v>1037</v>
      </c>
      <c r="C12" s="1547" t="s">
        <v>323</v>
      </c>
      <c r="I12" s="1551" t="s">
        <v>3345</v>
      </c>
      <c r="Z12" s="1551" t="s">
        <v>2472</v>
      </c>
      <c r="AB12" s="1551" t="s">
        <v>2498</v>
      </c>
    </row>
    <row r="13" spans="1:28">
      <c r="A13" s="1546" t="s">
        <v>1038</v>
      </c>
      <c r="B13" s="1546" t="s">
        <v>1039</v>
      </c>
      <c r="C13" s="1547" t="s">
        <v>324</v>
      </c>
      <c r="I13" s="1551" t="s">
        <v>3346</v>
      </c>
      <c r="Z13" s="1551" t="s">
        <v>2474</v>
      </c>
    </row>
    <row r="14" spans="1:28">
      <c r="A14" s="1546" t="s">
        <v>1040</v>
      </c>
      <c r="B14" s="1546" t="s">
        <v>1041</v>
      </c>
      <c r="C14" s="1548" t="s">
        <v>13</v>
      </c>
      <c r="I14" s="1551" t="s">
        <v>3347</v>
      </c>
      <c r="Z14" s="1551" t="s">
        <v>2476</v>
      </c>
    </row>
    <row r="15" spans="1:28">
      <c r="A15" s="1546" t="s">
        <v>1042</v>
      </c>
      <c r="B15" s="1546" t="s">
        <v>1043</v>
      </c>
      <c r="C15" s="1547"/>
      <c r="I15" s="1551" t="s">
        <v>3348</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坝河中里21号楼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3"/>
      <c r="B54" s="1554" t="s">
        <v>385</v>
      </c>
      <c r="C54" s="1551" t="s">
        <v>583</v>
      </c>
    </row>
    <row r="55" spans="1:4">
      <c r="A55" s="3523"/>
      <c r="B55" s="1554" t="s">
        <v>386</v>
      </c>
      <c r="C55" s="1551" t="s">
        <v>584</v>
      </c>
    </row>
    <row r="56" spans="1:4">
      <c r="A56" s="3523"/>
      <c r="B56" s="1554" t="s">
        <v>387</v>
      </c>
      <c r="C56" s="1551" t="s">
        <v>588</v>
      </c>
    </row>
    <row r="57" spans="1:4">
      <c r="A57" s="352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24" t="s">
        <v>2580</v>
      </c>
      <c r="J2" s="3524"/>
      <c r="K2" s="3524"/>
      <c r="L2" s="3524"/>
      <c r="M2" s="3524"/>
      <c r="N2" s="3524"/>
      <c r="O2" s="3524"/>
      <c r="P2" s="3524"/>
      <c r="Q2" s="3524"/>
      <c r="R2" s="3524"/>
    </row>
    <row r="3" spans="1:18">
      <c r="A3" s="3019" t="s">
        <v>2501</v>
      </c>
      <c r="B3" s="3020">
        <f>项目基本情况!D3</f>
        <v>45996</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1.03</v>
      </c>
      <c r="D5" s="3024">
        <f>IF(ISERROR(ROUND(POWER(1+E5,A5-C5)*(POWER(1+E5,C5)-1)/(POWER(1+E5,A5)-1),3)),0,ROUND(POWER(1+E5,A5-C5)*(POWER(1+E5,C5)-1)/(POWER(1+E5,A5)-1),4))</f>
        <v>0.05</v>
      </c>
      <c r="E5" s="3025">
        <v>0.04</v>
      </c>
      <c r="F5" s="3018"/>
      <c r="I5" s="3438" t="s">
        <v>2582</v>
      </c>
      <c r="J5" s="3438">
        <v>70</v>
      </c>
      <c r="K5" s="3438">
        <v>60</v>
      </c>
      <c r="L5" s="3438">
        <v>15</v>
      </c>
      <c r="M5" s="3438">
        <v>25</v>
      </c>
      <c r="N5" s="3022">
        <v>40</v>
      </c>
      <c r="O5" s="3022">
        <v>50</v>
      </c>
      <c r="P5" s="3022">
        <v>40</v>
      </c>
      <c r="Q5" s="3022">
        <v>15</v>
      </c>
      <c r="R5" s="3022">
        <v>315</v>
      </c>
    </row>
    <row r="6" spans="1:18">
      <c r="A6" s="3023">
        <v>50</v>
      </c>
      <c r="B6" s="3020">
        <v>50028</v>
      </c>
      <c r="C6" s="3022">
        <f>ROUNDDOWN(MIN((B6-B3)/365,A6),2)</f>
        <v>11.04</v>
      </c>
      <c r="D6" s="3024">
        <f>IF(ISERROR(ROUND(POWER(1+E6,A6-C6)*(POWER(1+E6,C6)-1)/(POWER(1+E6,A6)-1),3)),0,ROUND(POWER(1+E6,A6-C6)*(POWER(1+E6,C6)-1)/(POWER(1+E6,A6)-1),4))</f>
        <v>0.40899999999999997</v>
      </c>
      <c r="E6" s="3025">
        <v>0.04</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31.06</v>
      </c>
      <c r="D7" s="3024">
        <f>IF(ISERROR(ROUND(POWER(1+E7,A7-C7)*(POWER(1+E7,C7)-1)/(POWER(1+E7,A7)-1),3)),0,ROUND(POWER(1+E7,A7-C7)*(POWER(1+E7,C7)-1)/(POWER(1+E7,A7)-1),4))</f>
        <v>0.75260000000000005</v>
      </c>
      <c r="E7" s="3025">
        <v>0.04</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70</v>
      </c>
      <c r="C11" s="3022" t="s">
        <v>2510</v>
      </c>
      <c r="D11" s="3028">
        <v>4.4999999999999998E-2</v>
      </c>
      <c r="E11" s="3022" t="s">
        <v>2511</v>
      </c>
      <c r="F11" s="3029">
        <f>ROUND(1-(1/(POWER(1+D11,B11))),4)</f>
        <v>0.95409999999999995</v>
      </c>
    </row>
    <row r="12" spans="1:18">
      <c r="A12" s="3019" t="s">
        <v>2512</v>
      </c>
      <c r="B12" s="3027">
        <v>40</v>
      </c>
      <c r="C12" s="3022" t="s">
        <v>2513</v>
      </c>
      <c r="D12" s="3028">
        <v>4.4999999999999998E-2</v>
      </c>
      <c r="E12" s="3022" t="s">
        <v>2514</v>
      </c>
      <c r="F12" s="3029">
        <f>ROUND(1-(1/(POWER(1+D12,B12))),4)</f>
        <v>0.82809999999999995</v>
      </c>
    </row>
    <row r="13" spans="1:18">
      <c r="A13" s="3019" t="s">
        <v>2515</v>
      </c>
      <c r="B13" s="3022"/>
      <c r="C13" s="3022"/>
      <c r="D13" s="3017"/>
      <c r="E13" s="3017"/>
      <c r="F13" s="3018"/>
    </row>
    <row r="14" spans="1:18">
      <c r="A14" s="3019" t="s">
        <v>2516</v>
      </c>
      <c r="B14" s="3027">
        <v>5000</v>
      </c>
      <c r="C14" s="3021"/>
      <c r="D14" s="3017"/>
      <c r="E14" s="3017"/>
      <c r="F14" s="3018"/>
    </row>
    <row r="15" spans="1:18">
      <c r="A15" s="3019" t="s">
        <v>2517</v>
      </c>
      <c r="B15" s="3022">
        <f>ROUND(B14*F12/F11,2)</f>
        <v>4339.6899999999996</v>
      </c>
      <c r="C15" s="3022">
        <f>ROUND(F12/F11,4)</f>
        <v>0.8679</v>
      </c>
      <c r="D15" s="3017"/>
      <c r="E15" s="3017"/>
      <c r="F15" s="3018"/>
    </row>
    <row r="16" spans="1:18">
      <c r="A16" s="3019" t="s">
        <v>2518</v>
      </c>
      <c r="B16" s="3022"/>
      <c r="C16" s="3022"/>
      <c r="D16" s="3017"/>
      <c r="E16" s="3017"/>
      <c r="F16" s="3018"/>
    </row>
    <row r="17" spans="1:14">
      <c r="A17" s="3019" t="s">
        <v>2517</v>
      </c>
      <c r="B17" s="3028">
        <v>4810</v>
      </c>
      <c r="C17" s="3021"/>
      <c r="D17" s="3017"/>
      <c r="E17" s="3017"/>
      <c r="F17" s="3018"/>
    </row>
    <row r="18" spans="1:14" ht="14.25" thickBot="1">
      <c r="A18" s="3030" t="s">
        <v>2516</v>
      </c>
      <c r="B18" s="3031">
        <f>ROUND(B17*F11/F12,2)</f>
        <v>5541.87</v>
      </c>
      <c r="C18" s="3031">
        <f>ROUND(F11/F12,4)</f>
        <v>1.1521999999999999</v>
      </c>
      <c r="D18" s="3032"/>
      <c r="E18" s="3032"/>
      <c r="F18" s="3033"/>
    </row>
    <row r="19" spans="1:14" ht="14.25" thickBot="1"/>
    <row r="20" spans="1:14" s="3068" customFormat="1" ht="14.25" thickTop="1">
      <c r="A20" s="3065" t="s">
        <v>2519</v>
      </c>
      <c r="B20" s="3066"/>
      <c r="C20" s="3066"/>
      <c r="D20" s="3066"/>
      <c r="E20" s="3066"/>
      <c r="F20" s="3066"/>
      <c r="G20" s="3067"/>
      <c r="I20" s="3069" t="s">
        <v>2564</v>
      </c>
      <c r="J20" s="3069" t="s">
        <v>2569</v>
      </c>
      <c r="K20" s="3069"/>
      <c r="L20" s="3069"/>
      <c r="M20" s="3069"/>
    </row>
    <row r="21" spans="1:14">
      <c r="A21" s="3034"/>
      <c r="B21" s="3035" t="s">
        <v>2520</v>
      </c>
      <c r="C21" s="3035" t="s">
        <v>2521</v>
      </c>
      <c r="D21" s="3035" t="s">
        <v>2522</v>
      </c>
      <c r="E21" s="3035" t="s">
        <v>2523</v>
      </c>
      <c r="F21" s="3035" t="s">
        <v>2524</v>
      </c>
      <c r="G21" s="3036" t="s">
        <v>2525</v>
      </c>
      <c r="I21" s="3057">
        <v>5</v>
      </c>
      <c r="J21" s="3057">
        <v>54.2</v>
      </c>
    </row>
    <row r="22" spans="1:14">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N23" s="3456" t="s">
        <v>2568</v>
      </c>
    </row>
    <row r="24" spans="1:14">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N24" s="3456">
        <v>10</v>
      </c>
    </row>
    <row r="25" spans="1:14">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N25" s="3456">
        <v>8</v>
      </c>
    </row>
    <row r="26" spans="1:14">
      <c r="A26" s="3039"/>
      <c r="B26" s="3040"/>
      <c r="C26" s="3040"/>
      <c r="D26" s="3040"/>
      <c r="E26" s="3040"/>
      <c r="F26" s="3040"/>
      <c r="G26" s="3041"/>
      <c r="I26" s="3057">
        <v>30</v>
      </c>
      <c r="J26" s="3057">
        <v>90.5</v>
      </c>
      <c r="K26" s="3057">
        <f t="shared" si="2"/>
        <v>4.2000000000000028</v>
      </c>
      <c r="L26" s="3057" t="s">
        <v>2571</v>
      </c>
      <c r="N26" s="3456">
        <v>5</v>
      </c>
    </row>
    <row r="27" spans="1:14">
      <c r="A27" s="3039" t="s">
        <v>2530</v>
      </c>
      <c r="B27" s="3040"/>
      <c r="C27" s="3040"/>
      <c r="D27" s="3040"/>
      <c r="E27" s="3040"/>
      <c r="F27" s="3040"/>
      <c r="G27" s="3041"/>
      <c r="I27" s="3057">
        <v>35</v>
      </c>
      <c r="J27" s="3057">
        <v>93.8</v>
      </c>
      <c r="K27" s="3057">
        <f t="shared" si="2"/>
        <v>3.2999999999999972</v>
      </c>
      <c r="L27" s="3057" t="s">
        <v>2572</v>
      </c>
      <c r="N27" s="3456">
        <v>3</v>
      </c>
    </row>
    <row r="28" spans="1:14">
      <c r="A28" s="3039" t="s">
        <v>2531</v>
      </c>
      <c r="B28" s="3040"/>
      <c r="C28" s="3040"/>
      <c r="D28" s="3040"/>
      <c r="E28" s="3040"/>
      <c r="F28" s="3040"/>
      <c r="G28" s="3041"/>
      <c r="I28" s="3057">
        <v>40</v>
      </c>
      <c r="J28" s="3057">
        <v>96.4</v>
      </c>
      <c r="K28" s="3057">
        <f t="shared" si="2"/>
        <v>2.6000000000000085</v>
      </c>
      <c r="L28" s="3057" t="s">
        <v>2573</v>
      </c>
      <c r="N28" s="3456">
        <v>2</v>
      </c>
    </row>
    <row r="29" spans="1:14">
      <c r="A29" s="3039" t="s">
        <v>2532</v>
      </c>
      <c r="B29" s="3040"/>
      <c r="C29" s="3040"/>
      <c r="D29" s="3040"/>
      <c r="E29" s="3040"/>
      <c r="F29" s="3040"/>
      <c r="G29" s="3041"/>
      <c r="I29" s="3057">
        <v>45</v>
      </c>
      <c r="J29" s="3057">
        <v>98.4</v>
      </c>
      <c r="K29" s="3057">
        <f t="shared" si="2"/>
        <v>2</v>
      </c>
    </row>
    <row r="30" spans="1:14">
      <c r="A30" s="3039" t="s">
        <v>2533</v>
      </c>
      <c r="B30" s="3040"/>
      <c r="C30" s="3040"/>
      <c r="D30" s="3040"/>
      <c r="E30" s="3040"/>
      <c r="F30" s="3040"/>
      <c r="G30" s="3041"/>
      <c r="I30" s="3057">
        <v>50</v>
      </c>
      <c r="J30" s="3057">
        <v>100</v>
      </c>
      <c r="K30" s="3057">
        <f t="shared" si="2"/>
        <v>1.5999999999999943</v>
      </c>
    </row>
    <row r="31" spans="1:14">
      <c r="A31" s="3039" t="s">
        <v>2534</v>
      </c>
      <c r="B31" s="3040"/>
      <c r="C31" s="3040"/>
      <c r="D31" s="3040"/>
      <c r="E31" s="3040"/>
      <c r="F31" s="3040"/>
      <c r="G31" s="3041"/>
      <c r="I31" s="3057" t="s">
        <v>2565</v>
      </c>
    </row>
    <row r="32" spans="1:14">
      <c r="A32" s="3039" t="s">
        <v>2535</v>
      </c>
      <c r="B32" s="3040"/>
      <c r="C32" s="3040"/>
      <c r="D32" s="3040"/>
      <c r="E32" s="3040"/>
      <c r="F32" s="3040"/>
      <c r="G32" s="3041"/>
    </row>
    <row r="33" spans="1:14">
      <c r="A33" s="3039" t="s">
        <v>2536</v>
      </c>
      <c r="B33" s="3040"/>
      <c r="C33" s="3040"/>
      <c r="D33" s="3040"/>
      <c r="E33" s="3040"/>
      <c r="F33" s="3040"/>
      <c r="G33" s="3041"/>
      <c r="I33" s="3057" t="s">
        <v>2564</v>
      </c>
      <c r="J33" s="3057" t="s">
        <v>2574</v>
      </c>
    </row>
    <row r="34" spans="1:14">
      <c r="A34" s="3039" t="s">
        <v>2537</v>
      </c>
      <c r="B34" s="3040"/>
      <c r="C34" s="3040"/>
      <c r="D34" s="3040"/>
      <c r="E34" s="3040"/>
      <c r="F34" s="3040"/>
      <c r="G34" s="3041"/>
      <c r="I34" s="3057">
        <v>5</v>
      </c>
      <c r="J34" s="3057">
        <v>55.1</v>
      </c>
    </row>
    <row r="35" spans="1:14">
      <c r="A35" s="3039" t="s">
        <v>2538</v>
      </c>
      <c r="B35" s="3040"/>
      <c r="C35" s="3040"/>
      <c r="D35" s="3040"/>
      <c r="E35" s="3040"/>
      <c r="F35" s="3040"/>
      <c r="G35" s="3041"/>
      <c r="I35" s="3057">
        <v>10</v>
      </c>
      <c r="J35" s="3057">
        <v>67</v>
      </c>
      <c r="K35" s="3057">
        <f>J35-J34</f>
        <v>11.899999999999999</v>
      </c>
    </row>
    <row r="36" spans="1:14">
      <c r="A36" s="3039" t="s">
        <v>2539</v>
      </c>
      <c r="B36" s="3040"/>
      <c r="C36" s="3040"/>
      <c r="D36" s="3040"/>
      <c r="E36" s="3040"/>
      <c r="F36" s="3040"/>
      <c r="G36" s="3041"/>
      <c r="I36" s="3057">
        <v>15</v>
      </c>
      <c r="J36" s="3057">
        <v>76.3</v>
      </c>
      <c r="K36" s="3057">
        <f t="shared" ref="K36:K41" si="3">J36-J35</f>
        <v>9.2999999999999972</v>
      </c>
      <c r="L36" s="3057" t="s">
        <v>2567</v>
      </c>
      <c r="N36" s="3456" t="s">
        <v>2568</v>
      </c>
    </row>
    <row r="37" spans="1:14">
      <c r="A37" s="3039" t="s">
        <v>2540</v>
      </c>
      <c r="B37" s="3040"/>
      <c r="C37" s="3040"/>
      <c r="D37" s="3040"/>
      <c r="E37" s="3040"/>
      <c r="F37" s="3040"/>
      <c r="G37" s="3041"/>
      <c r="I37" s="3057">
        <v>20</v>
      </c>
      <c r="J37" s="3057">
        <v>83.6</v>
      </c>
      <c r="K37" s="3057">
        <f t="shared" si="3"/>
        <v>7.2999999999999972</v>
      </c>
      <c r="L37" s="3057" t="s">
        <v>2566</v>
      </c>
      <c r="N37" s="3456">
        <v>10</v>
      </c>
    </row>
    <row r="38" spans="1:14">
      <c r="A38" s="3039" t="s">
        <v>2541</v>
      </c>
      <c r="B38" s="3040"/>
      <c r="C38" s="3040"/>
      <c r="D38" s="3040"/>
      <c r="E38" s="3040"/>
      <c r="F38" s="3040"/>
      <c r="G38" s="3041"/>
      <c r="I38" s="3057">
        <v>25</v>
      </c>
      <c r="J38" s="3057">
        <v>89.3</v>
      </c>
      <c r="K38" s="3057">
        <f t="shared" si="3"/>
        <v>5.7000000000000028</v>
      </c>
      <c r="L38" s="3057" t="s">
        <v>2570</v>
      </c>
      <c r="N38" s="3456">
        <v>8</v>
      </c>
    </row>
    <row r="39" spans="1:14">
      <c r="A39" s="3039"/>
      <c r="B39" s="3040"/>
      <c r="C39" s="3040"/>
      <c r="D39" s="3040"/>
      <c r="E39" s="3040"/>
      <c r="F39" s="3040"/>
      <c r="G39" s="3041"/>
      <c r="I39" s="3057">
        <v>30</v>
      </c>
      <c r="J39" s="3057">
        <v>93.8</v>
      </c>
      <c r="K39" s="3057">
        <f t="shared" si="3"/>
        <v>4.5</v>
      </c>
      <c r="L39" s="3057" t="s">
        <v>2571</v>
      </c>
      <c r="N39" s="3456">
        <v>6</v>
      </c>
    </row>
    <row r="40" spans="1:14">
      <c r="A40" s="3042" t="s">
        <v>2542</v>
      </c>
      <c r="B40" s="3043"/>
      <c r="C40" s="3043"/>
      <c r="D40" s="3043"/>
      <c r="E40" s="3043"/>
      <c r="F40" s="3043"/>
      <c r="G40" s="3044"/>
      <c r="I40" s="3057">
        <v>35</v>
      </c>
      <c r="J40" s="3057">
        <v>97.2</v>
      </c>
      <c r="K40" s="3057">
        <f t="shared" si="3"/>
        <v>3.4000000000000057</v>
      </c>
      <c r="L40" s="3057" t="s">
        <v>2572</v>
      </c>
      <c r="N40" s="3456">
        <v>3</v>
      </c>
    </row>
    <row r="41" spans="1:14">
      <c r="A41" s="3045" t="s">
        <v>2543</v>
      </c>
      <c r="B41" s="3046" t="s">
        <v>2544</v>
      </c>
      <c r="C41" s="3047" t="s">
        <v>2545</v>
      </c>
      <c r="D41" s="3047" t="s">
        <v>2546</v>
      </c>
      <c r="E41" s="3048"/>
      <c r="F41" s="3049"/>
      <c r="G41" s="3050"/>
      <c r="I41" s="3057">
        <v>40</v>
      </c>
      <c r="J41" s="3057">
        <v>100</v>
      </c>
      <c r="K41" s="3057">
        <f t="shared" si="3"/>
        <v>2.7999999999999972</v>
      </c>
    </row>
    <row r="42" spans="1:14">
      <c r="A42" s="3045" t="s">
        <v>2547</v>
      </c>
      <c r="B42" s="3046" t="s">
        <v>2548</v>
      </c>
      <c r="C42" s="3047" t="s">
        <v>2549</v>
      </c>
      <c r="D42" s="3051" t="s">
        <v>2550</v>
      </c>
      <c r="E42" s="3043" t="s">
        <v>2551</v>
      </c>
      <c r="F42" s="3043"/>
      <c r="G42" s="3044"/>
    </row>
    <row r="43" spans="1:14">
      <c r="A43" s="3045" t="s">
        <v>2552</v>
      </c>
      <c r="B43" s="3046" t="s">
        <v>2553</v>
      </c>
      <c r="C43" s="3047" t="s">
        <v>2554</v>
      </c>
      <c r="D43" s="3047" t="s">
        <v>2555</v>
      </c>
      <c r="E43" s="3048" t="s">
        <v>2556</v>
      </c>
      <c r="F43" s="3049"/>
      <c r="G43" s="3050"/>
      <c r="I43" s="3057" t="s">
        <v>2564</v>
      </c>
      <c r="J43" s="3057" t="s">
        <v>2575</v>
      </c>
    </row>
    <row r="44" spans="1:14">
      <c r="A44" s="3045" t="s">
        <v>2557</v>
      </c>
      <c r="B44" s="3046" t="s">
        <v>2558</v>
      </c>
      <c r="C44" s="3047" t="s">
        <v>2559</v>
      </c>
      <c r="D44" s="3051">
        <v>0.5</v>
      </c>
      <c r="E44" s="3048" t="s">
        <v>2560</v>
      </c>
      <c r="F44" s="3049"/>
      <c r="G44" s="3050"/>
      <c r="I44" s="3057">
        <v>30</v>
      </c>
      <c r="J44" s="3057">
        <v>81.7</v>
      </c>
    </row>
    <row r="45" spans="1:14" ht="14.25" thickBot="1">
      <c r="A45" s="3052" t="s">
        <v>2561</v>
      </c>
      <c r="B45" s="3053" t="s">
        <v>2548</v>
      </c>
      <c r="C45" s="3054" t="s">
        <v>2548</v>
      </c>
      <c r="D45" s="3054" t="s">
        <v>2562</v>
      </c>
      <c r="E45" s="3055" t="s">
        <v>2563</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3385</v>
      </c>
    </row>
    <row r="50" spans="1:4">
      <c r="A50" s="3448" t="s">
        <v>3386</v>
      </c>
      <c r="B50" s="3448" t="s">
        <v>3387</v>
      </c>
      <c r="C50" s="3448" t="s">
        <v>3388</v>
      </c>
      <c r="D50" s="3448" t="s">
        <v>3389</v>
      </c>
    </row>
    <row r="51" spans="1:4">
      <c r="A51" s="3448" t="s">
        <v>3390</v>
      </c>
      <c r="B51" s="3021">
        <f>B52+B53</f>
        <v>15000</v>
      </c>
      <c r="C51" s="3449">
        <f>D51/B51</f>
        <v>2666.6666666666665</v>
      </c>
      <c r="D51" s="3021">
        <f>D52+D53</f>
        <v>40000000</v>
      </c>
    </row>
    <row r="52" spans="1:4">
      <c r="A52" s="3450" t="s">
        <v>3391</v>
      </c>
      <c r="B52" s="3451">
        <v>10000</v>
      </c>
      <c r="C52" s="3451">
        <v>1500</v>
      </c>
      <c r="D52" s="3452">
        <f>C52*B52</f>
        <v>15000000</v>
      </c>
    </row>
    <row r="53" spans="1:4">
      <c r="A53" s="3450" t="s">
        <v>3392</v>
      </c>
      <c r="B53" s="3451">
        <v>5000</v>
      </c>
      <c r="C53" s="3451">
        <v>5000</v>
      </c>
      <c r="D53" s="3452">
        <f>C53*B53</f>
        <v>25000000</v>
      </c>
    </row>
    <row r="54" spans="1:4">
      <c r="A54" s="3448" t="s">
        <v>3393</v>
      </c>
      <c r="B54" s="3021">
        <f>B51</f>
        <v>15000</v>
      </c>
      <c r="C54" s="3028">
        <v>700</v>
      </c>
      <c r="D54" s="3021">
        <f t="shared" ref="D54:D55" si="5">C54*B54</f>
        <v>10500000</v>
      </c>
    </row>
    <row r="55" spans="1:4">
      <c r="A55" s="3448" t="s">
        <v>3394</v>
      </c>
      <c r="B55" s="3021">
        <f>B51</f>
        <v>15000</v>
      </c>
      <c r="C55" s="3028">
        <v>1500</v>
      </c>
      <c r="D55" s="3021">
        <f t="shared" si="5"/>
        <v>22500000</v>
      </c>
    </row>
    <row r="56" spans="1:4">
      <c r="A56" s="3448" t="s">
        <v>3395</v>
      </c>
      <c r="B56" s="3021">
        <f>B51</f>
        <v>15000</v>
      </c>
      <c r="C56" s="3453">
        <f>C51+C54+C55</f>
        <v>4866.6666666666661</v>
      </c>
      <c r="D56" s="3021">
        <f>D51+D54+D55</f>
        <v>73000000</v>
      </c>
    </row>
    <row r="58" spans="1:4">
      <c r="A58" s="3448" t="s">
        <v>3396</v>
      </c>
      <c r="B58" s="3454">
        <v>0.05</v>
      </c>
      <c r="C58" s="3021">
        <f>C56*(1+B58)</f>
        <v>5110</v>
      </c>
      <c r="D58" s="3021">
        <f>D56*B58</f>
        <v>3650000</v>
      </c>
    </row>
    <row r="60" spans="1:4">
      <c r="A60" s="3448" t="s">
        <v>3397</v>
      </c>
      <c r="B60" s="3028">
        <v>3500</v>
      </c>
      <c r="C60" s="3028">
        <f>C53</f>
        <v>5000</v>
      </c>
      <c r="D60" s="3021">
        <f>C60*B60</f>
        <v>17500000</v>
      </c>
    </row>
    <row r="62" spans="1:4">
      <c r="A62" s="3448" t="s">
        <v>3398</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N24" sqref="N2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5" t="str">
        <f>IF(B10="北京市","北京市",C10)&amp;F10&amp;IF(结果表!G1="在建","出让国有建设用地使用权及在建建筑物",IF(结果表!G1="土地","出让国有建设用地使用权",))&amp;B9&amp;"预评估"</f>
        <v>北京市西坝河中里21号楼房地产抵押价值预评估</v>
      </c>
      <c r="C1" s="3526"/>
      <c r="D1" s="3526"/>
      <c r="E1" s="3526"/>
      <c r="F1" s="3526"/>
      <c r="G1" s="3526"/>
      <c r="H1" s="3526"/>
      <c r="I1" s="3527"/>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北京市西坝河中里21号楼房地产抵押价值</v>
      </c>
      <c r="T1" s="1745"/>
      <c r="U1" s="1745"/>
      <c r="V1" s="1745"/>
      <c r="W1" s="1745"/>
      <c r="X1" s="1745"/>
      <c r="Y1" s="1745"/>
      <c r="Z1" s="1745"/>
      <c r="AA1" s="1745"/>
      <c r="AB1" s="1745"/>
    </row>
    <row r="2" spans="1:30">
      <c r="A2" s="2367" t="s">
        <v>2169</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北京市西坝河中里21号楼房地产</v>
      </c>
      <c r="T2" s="1745"/>
      <c r="U2" s="1745"/>
      <c r="V2" s="1745"/>
      <c r="W2" s="1745"/>
      <c r="X2" s="1745"/>
      <c r="Y2" s="1745"/>
      <c r="Z2" s="1745"/>
      <c r="AA2" s="1745"/>
      <c r="AB2" s="1745"/>
    </row>
    <row r="3" spans="1:30">
      <c r="A3" s="302" t="s">
        <v>2170</v>
      </c>
      <c r="B3" s="2373">
        <v>45996</v>
      </c>
      <c r="C3" s="2374" t="s">
        <v>2171</v>
      </c>
      <c r="D3" s="2373">
        <f>B3</f>
        <v>45996</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1"/>
      <c r="F6" s="2663"/>
      <c r="G6" s="2663"/>
      <c r="H6" s="2663"/>
      <c r="I6" s="2663"/>
      <c r="J6" s="2438"/>
      <c r="K6" s="2614" t="str">
        <f>IF(COUNTIF(B6,"*上海银行*"),"上海银行","")</f>
        <v/>
      </c>
      <c r="L6" s="2612"/>
      <c r="M6" s="2612"/>
      <c r="N6" s="2438"/>
      <c r="O6" s="2449"/>
      <c r="P6" s="2438"/>
      <c r="Q6" s="2438"/>
      <c r="R6" s="2438"/>
    </row>
    <row r="7" spans="1:30">
      <c r="A7" s="2383" t="s">
        <v>2175</v>
      </c>
      <c r="B7" s="2387"/>
      <c r="C7" s="2385"/>
      <c r="D7" s="2386"/>
      <c r="E7" s="2661"/>
      <c r="F7" s="2663"/>
      <c r="G7" s="2663"/>
      <c r="H7" s="2663"/>
      <c r="I7" s="2663"/>
      <c r="J7" s="2438"/>
      <c r="K7" s="2615"/>
      <c r="L7" s="2612"/>
      <c r="M7" s="2612"/>
      <c r="N7" s="2438"/>
      <c r="O7" s="2449"/>
      <c r="P7" s="2438"/>
      <c r="Q7" s="2438"/>
      <c r="R7" s="2438"/>
    </row>
    <row r="8" spans="1:30">
      <c r="A8" s="2388" t="s">
        <v>2176</v>
      </c>
      <c r="B8" s="2389" t="s">
        <v>3417</v>
      </c>
      <c r="C8" s="2390"/>
      <c r="D8" s="3528" t="s">
        <v>2177</v>
      </c>
      <c r="E8" s="2391" t="s">
        <v>3418</v>
      </c>
      <c r="F8" s="2392"/>
      <c r="G8" s="2662"/>
      <c r="H8" s="2662"/>
      <c r="I8" s="2662"/>
      <c r="J8" s="2438"/>
      <c r="K8" s="2613"/>
      <c r="L8" s="2612"/>
      <c r="M8" s="2612"/>
      <c r="N8" s="2438"/>
      <c r="O8" s="2449"/>
      <c r="P8" s="2438"/>
      <c r="Q8" s="2438"/>
      <c r="R8" s="2438"/>
    </row>
    <row r="9" spans="1:30" ht="13.5" thickBot="1">
      <c r="A9" s="2393" t="s">
        <v>2178</v>
      </c>
      <c r="B9" s="2394" t="s">
        <v>3418</v>
      </c>
      <c r="C9" s="2395"/>
      <c r="D9" s="3529"/>
      <c r="E9" s="2394" t="s">
        <v>43</v>
      </c>
      <c r="F9" s="2396"/>
      <c r="G9" s="2664"/>
      <c r="H9" s="2664"/>
      <c r="I9" s="2664"/>
      <c r="J9" s="2438"/>
      <c r="K9" s="2615"/>
      <c r="L9" s="2612"/>
      <c r="M9" s="2612"/>
      <c r="N9" s="2438"/>
      <c r="O9" s="2449"/>
      <c r="P9" s="2438"/>
      <c r="Q9" s="2438"/>
      <c r="R9" s="2438"/>
    </row>
    <row r="10" spans="1:30" ht="13.5" thickTop="1">
      <c r="A10" s="2397" t="s">
        <v>2179</v>
      </c>
      <c r="B10" s="2398" t="s">
        <v>3419</v>
      </c>
      <c r="C10" s="2399"/>
      <c r="D10" s="2382"/>
      <c r="E10" s="2400" t="s">
        <v>2180</v>
      </c>
      <c r="F10" s="2665" t="s">
        <v>3422</v>
      </c>
      <c r="G10" s="2666"/>
      <c r="H10" s="2667"/>
      <c r="I10" s="2668"/>
      <c r="J10" s="2438"/>
      <c r="K10" s="2615"/>
      <c r="L10" s="2612"/>
      <c r="M10" s="2612"/>
      <c r="N10" s="2438"/>
      <c r="O10" s="2449"/>
      <c r="P10" s="2438"/>
      <c r="Q10" s="2438"/>
      <c r="R10" s="2438"/>
    </row>
    <row r="11" spans="1:30" ht="24">
      <c r="A11" s="2401" t="s">
        <v>2181</v>
      </c>
      <c r="B11" s="2402" t="s">
        <v>3420</v>
      </c>
      <c r="C11" s="3477" t="s">
        <v>3421</v>
      </c>
      <c r="D11" s="2403"/>
      <c r="E11" s="2370"/>
      <c r="F11" s="2370"/>
      <c r="G11" s="2370"/>
      <c r="H11" s="2370"/>
      <c r="I11" s="2370"/>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2576</v>
      </c>
      <c r="J12" s="3061"/>
      <c r="K12" s="2612"/>
      <c r="L12" s="2612"/>
      <c r="M12" s="2438"/>
      <c r="N12" s="2449"/>
      <c r="O12" s="2438"/>
      <c r="P12" s="2438"/>
      <c r="Q12" s="2438"/>
      <c r="AD12" s="1745"/>
    </row>
    <row r="13" spans="1:30">
      <c r="A13" s="3422" t="s">
        <v>3330</v>
      </c>
      <c r="B13" s="2406" t="s">
        <v>2190</v>
      </c>
      <c r="C13" s="856"/>
      <c r="D13" s="856"/>
      <c r="E13" s="856">
        <v>55111</v>
      </c>
      <c r="F13" s="856"/>
      <c r="G13" s="856"/>
      <c r="H13" s="856"/>
      <c r="I13" s="856"/>
      <c r="J13" s="3061"/>
      <c r="K13" s="2612"/>
      <c r="L13" s="2612"/>
      <c r="M13" s="2438"/>
      <c r="N13" s="2449"/>
      <c r="O13" s="2438"/>
      <c r="P13" s="2438"/>
      <c r="Q13" s="2438"/>
      <c r="AD13" s="1745"/>
    </row>
    <row r="14" spans="1:30">
      <c r="A14" s="1081"/>
      <c r="B14" s="2406" t="s">
        <v>2191</v>
      </c>
      <c r="C14" s="2407"/>
      <c r="D14" s="2407"/>
      <c r="E14" s="2407">
        <v>50</v>
      </c>
      <c r="F14" s="2407"/>
      <c r="G14" s="2407"/>
      <c r="H14" s="2407"/>
      <c r="I14" s="2407"/>
      <c r="J14" s="3062"/>
      <c r="K14" s="2612"/>
      <c r="L14" s="2612"/>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f>IF(A13="出让",IF(E13="","",ROUNDDOWN(MIN((E13-$D$3)/365,E14),2)),E14)</f>
        <v>24.97</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400" t="s">
        <v>2193</v>
      </c>
      <c r="B16" s="3535"/>
      <c r="C16" s="3536"/>
      <c r="D16" s="3537"/>
      <c r="E16" s="2412" t="s">
        <v>2194</v>
      </c>
      <c r="F16" s="3538"/>
      <c r="G16" s="3539"/>
      <c r="H16" s="3539"/>
      <c r="I16" s="3540"/>
      <c r="J16" s="2438"/>
      <c r="K16" s="2616"/>
      <c r="L16" s="2450"/>
      <c r="M16" s="2450"/>
      <c r="N16" s="2508"/>
      <c r="O16" s="2450"/>
      <c r="P16" s="2508"/>
      <c r="Q16" s="2438"/>
      <c r="R16" s="2438"/>
    </row>
    <row r="17" spans="1:28">
      <c r="A17" s="313" t="s">
        <v>2195</v>
      </c>
      <c r="B17" s="302" t="s">
        <v>2196</v>
      </c>
      <c r="C17" s="8">
        <f>'数据-汇总表'!E3</f>
        <v>662.27</v>
      </c>
      <c r="D17" s="2322" t="s">
        <v>2197</v>
      </c>
      <c r="E17" s="3541" t="s">
        <v>2198</v>
      </c>
      <c r="F17" s="3542"/>
      <c r="G17" s="3542"/>
      <c r="H17" s="3542"/>
      <c r="I17" s="3543"/>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208.73</v>
      </c>
      <c r="D18" s="1092" t="s">
        <v>2201</v>
      </c>
      <c r="E18" s="3544" t="s">
        <v>2202</v>
      </c>
      <c r="F18" s="3545"/>
      <c r="G18" s="3545"/>
      <c r="H18" s="3545"/>
      <c r="I18" s="3546"/>
      <c r="J18" s="2438"/>
      <c r="K18" s="2617"/>
      <c r="L18" s="2450"/>
      <c r="M18" s="2450"/>
      <c r="N18" s="2508"/>
      <c r="O18" s="2450"/>
      <c r="P18" s="2508"/>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31" t="s">
        <v>2206</v>
      </c>
      <c r="C20" s="3532"/>
      <c r="D20" s="3533" t="s">
        <v>2207</v>
      </c>
      <c r="E20" s="3534"/>
      <c r="F20" s="2646" t="s">
        <v>1056</v>
      </c>
      <c r="G20" s="2663"/>
      <c r="H20" s="2663"/>
      <c r="I20" s="2663"/>
      <c r="J20" s="2438"/>
      <c r="K20" s="353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8"/>
      <c r="K21" s="353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31"/>
      <c r="B22" s="2635" t="s">
        <v>2211</v>
      </c>
      <c r="C22" s="2633" t="s">
        <v>1058</v>
      </c>
      <c r="D22" s="2662"/>
      <c r="E22" s="2662"/>
      <c r="F22" s="2662"/>
      <c r="G22" s="2663"/>
      <c r="H22" s="2663"/>
      <c r="I22" s="2663"/>
      <c r="J22" s="2438"/>
      <c r="K22" s="353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48"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48"/>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48"/>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49"/>
      <c r="B30" s="302" t="s">
        <v>2218</v>
      </c>
      <c r="C30" s="3550"/>
      <c r="D30" s="3551"/>
      <c r="E30" s="2663"/>
      <c r="F30" s="2663"/>
      <c r="G30" s="2663"/>
      <c r="H30" s="2663"/>
      <c r="I30" s="2663"/>
      <c r="J30" s="2438"/>
      <c r="K30" s="2615"/>
      <c r="L30" s="2612"/>
      <c r="M30" s="2612"/>
      <c r="N30" s="2438"/>
      <c r="O30" s="2449"/>
      <c r="P30" s="2438"/>
      <c r="Q30" s="2438"/>
      <c r="R30" s="2438"/>
      <c r="S30" s="2438"/>
      <c r="T30" s="2438"/>
      <c r="U30" s="2438"/>
      <c r="V30" s="2438"/>
    </row>
    <row r="31" spans="1:28">
      <c r="A31" s="3552" t="s">
        <v>2219</v>
      </c>
      <c r="B31" s="2421"/>
      <c r="C31" s="2323"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53"/>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53"/>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6"/>
      <c r="C34" s="2026"/>
      <c r="D34" s="2026"/>
      <c r="E34" s="2026"/>
      <c r="F34" s="2026"/>
      <c r="G34" s="2026"/>
      <c r="H34" s="2026"/>
      <c r="I34" s="2663"/>
      <c r="J34" s="2438"/>
      <c r="K34" s="2426">
        <f>COUNTIF(B34:H34,"——")</f>
        <v>0</v>
      </c>
      <c r="L34" s="323" t="s">
        <v>2221</v>
      </c>
      <c r="M34" s="323" t="s">
        <v>2222</v>
      </c>
      <c r="N34" s="323" t="s">
        <v>2223</v>
      </c>
      <c r="O34" s="323" t="s">
        <v>2224</v>
      </c>
      <c r="P34" s="323" t="s">
        <v>2225</v>
      </c>
      <c r="Q34" s="323" t="s">
        <v>2226</v>
      </c>
      <c r="R34" s="323" t="s">
        <v>2227</v>
      </c>
      <c r="S34" s="3547" t="s">
        <v>2228</v>
      </c>
      <c r="T34" s="2427" t="str">
        <f>NUMBERSTRING(7-K34,1)&amp;"通"</f>
        <v>七通</v>
      </c>
      <c r="U34" s="2438"/>
      <c r="V34" s="2438"/>
    </row>
    <row r="35" spans="1:30">
      <c r="A35" s="2428"/>
      <c r="B35" s="3554" t="s">
        <v>2229</v>
      </c>
      <c r="C35" s="3554"/>
      <c r="D35" s="3554"/>
      <c r="E35" s="3554"/>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7"/>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2579</v>
      </c>
      <c r="G36" s="2663"/>
      <c r="H36" s="2663"/>
      <c r="I36" s="2663"/>
      <c r="J36" s="2438"/>
      <c r="K36" s="2615"/>
      <c r="L36" s="2612"/>
      <c r="M36" s="2612"/>
      <c r="N36" s="2438"/>
      <c r="O36" s="2449"/>
      <c r="P36" s="2438"/>
      <c r="Q36" s="2438"/>
      <c r="R36" s="2438"/>
      <c r="S36" s="2438"/>
      <c r="T36" s="2438"/>
      <c r="U36" s="2438"/>
      <c r="V36" s="2438"/>
    </row>
    <row r="37" spans="1:30">
      <c r="A37" s="2629" t="s">
        <v>2230</v>
      </c>
      <c r="B37" s="2430"/>
      <c r="C37" s="3478" t="s">
        <v>184</v>
      </c>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3479" t="s">
        <v>251</v>
      </c>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2233</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30" sqref="K3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208.73</v>
      </c>
      <c r="B3" s="11">
        <f>IF(C3="否",G5-AT5,G5)</f>
        <v>662.27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662.27</v>
      </c>
      <c r="H5" s="13">
        <f t="shared" ref="H5:AT5" si="0">SUM(H13:H656)</f>
        <v>662.27</v>
      </c>
      <c r="I5" s="13">
        <f t="shared" si="0"/>
        <v>662.27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662.27</v>
      </c>
      <c r="BA5" s="15">
        <f t="shared" si="1"/>
        <v>662.27</v>
      </c>
      <c r="BB5" s="15">
        <f t="shared" si="1"/>
        <v>662.27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208.73</v>
      </c>
      <c r="F6" s="13" t="s">
        <v>0</v>
      </c>
      <c r="G6" s="13" t="s">
        <v>1</v>
      </c>
      <c r="H6" s="17">
        <f>SUMIF(I$12:AB$12,"总值",I6:AB6)</f>
        <v>208.73</v>
      </c>
      <c r="I6" s="13">
        <f t="shared" ref="I6:AB6" si="2">ROUND($A$3*I5/$B$3,2)</f>
        <v>208.73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208.73</v>
      </c>
      <c r="AZ6" s="13" t="s">
        <v>2</v>
      </c>
      <c r="BA6" s="13">
        <f>ROUND($AY$6*BA5/$AZ$5,2)</f>
        <v>208.73</v>
      </c>
      <c r="BB6" s="13">
        <f>ROUND($AY$6*BB5/$AZ$5,2)</f>
        <v>208.73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3426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2437" t="s">
        <v>3424</v>
      </c>
      <c r="D13" s="1625" t="s">
        <v>3423</v>
      </c>
      <c r="E13" s="13">
        <f>IF($C$3="是",ROUND($A$3*G13/$B$3,2),ROUND($A$3*(G13-AT13)/$B$3,2))</f>
        <v>44.37</v>
      </c>
      <c r="F13" s="29"/>
      <c r="G13" s="30">
        <f>H13+AC13+AT13</f>
        <v>140.78</v>
      </c>
      <c r="H13" s="17">
        <f>SUMIF(I$12:AB$12,"总值",I13:AB13)</f>
        <v>140.78</v>
      </c>
      <c r="I13" s="1626">
        <v>140.78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21-2</v>
      </c>
      <c r="AY13" s="1349">
        <f>ROUND($AY$6*AZ13/$AZ$5,2)</f>
        <v>44.37</v>
      </c>
      <c r="AZ13" s="13">
        <f>BA13+BL13</f>
        <v>140.78</v>
      </c>
      <c r="BA13" s="13">
        <f>SUM(BB13:BK13)</f>
        <v>140.78</v>
      </c>
      <c r="BB13" s="13">
        <f>IF($D13="是",I13-J13,0)</f>
        <v>140.78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80" t="s">
        <v>3425</v>
      </c>
      <c r="D14" s="1625" t="s">
        <v>3423</v>
      </c>
      <c r="E14" s="13">
        <f>IF($C$3="是",ROUND($A$3*G14/$B$3,2),ROUND($A$3*(G14-AT14)/$B$3,2))</f>
        <v>164.36</v>
      </c>
      <c r="F14" s="29"/>
      <c r="G14" s="30">
        <f>H14+AC14+AT14</f>
        <v>521.49</v>
      </c>
      <c r="H14" s="17">
        <f>SUMIF(I$12:AB$12,"总值",I14:AB14)</f>
        <v>521.49</v>
      </c>
      <c r="I14" s="1626">
        <v>521.49</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21-4</v>
      </c>
      <c r="AY14" s="1349">
        <f>ROUND($AY$6*AZ14/$AZ$5,2)</f>
        <v>164.36</v>
      </c>
      <c r="AZ14" s="13">
        <f>BA14+BL14</f>
        <v>521.49</v>
      </c>
      <c r="BA14" s="13">
        <f>SUM(BB14:BK14)</f>
        <v>521.49</v>
      </c>
      <c r="BB14" s="13">
        <f>IF($D14="是",I14-J14,0)</f>
        <v>521.49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26" sqref="I2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4" t="s">
        <v>1131</v>
      </c>
      <c r="B2" s="3564"/>
      <c r="C2" s="3564"/>
      <c r="D2" s="796" t="s">
        <v>1107</v>
      </c>
      <c r="E2" s="1639" t="s">
        <v>1108</v>
      </c>
      <c r="F2" s="2658"/>
      <c r="G2" s="2649"/>
      <c r="H2" s="2650"/>
      <c r="I2" s="2325" t="s">
        <v>1132</v>
      </c>
      <c r="J2" s="2658"/>
      <c r="K2" s="2658"/>
      <c r="L2" s="2658"/>
      <c r="M2" s="2658"/>
      <c r="N2" s="2660"/>
      <c r="O2" s="2658"/>
      <c r="P2" s="2658"/>
    </row>
    <row r="3" spans="1:16" ht="15.75" thickBot="1">
      <c r="A3" s="3565" t="s">
        <v>1105</v>
      </c>
      <c r="B3" s="3565"/>
      <c r="C3" s="3565"/>
      <c r="D3" s="43">
        <f>'数据-基础表'!AY6</f>
        <v>208.73</v>
      </c>
      <c r="E3" s="43">
        <f>'数据-基础表'!AZ5</f>
        <v>662.27</v>
      </c>
      <c r="F3" s="2658"/>
      <c r="G3" s="1145"/>
      <c r="H3" s="1026" t="s">
        <v>1106</v>
      </c>
      <c r="I3" s="855">
        <f>ROUND('数据-基础表'!B3/'数据-基础表'!A3,2)</f>
        <v>3.17</v>
      </c>
      <c r="J3" s="2658"/>
      <c r="K3" s="2658"/>
      <c r="L3" s="2658"/>
      <c r="M3" s="2658"/>
      <c r="N3" s="2660"/>
      <c r="O3" s="2658"/>
      <c r="P3" s="2658"/>
    </row>
    <row r="4" spans="1:16" ht="15">
      <c r="A4" s="3566"/>
      <c r="B4" s="3567"/>
      <c r="C4" s="3568"/>
      <c r="D4" s="1641" t="s">
        <v>1107</v>
      </c>
      <c r="E4" s="1642" t="s">
        <v>1108</v>
      </c>
      <c r="F4" s="2658"/>
      <c r="G4" s="2651" t="s">
        <v>1133</v>
      </c>
      <c r="H4" s="1026" t="s">
        <v>1113</v>
      </c>
      <c r="I4" s="855">
        <f>ROUND(SUMIF('数据-基础表'!I9:AS9,"地上",'数据-基础表'!I5:AS5)/'数据-基础表'!A3,2)</f>
        <v>3.17</v>
      </c>
      <c r="J4" s="2658"/>
      <c r="K4" s="2658"/>
      <c r="L4" s="2658"/>
      <c r="M4" s="2658"/>
      <c r="N4" s="2660"/>
      <c r="O4" s="2658"/>
      <c r="P4" s="2658"/>
    </row>
    <row r="5" spans="1:16">
      <c r="A5" s="44" t="s">
        <v>1109</v>
      </c>
      <c r="B5" s="3569" t="s">
        <v>1110</v>
      </c>
      <c r="C5" s="3569"/>
      <c r="D5" s="45">
        <f>ROUND($D$3*E5/$E$3,2)</f>
        <v>0</v>
      </c>
      <c r="E5" s="46">
        <f>SUMIF('数据-基础表'!$11:$11,"住宅",'数据-基础表'!$5:$5)</f>
        <v>0</v>
      </c>
      <c r="F5" s="2658"/>
      <c r="G5" s="1145"/>
      <c r="H5" s="1026" t="s">
        <v>1106</v>
      </c>
      <c r="I5" s="855">
        <f>ROUND(E31/D31,2)</f>
        <v>3.17</v>
      </c>
      <c r="J5" s="2658"/>
      <c r="K5" s="2658"/>
      <c r="L5" s="2658"/>
      <c r="M5" s="2658"/>
      <c r="N5" s="2658"/>
      <c r="O5" s="2658"/>
      <c r="P5" s="2658"/>
    </row>
    <row r="6" spans="1:16" ht="15" thickBot="1">
      <c r="A6" s="1644"/>
      <c r="B6" s="3569" t="s">
        <v>1111</v>
      </c>
      <c r="C6" s="3569"/>
      <c r="D6" s="45">
        <f>ROUND($D$3*E6/$E$3,2)</f>
        <v>208.73</v>
      </c>
      <c r="E6" s="46">
        <f>E3-E5</f>
        <v>662.27</v>
      </c>
      <c r="F6" s="2658"/>
      <c r="G6" s="2652" t="s">
        <v>1112</v>
      </c>
      <c r="H6" s="1146" t="s">
        <v>1113</v>
      </c>
      <c r="I6" s="2653">
        <f>ROUND(F31/D31,2)</f>
        <v>3.17</v>
      </c>
      <c r="J6" s="2658"/>
      <c r="K6" s="2658"/>
      <c r="L6" s="2658"/>
      <c r="M6" s="2658"/>
      <c r="N6" s="2658"/>
      <c r="O6" s="2658"/>
      <c r="P6" s="2658"/>
    </row>
    <row r="7" spans="1:16" ht="15.75" thickBot="1">
      <c r="A7" s="3561"/>
      <c r="B7" s="3562"/>
      <c r="C7" s="3563"/>
      <c r="D7" s="1641" t="s">
        <v>1107</v>
      </c>
      <c r="E7" s="1645"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208.73</v>
      </c>
      <c r="E8" s="48">
        <f>SUMIF('数据-基础表'!BB10:BK10,"地上",'数据-基础表'!BB5:BK5)</f>
        <v>662.27</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208.73</v>
      </c>
      <c r="E16" s="50">
        <f>SUM(E8:E15)</f>
        <v>662.27</v>
      </c>
      <c r="F16" s="2658"/>
      <c r="G16" s="2659"/>
      <c r="H16" s="1648" t="s">
        <v>1135</v>
      </c>
      <c r="I16" s="1649"/>
      <c r="J16" s="1139"/>
      <c r="K16" s="3558" t="s">
        <v>1135</v>
      </c>
      <c r="L16" s="3559"/>
      <c r="M16" s="3559"/>
      <c r="N16" s="3559"/>
      <c r="O16" s="3559"/>
      <c r="P16" s="3560"/>
    </row>
    <row r="17" spans="1:19" ht="15">
      <c r="A17" s="1650" t="s">
        <v>1136</v>
      </c>
      <c r="B17" s="1651" t="s">
        <v>1137</v>
      </c>
      <c r="C17" s="1652" t="s">
        <v>1138</v>
      </c>
      <c r="D17" s="1653" t="s">
        <v>1126</v>
      </c>
      <c r="E17" s="1654" t="s">
        <v>1127</v>
      </c>
      <c r="F17" s="1655"/>
      <c r="G17" s="1656"/>
      <c r="H17" s="1657" t="s">
        <v>1139</v>
      </c>
      <c r="I17" s="1658" t="s">
        <v>1124</v>
      </c>
      <c r="J17" s="1139"/>
      <c r="K17" s="3555" t="s">
        <v>1140</v>
      </c>
      <c r="L17" s="3556"/>
      <c r="M17" s="3557"/>
      <c r="N17" s="3555" t="s">
        <v>1141</v>
      </c>
      <c r="O17" s="3556"/>
      <c r="P17" s="355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3427</v>
      </c>
      <c r="D19" s="45">
        <f>ROUND($D$3*E19/$E$3,2)</f>
        <v>208.73</v>
      </c>
      <c r="E19" s="53">
        <f t="shared" ref="E19:E26" si="1">SUM(F19:G19)</f>
        <v>662.27</v>
      </c>
      <c r="F19" s="2794">
        <f>'数据-基础表'!I5</f>
        <v>662.27</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208.73</v>
      </c>
      <c r="S19" s="1027">
        <f t="shared" si="5"/>
        <v>662.27</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208.73</v>
      </c>
      <c r="E27" s="1141">
        <f>IF(SUM(E19:E26)='数据-基础表'!BA5,SUM(E19:E26),IF(F27="地上面积有误","面积有误","地下面积有误"))</f>
        <v>662.27</v>
      </c>
      <c r="F27" s="1140">
        <f>IF(SUM(F19:F26)=E8,SUM(F19:F26),"地上面积有误")</f>
        <v>662.27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208.73</v>
      </c>
      <c r="S27" s="1026">
        <f>IF(SUM(S19:S26)=$E$3,SUM(S19:S26),SUM(S19:S26)&amp;"误差"&amp;ROUND(SUM(S19:S26)-E3,2))</f>
        <v>662.27</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208.73</v>
      </c>
      <c r="E31" s="676">
        <f>E27+E30</f>
        <v>662.27</v>
      </c>
      <c r="F31" s="677">
        <f>F27+F30</f>
        <v>662.27</v>
      </c>
      <c r="G31" s="678">
        <f>G27+G30</f>
        <v>0</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K32" sqref="K3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45996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55111</v>
      </c>
      <c r="F6" s="64">
        <f>SUMIF(项目基本情况!C$12:I$12,C6,项目基本情况!C$15:I$15)</f>
        <v>24.97</v>
      </c>
      <c r="G6" s="65">
        <f>IF(ISERROR(ROUND(POWER(1+H6,D6-F6)*(POWER(1+H6,F6)-1)/(POWER(1+H6,D6)-1),3)),0,ROUND(POWER(1+H6,D6-F6)*(POWER(1+H6,F6)-1)/(POWER(1+H6,D6)-1),3))</f>
        <v>0.77200000000000002</v>
      </c>
      <c r="H6" s="732">
        <v>0.05</v>
      </c>
      <c r="I6" s="732">
        <v>5.5E-2</v>
      </c>
      <c r="J6" s="66">
        <v>7.0000000000000007E-2</v>
      </c>
      <c r="K6" s="1030">
        <f>SUMIF('数据-汇总表'!C$19:C$33,A6,'数据-汇总表'!E$19:E$33)</f>
        <v>662.27</v>
      </c>
      <c r="L6" s="733">
        <v>3500</v>
      </c>
      <c r="M6" s="67">
        <f t="shared" ref="M6:M14" si="0">ROUND(K6*L6/10000,0)</f>
        <v>232</v>
      </c>
      <c r="N6" s="731">
        <f>N20</f>
        <v>0.7</v>
      </c>
      <c r="O6" s="67" t="str">
        <f>IF($N$5="成新度","——",ROUND(M6*N6,0))</f>
        <v>——</v>
      </c>
      <c r="P6" s="68" t="str">
        <f>IF($N$5="成新度","——",M6-O6)</f>
        <v>——</v>
      </c>
      <c r="Q6" s="734">
        <v>0.15</v>
      </c>
      <c r="R6" s="69">
        <f ca="1">SUMIF('数据-汇总表'!C$19:C$33,A6,'数据-汇总表'!R$19:R$27)</f>
        <v>208.73</v>
      </c>
      <c r="S6" s="51">
        <f>IF('数据-汇总表'!$I$17="按面积比例",SUMIF('数据-汇总表'!C$19:C$33,A6,'数据-汇总表'!K$19:K$33),SUMIF('数据-汇总表'!C$19:C$33,A6,'数据-汇总表'!N$19:N$33))</f>
        <v>0</v>
      </c>
      <c r="T6" s="1172">
        <f>ROUND($L$14*S6/10000,0)</f>
        <v>0</v>
      </c>
      <c r="U6" s="3427">
        <v>4.5</v>
      </c>
      <c r="V6" s="70">
        <v>0.02</v>
      </c>
      <c r="W6" s="70">
        <v>0.1</v>
      </c>
      <c r="X6" s="1040"/>
      <c r="Y6" s="71">
        <f>N6</f>
        <v>0.7</v>
      </c>
      <c r="Z6" s="72"/>
      <c r="AA6" s="66"/>
      <c r="AB6" s="66"/>
      <c r="AC6" s="1040"/>
      <c r="AD6" s="73"/>
      <c r="AE6" s="1041">
        <f ca="1">IF(AN6="",0,SUMIF(INDIRECT("'"&amp;AN6&amp;"'"&amp;"!E:E"),$AE$5,INDIRECT("'"&amp;AN6&amp;"'"&amp;"!F:F")))</f>
        <v>24.97</v>
      </c>
      <c r="AF6" s="1348"/>
      <c r="AG6" s="138">
        <f>IF(AF6="",0,AE6-AF6)</f>
        <v>0</v>
      </c>
      <c r="AH6" s="74"/>
      <c r="AI6" s="76">
        <v>365</v>
      </c>
      <c r="AJ6" s="77"/>
      <c r="AK6" s="78">
        <v>2E-3</v>
      </c>
      <c r="AL6" s="79">
        <v>1E-3</v>
      </c>
      <c r="AM6" s="80">
        <v>5.0000000000000001E-3</v>
      </c>
      <c r="AN6" s="1715" t="s">
        <v>3433</v>
      </c>
      <c r="AO6" s="52">
        <f ca="1">SUMIF(INDIRECT("'"&amp;AN6&amp;"'"&amp;"!A:A"),"总价",INDIRECT("'"&amp;AN6&amp;"'"&amp;"!B:B"))</f>
        <v>1318.9142999999999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0.77200000000000002</v>
      </c>
      <c r="H16" s="90">
        <f>ROUND(SUMPRODUCT(H6:H13,K6:K13)/SUMPRODUCT((H6:H13&gt;0)*(K6:K13)),3)</f>
        <v>0.05</v>
      </c>
      <c r="I16" s="91"/>
      <c r="J16" s="91"/>
      <c r="K16" s="92">
        <f>SUM(K6:K15)</f>
        <v>662.27</v>
      </c>
      <c r="L16" s="93">
        <f>ROUND(M16*10000/SUM(K6:K14),0)</f>
        <v>3503</v>
      </c>
      <c r="M16" s="93">
        <f>SUM(M6:M14)</f>
        <v>232</v>
      </c>
      <c r="N16" s="94">
        <f>ROUND(SUMPRODUCT(M6:M14,N6:N14)/M16,3)</f>
        <v>0.7</v>
      </c>
      <c r="O16" s="93">
        <f>SUM(O6:O14)</f>
        <v>0</v>
      </c>
      <c r="P16" s="93">
        <f>SUM(P6:P14)</f>
        <v>0</v>
      </c>
      <c r="Q16" s="95">
        <f>ROUND(SUMPRODUCT(Q6:Q13,K6:K13)/SUMPRODUCT((Q6:Q13&gt;0)*(K6:K13)),2)</f>
        <v>0.15</v>
      </c>
      <c r="R16" s="1034">
        <f ca="1">SUM(R6:R13)</f>
        <v>208.73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3481" t="s">
        <v>3429</v>
      </c>
      <c r="N18" s="3482">
        <f>ROUND(1-(2025-1998)/60,2)</f>
        <v>0.55000000000000004</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2302</v>
      </c>
      <c r="D19" s="2675"/>
      <c r="E19" s="2672"/>
      <c r="F19" s="2672"/>
      <c r="G19" s="2672"/>
      <c r="H19" s="2672"/>
      <c r="I19" s="2672"/>
      <c r="J19" s="2672"/>
      <c r="K19" s="2671"/>
      <c r="L19" s="2671"/>
      <c r="M19" s="3481" t="s">
        <v>3430</v>
      </c>
      <c r="N19" s="3482">
        <v>0.85</v>
      </c>
      <c r="O19" s="2670"/>
      <c r="P19" s="2670"/>
      <c r="Q19" s="2670"/>
      <c r="R19" s="2670"/>
      <c r="S19" s="3482" t="s">
        <v>3431</v>
      </c>
      <c r="T19" s="3482">
        <f>'数据-基础表'!I13</f>
        <v>140.78</v>
      </c>
      <c r="U19" s="3482">
        <v>8</v>
      </c>
      <c r="V19" s="3482">
        <f>U19*T19</f>
        <v>1126.24</v>
      </c>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1.5</v>
      </c>
      <c r="C20" s="2799" t="s">
        <v>2300</v>
      </c>
      <c r="D20" s="2675"/>
      <c r="E20" s="2672"/>
      <c r="F20" s="2672"/>
      <c r="G20" s="2672"/>
      <c r="H20" s="2672"/>
      <c r="I20" s="2672"/>
      <c r="J20" s="2672"/>
      <c r="K20" s="2671"/>
      <c r="L20" s="2671"/>
      <c r="M20" s="3482"/>
      <c r="N20" s="3482">
        <f>(N18+N19)/2</f>
        <v>0.7</v>
      </c>
      <c r="O20" s="2670"/>
      <c r="P20" s="2670"/>
      <c r="Q20" s="2670"/>
      <c r="R20" s="2670"/>
      <c r="S20" s="3482" t="s">
        <v>3432</v>
      </c>
      <c r="T20" s="3482">
        <f>'数据-基础表'!I14</f>
        <v>521.49</v>
      </c>
      <c r="U20" s="3482">
        <v>3.5</v>
      </c>
      <c r="V20" s="3482">
        <f>U20*T20</f>
        <v>1825.2150000000001</v>
      </c>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f>B20</f>
        <v>1.5</v>
      </c>
      <c r="C21" s="2672"/>
      <c r="D21" s="2675"/>
      <c r="E21" s="2672"/>
      <c r="F21" s="2672"/>
      <c r="G21" s="2672"/>
      <c r="H21" s="2672"/>
      <c r="I21" s="2672"/>
      <c r="J21" s="2672"/>
      <c r="K21" s="2671"/>
      <c r="L21" s="2671"/>
      <c r="M21" s="2670"/>
      <c r="N21" s="2670"/>
      <c r="O21" s="2670"/>
      <c r="P21" s="2670"/>
      <c r="Q21" s="2670"/>
      <c r="R21" s="2670"/>
      <c r="S21" s="3482"/>
      <c r="T21" s="3482">
        <f>T19+T20</f>
        <v>662.27</v>
      </c>
      <c r="U21" s="3482">
        <f>V21/T21</f>
        <v>4.4565736029111997</v>
      </c>
      <c r="V21" s="3482">
        <f>V19+V20</f>
        <v>2951.4549999999999</v>
      </c>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1.5</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1.5</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2304</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2" t="s">
        <v>3381</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2" t="s">
        <v>2295</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0.03</v>
      </c>
      <c r="C36" s="2802" t="s">
        <v>3399</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3382</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3383</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8">
        <f ca="1">IF(A40="利息：取LPR",存贷款利率!G1,存贷款利率!G1+C40)</f>
        <v>3.0599999999999999E-2</v>
      </c>
      <c r="C40" s="2813"/>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3384</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v>0</v>
      </c>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24</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184</v>
      </c>
      <c r="C53" s="2660"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f>C55</f>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70" t="s">
        <v>2286</v>
      </c>
      <c r="B1" s="3571"/>
      <c r="C1" s="3571"/>
      <c r="D1" s="3571"/>
      <c r="E1" s="3571"/>
      <c r="F1" s="3571"/>
      <c r="G1" s="3571"/>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4" sqref="F34"/>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662.27</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45996</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1972</v>
      </c>
      <c r="C5" s="2511">
        <f ca="1">IF(B5=D14,结果表!H102,ROUND(B5*10000/$B$1,0))</f>
        <v>29769</v>
      </c>
      <c r="D5" s="2511" t="e">
        <f ca="1">ROUND(B5*10000/$B$2,0)</f>
        <v>#DIV/0!</v>
      </c>
      <c r="E5" s="2685"/>
      <c r="F5" s="2686"/>
      <c r="G5" s="2686"/>
      <c r="H5" s="2687"/>
      <c r="I5" s="2687"/>
      <c r="J5" s="2687"/>
      <c r="K5" s="2687"/>
    </row>
    <row r="6" spans="1:11" ht="16.5">
      <c r="A6" s="2511" t="s">
        <v>656</v>
      </c>
      <c r="B6" s="2511">
        <f ca="1">SUM(G14:G23)</f>
        <v>1972</v>
      </c>
      <c r="C6" s="2511">
        <f ca="1">IF(B6=G14,结果表!H108,ROUND(B6*10000/$B$1,0))</f>
        <v>29769</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3354</v>
      </c>
      <c r="D10" s="2511" t="s">
        <v>3355</v>
      </c>
      <c r="E10" s="3440"/>
      <c r="F10" s="3444" t="s">
        <v>3356</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662.27</v>
      </c>
      <c r="C14" s="2517"/>
      <c r="D14" s="2517">
        <f ca="1">结果表!H118</f>
        <v>1972</v>
      </c>
      <c r="E14" s="2517">
        <f ca="1">ROUND(D14*10000/B14,0)</f>
        <v>29776</v>
      </c>
      <c r="F14" s="2517" t="e">
        <f ca="1">ROUND(D14*10000/C14,0)</f>
        <v>#DIV/0!</v>
      </c>
      <c r="G14" s="2517">
        <f ca="1">结果表!D122</f>
        <v>1972</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I23" sqref="I2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21</v>
      </c>
      <c r="D1" s="1747"/>
      <c r="E1" s="1747"/>
      <c r="F1" s="1749" t="s">
        <v>1263</v>
      </c>
      <c r="G1" s="1561"/>
      <c r="H1" s="1750" t="str">
        <f>IF(G1="现房","——","估价对象范围")</f>
        <v>估价对象范围</v>
      </c>
      <c r="I1" s="1751"/>
    </row>
    <row r="2" spans="1:12" ht="21.75" customHeight="1" thickBot="1">
      <c r="A2" s="3639" t="str">
        <f>项目基本情况!S2</f>
        <v>北京市西坝河中里21号楼房地产</v>
      </c>
      <c r="B2" s="3640"/>
      <c r="C2" s="3640"/>
      <c r="D2" s="3640"/>
      <c r="E2" s="3640"/>
      <c r="F2" s="3640"/>
      <c r="G2" s="3640"/>
      <c r="H2" s="3640"/>
      <c r="I2" s="3641"/>
    </row>
    <row r="3" spans="1:12" ht="12.75">
      <c r="A3" s="3643" t="s">
        <v>1264</v>
      </c>
      <c r="B3" s="3644"/>
      <c r="C3" s="3644"/>
      <c r="D3" s="3644"/>
      <c r="E3" s="3644"/>
      <c r="F3" s="3644"/>
      <c r="G3" s="3644"/>
      <c r="H3" s="3644"/>
      <c r="I3" s="3644"/>
    </row>
    <row r="4" spans="1:12" ht="14.25">
      <c r="A4" s="1754" t="s">
        <v>1265</v>
      </c>
      <c r="B4" s="1755" t="s">
        <v>1266</v>
      </c>
      <c r="C4" s="1756" t="s">
        <v>3447</v>
      </c>
      <c r="D4" s="1756" t="s">
        <v>3433</v>
      </c>
      <c r="E4" s="3648" t="s">
        <v>1267</v>
      </c>
      <c r="F4" s="3649"/>
      <c r="G4" s="3649"/>
      <c r="H4" s="3649"/>
      <c r="I4" s="365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7" t="s">
        <v>1268</v>
      </c>
      <c r="B5" s="3642">
        <v>25</v>
      </c>
      <c r="C5" s="3645"/>
      <c r="D5" s="3633"/>
      <c r="E5" s="131" t="s">
        <v>1269</v>
      </c>
      <c r="F5" s="1757"/>
      <c r="G5" s="1757"/>
      <c r="H5" s="1757"/>
      <c r="I5" s="1373"/>
    </row>
    <row r="6" spans="1:12" ht="12.75">
      <c r="A6" s="3587"/>
      <c r="B6" s="3642"/>
      <c r="C6" s="3647"/>
      <c r="D6" s="3633"/>
      <c r="E6" s="131" t="s">
        <v>1270</v>
      </c>
      <c r="F6" s="1757"/>
      <c r="G6" s="1757"/>
      <c r="H6" s="1757"/>
      <c r="I6" s="1373"/>
    </row>
    <row r="7" spans="1:12" ht="12.75">
      <c r="A7" s="3587"/>
      <c r="B7" s="3642"/>
      <c r="C7" s="3646"/>
      <c r="D7" s="3633"/>
      <c r="E7" s="131" t="s">
        <v>1271</v>
      </c>
      <c r="F7" s="1757"/>
      <c r="G7" s="1757"/>
      <c r="H7" s="1757"/>
      <c r="I7" s="1373"/>
    </row>
    <row r="8" spans="1:12" ht="12.75">
      <c r="A8" s="3587" t="s">
        <v>1272</v>
      </c>
      <c r="B8" s="3642">
        <v>15</v>
      </c>
      <c r="C8" s="3645"/>
      <c r="D8" s="3633"/>
      <c r="E8" s="131" t="s">
        <v>1273</v>
      </c>
      <c r="F8" s="1757"/>
      <c r="G8" s="1757"/>
      <c r="H8" s="1757"/>
      <c r="I8" s="1373"/>
    </row>
    <row r="9" spans="1:12" ht="12.75">
      <c r="A9" s="3587"/>
      <c r="B9" s="3642"/>
      <c r="C9" s="3646"/>
      <c r="D9" s="3633"/>
      <c r="E9" s="131" t="s">
        <v>1274</v>
      </c>
      <c r="F9" s="1757"/>
      <c r="G9" s="1757"/>
      <c r="H9" s="1757"/>
      <c r="I9" s="1373"/>
    </row>
    <row r="10" spans="1:12" ht="12.75">
      <c r="A10" s="3587" t="s">
        <v>1275</v>
      </c>
      <c r="B10" s="3642">
        <v>15</v>
      </c>
      <c r="C10" s="3645"/>
      <c r="D10" s="3633"/>
      <c r="E10" s="131" t="s">
        <v>1276</v>
      </c>
      <c r="F10" s="1757"/>
      <c r="G10" s="1757"/>
      <c r="H10" s="1757"/>
      <c r="I10" s="1373"/>
    </row>
    <row r="11" spans="1:12" ht="12.75">
      <c r="A11" s="3587"/>
      <c r="B11" s="3642"/>
      <c r="C11" s="3646"/>
      <c r="D11" s="3633"/>
      <c r="E11" s="131" t="s">
        <v>1277</v>
      </c>
      <c r="F11" s="1757"/>
      <c r="G11" s="1757"/>
      <c r="H11" s="1757"/>
      <c r="I11" s="1373"/>
    </row>
    <row r="12" spans="1:12" ht="12.75">
      <c r="A12" s="3587" t="s">
        <v>1278</v>
      </c>
      <c r="B12" s="3642">
        <v>15</v>
      </c>
      <c r="C12" s="3645"/>
      <c r="D12" s="3633"/>
      <c r="E12" s="131" t="s">
        <v>1279</v>
      </c>
      <c r="F12" s="1757"/>
      <c r="G12" s="1757"/>
      <c r="H12" s="1757"/>
      <c r="I12" s="1373"/>
    </row>
    <row r="13" spans="1:12" ht="12.75">
      <c r="A13" s="3587"/>
      <c r="B13" s="3642"/>
      <c r="C13" s="3646"/>
      <c r="D13" s="3633"/>
      <c r="E13" s="131" t="s">
        <v>1280</v>
      </c>
      <c r="F13" s="1757"/>
      <c r="G13" s="1757"/>
      <c r="H13" s="1757"/>
      <c r="I13" s="1373"/>
    </row>
    <row r="14" spans="1:12" ht="12.75">
      <c r="A14" s="3587" t="s">
        <v>1281</v>
      </c>
      <c r="B14" s="3642">
        <v>30</v>
      </c>
      <c r="C14" s="3645">
        <v>6</v>
      </c>
      <c r="D14" s="3633">
        <v>4</v>
      </c>
      <c r="E14" s="131" t="s">
        <v>1282</v>
      </c>
      <c r="F14" s="1757"/>
      <c r="G14" s="1757"/>
      <c r="H14" s="1757"/>
      <c r="I14" s="1373"/>
    </row>
    <row r="15" spans="1:12" ht="12.75">
      <c r="A15" s="3587"/>
      <c r="B15" s="3642"/>
      <c r="C15" s="3647"/>
      <c r="D15" s="3633"/>
      <c r="E15" s="131" t="s">
        <v>1283</v>
      </c>
      <c r="F15" s="1757"/>
      <c r="G15" s="1757"/>
      <c r="H15" s="1757"/>
      <c r="I15" s="1373"/>
    </row>
    <row r="16" spans="1:12" ht="12.75">
      <c r="A16" s="3587"/>
      <c r="B16" s="3642"/>
      <c r="C16" s="3646"/>
      <c r="D16" s="3633"/>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64" t="s">
        <v>2131</v>
      </c>
      <c r="F18" s="3665"/>
      <c r="G18" s="3665"/>
      <c r="H18" s="3665"/>
      <c r="I18" s="3665"/>
      <c r="K18" s="302" t="s">
        <v>1289</v>
      </c>
      <c r="L18" s="302">
        <f>IF(C1="",'数据-汇总表'!E3,SUMIF(项目类型,C1,'数据-汇总表'!E17:E26)+SUMIF(项目类型,C1,'数据-汇总表'!I17:I26))</f>
        <v>662.27</v>
      </c>
      <c r="M18" s="302">
        <f>IF(C1="",'数据-汇总表'!E3,SUMIF(项目类型,C1,'数据-汇总表'!E17:E26))</f>
        <v>662.27</v>
      </c>
    </row>
    <row r="19" spans="1:36" ht="15">
      <c r="A19" s="1761" t="s">
        <v>1290</v>
      </c>
      <c r="B19" s="1762" t="s">
        <v>1291</v>
      </c>
      <c r="C19" s="134">
        <f ca="1">SUMIF(INDIRECT("'"&amp;C4&amp;"'"&amp;"!A:A"),结果表!B19,INDIRECT("'"&amp;C4&amp;"'"&amp;"!B:B"))</f>
        <v>2406.6007</v>
      </c>
      <c r="D19" s="135">
        <f ca="1">SUMIF(INDIRECT("'"&amp;D4&amp;"'"&amp;"!A:A"),结果表!B19,INDIRECT("'"&amp;D4&amp;"'"&amp;"!B:B"))</f>
        <v>1318.9142999999999</v>
      </c>
      <c r="E19" s="1761" t="s">
        <v>1292</v>
      </c>
      <c r="F19" s="1762" t="s">
        <v>1291</v>
      </c>
      <c r="G19" s="136">
        <f ca="1">ROUND(C19*$C$18+D19*$D$18,0)</f>
        <v>1972</v>
      </c>
      <c r="H19" s="1763" t="s">
        <v>1293</v>
      </c>
      <c r="I19" s="129"/>
      <c r="K19" s="302" t="s">
        <v>1294</v>
      </c>
      <c r="L19" s="302">
        <f>IF(C1="",'数据-汇总表'!D3,SUMIF(项目类型,C1,'数据-汇总表'!D17:D26)+SUMIF(项目类型,C1,'数据-汇总表'!H17:H27))</f>
        <v>208.73</v>
      </c>
      <c r="M19" s="302">
        <f>IF(C1="",'数据-汇总表'!D3,SUMIF(项目类型,C1,'数据-汇总表'!D17:D26))</f>
        <v>208.73</v>
      </c>
    </row>
    <row r="20" spans="1:36" ht="15">
      <c r="A20" s="1764"/>
      <c r="B20" s="1026" t="s">
        <v>1295</v>
      </c>
      <c r="C20" s="137">
        <f ca="1">SUMIF(INDIRECT("'"&amp;C4&amp;"'"&amp;"!A:A"),结果表!B20,INDIRECT("'"&amp;C4&amp;"'"&amp;"!B:B"))</f>
        <v>36339</v>
      </c>
      <c r="D20" s="138">
        <f ca="1">SUMIF(INDIRECT("'"&amp;D4&amp;"'"&amp;"!A:A"),结果表!B20,INDIRECT("'"&amp;D4&amp;"'"&amp;"!B:B"))</f>
        <v>19915</v>
      </c>
      <c r="E20" s="1764"/>
      <c r="F20" s="1026" t="s">
        <v>1295</v>
      </c>
      <c r="G20" s="139">
        <f ca="1">ROUND(C20*$C$18+D20*$D$18,0)</f>
        <v>29769</v>
      </c>
      <c r="H20" s="808" t="s">
        <v>1296</v>
      </c>
      <c r="I20" s="129"/>
    </row>
    <row r="21" spans="1:36" ht="15" customHeight="1" thickBot="1">
      <c r="A21" s="828"/>
      <c r="B21" s="1765" t="s">
        <v>1297</v>
      </c>
      <c r="C21" s="719">
        <f ca="1">ROUND(C19*10000/L19,0)</f>
        <v>115297</v>
      </c>
      <c r="D21" s="720">
        <f ca="1">ROUND(D19*10000/L19,0)</f>
        <v>63188</v>
      </c>
      <c r="E21" s="828"/>
      <c r="F21" s="1765" t="s">
        <v>1297</v>
      </c>
      <c r="G21" s="140">
        <f ca="1">ROUND(G19*10000/L19,0)</f>
        <v>94476</v>
      </c>
      <c r="H21" s="1766" t="s">
        <v>1296</v>
      </c>
      <c r="I21" s="129"/>
      <c r="J21" s="725" t="s">
        <v>3448</v>
      </c>
    </row>
    <row r="22" spans="1:36" ht="15" thickBot="1">
      <c r="A22" s="1688" t="s">
        <v>1298</v>
      </c>
      <c r="B22" s="1767"/>
      <c r="C22" s="1768"/>
      <c r="D22" s="721">
        <f ca="1">IF(C19&lt;D19,D19/C19-1,C19/D19-1)</f>
        <v>0.82468315037603279</v>
      </c>
      <c r="E22" s="129"/>
      <c r="F22" s="129"/>
      <c r="G22" s="129"/>
      <c r="H22" s="129"/>
      <c r="I22" s="129"/>
      <c r="J22" s="725">
        <v>2033</v>
      </c>
      <c r="K22" s="3824" t="s">
        <v>3449</v>
      </c>
    </row>
    <row r="23" spans="1:36" ht="13.5" thickBot="1">
      <c r="A23" s="1747"/>
      <c r="B23" s="1747"/>
      <c r="C23" s="1747"/>
      <c r="D23" s="1747"/>
      <c r="E23" s="129"/>
      <c r="F23" s="129"/>
      <c r="G23" s="129"/>
      <c r="H23" s="129"/>
      <c r="I23" s="129"/>
      <c r="J23" s="725">
        <v>30694</v>
      </c>
      <c r="K23" s="3824" t="s">
        <v>3450</v>
      </c>
    </row>
    <row r="24" spans="1:36" ht="14.25">
      <c r="A24" s="3657" t="s">
        <v>1299</v>
      </c>
      <c r="B24" s="1762" t="s">
        <v>1291</v>
      </c>
      <c r="C24" s="136">
        <f>IF(B30=0,0,D30)</f>
        <v>0</v>
      </c>
      <c r="D24" s="1769"/>
      <c r="E24" s="129"/>
      <c r="F24" s="129"/>
      <c r="G24" s="129"/>
      <c r="H24" s="129"/>
      <c r="I24" s="129"/>
    </row>
    <row r="25" spans="1:36" ht="14.25">
      <c r="A25" s="3658"/>
      <c r="B25" s="1026" t="s">
        <v>1295</v>
      </c>
      <c r="C25" s="141">
        <f>IF(B30=0,0,C30)</f>
        <v>0</v>
      </c>
      <c r="D25" s="1770"/>
      <c r="E25" s="129"/>
      <c r="F25" s="129"/>
      <c r="G25" s="129"/>
      <c r="H25" s="129"/>
      <c r="I25" s="129"/>
      <c r="J25" s="725">
        <f ca="1">(G19-J22)/J22</f>
        <v>-3.000491883915396E-2</v>
      </c>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29769</v>
      </c>
      <c r="D32" s="1775" t="s">
        <v>3451</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34" t="s">
        <v>1312</v>
      </c>
      <c r="B36" s="1787" t="s">
        <v>1313</v>
      </c>
      <c r="C36" s="145"/>
      <c r="D36" s="1788"/>
      <c r="E36" s="1789"/>
      <c r="F36" s="1790"/>
      <c r="G36" s="129"/>
      <c r="H36" s="129"/>
      <c r="I36" s="129"/>
    </row>
    <row r="37" spans="1:15" ht="15.75" thickBot="1">
      <c r="A37" s="3635"/>
      <c r="B37" s="1674" t="s">
        <v>1314</v>
      </c>
      <c r="C37" s="147"/>
      <c r="D37" s="1139"/>
      <c r="E37" s="1139"/>
      <c r="F37" s="1790"/>
      <c r="G37" s="129"/>
      <c r="H37" s="129"/>
      <c r="I37" s="129"/>
    </row>
    <row r="38" spans="1:15" ht="15.75" thickBot="1">
      <c r="A38" s="363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4" t="s">
        <v>1326</v>
      </c>
      <c r="B45" s="3655"/>
      <c r="C45" s="3656"/>
      <c r="D45" s="155">
        <f ca="1">ROUND(H101*F45,0)</f>
        <v>1972</v>
      </c>
      <c r="E45" s="156" t="s">
        <v>1327</v>
      </c>
      <c r="F45" s="157">
        <v>1</v>
      </c>
      <c r="G45" s="158" t="s">
        <v>1328</v>
      </c>
      <c r="H45" s="129"/>
      <c r="I45" s="129"/>
      <c r="J45" s="3574" t="s">
        <v>1329</v>
      </c>
      <c r="K45" s="3574"/>
      <c r="L45" s="3574"/>
      <c r="M45" s="3574"/>
      <c r="N45" s="3574"/>
      <c r="O45" s="3574"/>
    </row>
    <row r="46" spans="1:15" ht="14.25" customHeight="1">
      <c r="A46" s="3651" t="s">
        <v>1330</v>
      </c>
      <c r="B46" s="3652"/>
      <c r="C46" s="3652"/>
      <c r="D46" s="3652"/>
      <c r="E46" s="3652"/>
      <c r="F46" s="3652"/>
      <c r="G46" s="3653"/>
      <c r="H46" s="1806"/>
      <c r="I46" s="159"/>
      <c r="J46" s="2522">
        <v>1</v>
      </c>
      <c r="K46" s="3575" t="s">
        <v>1331</v>
      </c>
      <c r="L46" s="3575"/>
      <c r="M46" s="3576"/>
      <c r="N46" s="3576"/>
      <c r="O46" s="3576"/>
    </row>
    <row r="47" spans="1:15" ht="12" customHeight="1">
      <c r="A47" s="160" t="s">
        <v>1332</v>
      </c>
      <c r="B47" s="161"/>
      <c r="C47" s="162"/>
      <c r="D47" s="1087" t="s">
        <v>1333</v>
      </c>
      <c r="E47" s="302" t="s">
        <v>1334</v>
      </c>
      <c r="F47" s="163" t="s">
        <v>1335</v>
      </c>
      <c r="G47" s="2545" t="s">
        <v>1336</v>
      </c>
      <c r="H47" s="2546"/>
      <c r="I47" s="159"/>
      <c r="J47" s="2522">
        <v>2</v>
      </c>
      <c r="K47" s="3575" t="s">
        <v>1337</v>
      </c>
      <c r="L47" s="3575"/>
      <c r="M47" s="3577">
        <f>'数据-取费表'!B2</f>
        <v>45996</v>
      </c>
      <c r="N47" s="3577"/>
      <c r="O47" s="3577"/>
    </row>
    <row r="48" spans="1:15" ht="25.5">
      <c r="A48" s="3637" t="s">
        <v>1338</v>
      </c>
      <c r="B48" s="3638"/>
      <c r="C48" s="3638"/>
      <c r="D48" s="2324" t="b">
        <f>IF(H48="情况1",0,IF(H48="情况2",D52,IF(H48="情况3",D53,IF(H48="情况4",D54))))</f>
        <v>0</v>
      </c>
      <c r="E48" s="2334" t="str">
        <f>IF(H48="情况4","(销售额-原购置价)×税（费）率","销售额×税（费）率")</f>
        <v>销售额×税（费）率</v>
      </c>
      <c r="F48" s="2547">
        <f>IF(H48="情况1","免征",'数据-取费表'!B41)</f>
        <v>5.6000000000000001E-2</v>
      </c>
      <c r="G48" s="2548" t="s">
        <v>1339</v>
      </c>
      <c r="H48" s="2549"/>
      <c r="I48" s="1806"/>
      <c r="J48" s="2522">
        <v>3</v>
      </c>
      <c r="K48" s="3575" t="s">
        <v>1340</v>
      </c>
      <c r="L48" s="3575"/>
      <c r="M48" s="3578">
        <f ca="1">H101</f>
        <v>1972</v>
      </c>
      <c r="N48" s="3578"/>
      <c r="O48" s="3578"/>
    </row>
    <row r="49" spans="1:35" ht="25.5" customHeight="1">
      <c r="A49" s="2333" t="s">
        <v>1341</v>
      </c>
      <c r="B49" s="3623" t="s">
        <v>1342</v>
      </c>
      <c r="C49" s="3623"/>
      <c r="D49" s="1590">
        <v>0</v>
      </c>
      <c r="E49" s="324" t="s">
        <v>1343</v>
      </c>
      <c r="F49" s="2423" t="s">
        <v>28</v>
      </c>
      <c r="G49" s="3606"/>
      <c r="H49" s="2310" t="s">
        <v>2134</v>
      </c>
      <c r="I49" s="2311"/>
      <c r="J49" s="2522">
        <v>4</v>
      </c>
      <c r="K49" s="3575" t="str">
        <f>IF(项目基本情况!E8="房地产抵押价值","房地产抵押价值","抵押担保权已注销时的房地产抵押价值")</f>
        <v>房地产抵押价值</v>
      </c>
      <c r="L49" s="3575"/>
      <c r="M49" s="3578">
        <f ca="1">IF(项目基本情况!E8="房地产抵押价值",H107,H109)</f>
        <v>1972</v>
      </c>
      <c r="N49" s="3578"/>
      <c r="O49" s="3578"/>
    </row>
    <row r="50" spans="1:35" ht="25.5" customHeight="1">
      <c r="A50" s="2550"/>
      <c r="B50" s="3623" t="s">
        <v>1344</v>
      </c>
      <c r="C50" s="3623"/>
      <c r="D50" s="2551"/>
      <c r="E50" s="332"/>
      <c r="F50" s="2423"/>
      <c r="G50" s="3607"/>
      <c r="H50" s="2312" t="s">
        <v>2135</v>
      </c>
      <c r="I50" s="2311"/>
      <c r="J50" s="3574" t="s">
        <v>1345</v>
      </c>
      <c r="K50" s="3574"/>
      <c r="L50" s="3574"/>
      <c r="M50" s="3574"/>
      <c r="N50" s="3574"/>
      <c r="O50" s="3574"/>
    </row>
    <row r="51" spans="1:35" ht="20.45" customHeight="1">
      <c r="A51" s="2552"/>
      <c r="B51" s="3623" t="s">
        <v>1346</v>
      </c>
      <c r="C51" s="3623"/>
      <c r="D51" s="1087"/>
      <c r="E51" s="327"/>
      <c r="F51" s="2423"/>
      <c r="G51" s="3608"/>
      <c r="H51" s="2312" t="s">
        <v>2136</v>
      </c>
      <c r="I51" s="2311"/>
      <c r="J51" s="2523" t="s">
        <v>1347</v>
      </c>
      <c r="K51" s="3575" t="s">
        <v>1348</v>
      </c>
      <c r="L51" s="3575"/>
      <c r="M51" s="2523" t="s">
        <v>1349</v>
      </c>
      <c r="N51" s="2523" t="s">
        <v>1350</v>
      </c>
      <c r="O51" s="2523" t="s">
        <v>1351</v>
      </c>
    </row>
    <row r="52" spans="1:35" ht="24" customHeight="1">
      <c r="A52" s="2335" t="s">
        <v>1352</v>
      </c>
      <c r="B52" s="3623" t="s">
        <v>1353</v>
      </c>
      <c r="C52" s="3623"/>
      <c r="D52" s="1087">
        <f ca="1">ROUND(D45*'数据-取费表'!B41/(1+'数据-取费表'!C42),0)</f>
        <v>105</v>
      </c>
      <c r="E52" s="2334" t="s">
        <v>1354</v>
      </c>
      <c r="F52" s="2553">
        <f>'数据-取费表'!B41</f>
        <v>5.6000000000000001E-2</v>
      </c>
      <c r="G52" s="2554"/>
      <c r="H52" s="2543"/>
      <c r="I52" s="1807"/>
      <c r="J52" s="2522">
        <v>1</v>
      </c>
      <c r="K52" s="3600" t="s">
        <v>1355</v>
      </c>
      <c r="L52" s="3600"/>
      <c r="M52" s="2524" t="b">
        <f>D48</f>
        <v>0</v>
      </c>
      <c r="N52" s="2522" t="str">
        <f>E48</f>
        <v>销售额×税（费）率</v>
      </c>
      <c r="O52" s="2525">
        <f>F48</f>
        <v>5.6000000000000001E-2</v>
      </c>
    </row>
    <row r="53" spans="1:35" ht="12" customHeight="1">
      <c r="A53" s="2335" t="s">
        <v>1356</v>
      </c>
      <c r="B53" s="3624" t="s">
        <v>2291</v>
      </c>
      <c r="C53" s="3625"/>
      <c r="D53" s="1087">
        <f ca="1">ROUND(D45*'数据-取费表'!B41/(1+'数据-取费表'!C42),0)</f>
        <v>105</v>
      </c>
      <c r="E53" s="2334" t="s">
        <v>1354</v>
      </c>
      <c r="F53" s="2553">
        <f>'数据-取费表'!B41</f>
        <v>5.6000000000000001E-2</v>
      </c>
      <c r="G53" s="2554"/>
      <c r="H53" s="2543"/>
      <c r="I53" s="1807"/>
      <c r="J53" s="2522">
        <v>2</v>
      </c>
      <c r="K53" s="3600" t="s">
        <v>1357</v>
      </c>
      <c r="L53" s="3600"/>
      <c r="M53" s="2524">
        <f t="shared" ref="M53:O54" ca="1" si="0">D55</f>
        <v>1</v>
      </c>
      <c r="N53" s="2522" t="str">
        <f t="shared" si="0"/>
        <v>销售额×税（费）率</v>
      </c>
      <c r="O53" s="2525" t="str">
        <f t="shared" si="0"/>
        <v>免征</v>
      </c>
    </row>
    <row r="54" spans="1:35" ht="12" customHeight="1">
      <c r="A54" s="2335" t="s">
        <v>1358</v>
      </c>
      <c r="B54" s="3624" t="s">
        <v>2292</v>
      </c>
      <c r="C54" s="3625"/>
      <c r="D54" s="1087">
        <f ca="1">C68</f>
        <v>105</v>
      </c>
      <c r="E54" s="327" t="s">
        <v>1359</v>
      </c>
      <c r="F54" s="2553">
        <f>'数据-取费表'!B41</f>
        <v>5.6000000000000001E-2</v>
      </c>
      <c r="G54" s="2554"/>
      <c r="H54" s="2555"/>
      <c r="I54" s="1807"/>
      <c r="J54" s="2522">
        <v>3</v>
      </c>
      <c r="K54" s="3600" t="s">
        <v>1360</v>
      </c>
      <c r="L54" s="3600"/>
      <c r="M54" s="2524">
        <f t="shared" ca="1" si="0"/>
        <v>1116</v>
      </c>
      <c r="N54" s="2522" t="str">
        <f t="shared" si="0"/>
        <v>增值额×税（费）率</v>
      </c>
      <c r="O54" s="2526" t="str">
        <f t="shared" si="0"/>
        <v>免征</v>
      </c>
    </row>
    <row r="55" spans="1:35" ht="24" customHeight="1">
      <c r="A55" s="3660" t="s">
        <v>1361</v>
      </c>
      <c r="B55" s="3638"/>
      <c r="C55" s="3638"/>
      <c r="D55" s="2324">
        <f ca="1">IF(H55="个人住宅",0,ROUND(D45*I55,0))</f>
        <v>1</v>
      </c>
      <c r="E55" s="2334" t="s">
        <v>1362</v>
      </c>
      <c r="F55" s="2553" t="str">
        <f>IF(H55="正常",I55,"免征")</f>
        <v>免征</v>
      </c>
      <c r="G55" s="2554"/>
      <c r="H55" s="2549"/>
      <c r="I55" s="165">
        <f>'数据-取费表'!B49</f>
        <v>5.0000000000000001E-4</v>
      </c>
      <c r="J55" s="2522">
        <f>IF(H59="非个人房产","",4)</f>
        <v>4</v>
      </c>
      <c r="K55" s="3600" t="str">
        <f>IF(H59="非个人房产","——","个人所得税")</f>
        <v>个人所得税</v>
      </c>
      <c r="L55" s="3600"/>
      <c r="M55" s="2527">
        <f ca="1">D59</f>
        <v>19</v>
      </c>
      <c r="N55" s="2040" t="str">
        <f>E59</f>
        <v>差额计税</v>
      </c>
      <c r="O55" s="2528">
        <f>F59</f>
        <v>0.01</v>
      </c>
    </row>
    <row r="56" spans="1:35" ht="24.75">
      <c r="A56" s="3660" t="s">
        <v>1363</v>
      </c>
      <c r="B56" s="3638"/>
      <c r="C56" s="3638"/>
      <c r="D56" s="2324">
        <f ca="1">IF(H56="个人住宅",D57,D58)</f>
        <v>1116</v>
      </c>
      <c r="E56" s="2334" t="s">
        <v>1364</v>
      </c>
      <c r="F56" s="2553" t="str">
        <f>IF(H56="正常",F58,"免征")</f>
        <v>免征</v>
      </c>
      <c r="G56" s="2556" t="s">
        <v>1365</v>
      </c>
      <c r="H56" s="2557"/>
      <c r="I56" s="1808"/>
      <c r="J56" s="2522" t="str">
        <f>IF(项目基本情况!K6="上海银行",IF(J55="",4,J55+1),"")</f>
        <v/>
      </c>
      <c r="K56" s="3581" t="str">
        <f>IF(项目基本情况!K6="上海银行","其他处置费用","")</f>
        <v/>
      </c>
      <c r="L56" s="3582"/>
      <c r="M56" s="2524" t="str">
        <f>IF(项目基本情况!K6="上海银行",M69,"")</f>
        <v/>
      </c>
      <c r="N56" s="3581" t="str">
        <f>IF(项目基本情况!K6="上海银行","包含处置中涉及的律师、诉讼、拍卖、评估等费用","")</f>
        <v/>
      </c>
      <c r="O56" s="3584"/>
    </row>
    <row r="57" spans="1:35" ht="12.75">
      <c r="A57" s="2335" t="s">
        <v>1341</v>
      </c>
      <c r="B57" s="3624" t="s">
        <v>1366</v>
      </c>
      <c r="C57" s="3625"/>
      <c r="D57" s="1590">
        <v>0</v>
      </c>
      <c r="E57" s="324" t="s">
        <v>1343</v>
      </c>
      <c r="F57" s="302"/>
      <c r="G57" s="2554"/>
      <c r="H57" s="2558"/>
      <c r="I57" s="1808"/>
      <c r="J57" s="3600">
        <f>IF(AND(J55="",J56=""),4,IF(项目基本情况!K6="上海银行",结果表!J56+1,结果表!J55+1))</f>
        <v>5</v>
      </c>
      <c r="K57" s="3600" t="s">
        <v>1367</v>
      </c>
      <c r="L57" s="2529" t="s">
        <v>1368</v>
      </c>
      <c r="M57" s="2530"/>
      <c r="N57" s="2531">
        <f ca="1">SUMIF(M52:M56,"&lt;9e307")</f>
        <v>1136</v>
      </c>
      <c r="O57" s="2532"/>
      <c r="P57" s="2689">
        <f ca="1">N57/M49</f>
        <v>0.57606490872210958</v>
      </c>
    </row>
    <row r="58" spans="1:35" ht="24.75">
      <c r="A58" s="2335" t="s">
        <v>1352</v>
      </c>
      <c r="B58" s="3624" t="s">
        <v>1369</v>
      </c>
      <c r="C58" s="3623"/>
      <c r="D58" s="2324">
        <f ca="1">IF(H58="转让取得",C81,C97)</f>
        <v>1116</v>
      </c>
      <c r="E58" s="2334" t="s">
        <v>1364</v>
      </c>
      <c r="F58" s="302" t="s">
        <v>28</v>
      </c>
      <c r="G58" s="2554"/>
      <c r="H58" s="2557"/>
      <c r="I58" s="1808"/>
      <c r="J58" s="3600"/>
      <c r="K58" s="3600"/>
      <c r="L58" s="2529" t="s">
        <v>1370</v>
      </c>
      <c r="M58" s="2533"/>
      <c r="N58" s="2534" t="str">
        <f ca="1">NUMBERSTRING(INT(N57*10000),2)&amp;"元整"</f>
        <v>壹仟壹佰叁拾陆万元整</v>
      </c>
      <c r="O58" s="2535"/>
    </row>
    <row r="59" spans="1:35" ht="24.75" thickBot="1">
      <c r="A59" s="3604" t="s">
        <v>1371</v>
      </c>
      <c r="B59" s="3605"/>
      <c r="C59" s="3605"/>
      <c r="D59" s="2559">
        <f ca="1">IF(H59="非个人房产","——",IF(H59="个人住宅（满五唯一有凭证）",0,IF(H59="个人其他（无凭证）",ROUND(D45/(1+'数据-取费表'!C42)*F59,0),ROUND(C67*F59,0))))</f>
        <v>19</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2137</v>
      </c>
      <c r="J59" s="3602">
        <f>J57+1</f>
        <v>6</v>
      </c>
      <c r="K59" s="3600" t="s">
        <v>1372</v>
      </c>
      <c r="L59" s="2522" t="s">
        <v>1368</v>
      </c>
      <c r="M59" s="2536"/>
      <c r="N59" s="2537">
        <f ca="1">M49-N57</f>
        <v>836</v>
      </c>
      <c r="O59" s="2538"/>
    </row>
    <row r="60" spans="1:35" ht="12" customHeight="1">
      <c r="A60" s="1809"/>
      <c r="B60" s="1747"/>
      <c r="C60" s="1747"/>
      <c r="D60" s="1747"/>
      <c r="E60" s="1578"/>
      <c r="F60" s="1808"/>
      <c r="G60" s="1808"/>
      <c r="H60" s="1810"/>
      <c r="I60" s="129"/>
      <c r="J60" s="3603"/>
      <c r="K60" s="3600"/>
      <c r="L60" s="2529" t="s">
        <v>1370</v>
      </c>
      <c r="M60" s="2533"/>
      <c r="N60" s="2534" t="str">
        <f ca="1">NUMBERSTRING(INT(N59*10000),2)&amp;"元整"</f>
        <v>捌佰叁拾陆万元整</v>
      </c>
      <c r="O60" s="2535"/>
    </row>
    <row r="61" spans="1:35" ht="13.5" thickBot="1">
      <c r="A61" s="3659" t="s">
        <v>1373</v>
      </c>
      <c r="B61" s="3659"/>
      <c r="C61" s="3659"/>
      <c r="D61" s="3659"/>
      <c r="E61" s="3659"/>
      <c r="F61" s="1808"/>
      <c r="G61" s="1808"/>
      <c r="H61" s="1810"/>
      <c r="I61" s="129"/>
      <c r="J61" s="2522">
        <f>J59+1</f>
        <v>7</v>
      </c>
      <c r="K61" s="3600" t="s">
        <v>1374</v>
      </c>
      <c r="L61" s="3600"/>
      <c r="M61" s="2539"/>
      <c r="N61" s="2540">
        <f ca="1">ROUND(N59*10000/'数据-汇总表'!E3,0)</f>
        <v>12623</v>
      </c>
      <c r="O61" s="2541"/>
    </row>
    <row r="62" spans="1:35" ht="12.75">
      <c r="A62" s="3619" t="s">
        <v>1375</v>
      </c>
      <c r="B62" s="3620"/>
      <c r="C62" s="2021"/>
      <c r="D62" s="2021" t="s">
        <v>1376</v>
      </c>
      <c r="E62" s="166" t="s">
        <v>1377</v>
      </c>
      <c r="F62" s="1808"/>
      <c r="G62" s="1808"/>
      <c r="H62" s="1810"/>
      <c r="I62" s="129"/>
    </row>
    <row r="63" spans="1:35" ht="12.75">
      <c r="A63" s="173" t="s">
        <v>330</v>
      </c>
      <c r="B63" s="167" t="s">
        <v>1378</v>
      </c>
      <c r="C63" s="2563">
        <f ca="1">ROUND((C64+C65)/(1+'数据-取费表'!C42),0)</f>
        <v>1878</v>
      </c>
      <c r="D63" s="167"/>
      <c r="E63" s="168"/>
      <c r="F63" s="1808"/>
      <c r="G63" s="1808"/>
      <c r="H63" s="1810"/>
      <c r="I63" s="129"/>
      <c r="J63" s="3583" t="s">
        <v>1379</v>
      </c>
      <c r="K63" s="1332" t="s">
        <v>1380</v>
      </c>
      <c r="L63" s="1332">
        <f ca="1">IF(M49&gt;10000,M49*0.5%,IF(AND(M49&gt;1000,M49&lt;=10000),M49*1%,IF(AND(M49&gt;100,M49&lt;=1000),M49*3%,IF(AND(M49&gt;10,M49&lt;=100),M49*5%,M49*8%))))</f>
        <v>19.72</v>
      </c>
      <c r="M63" s="302">
        <f ca="1">ROUND(L63,1)</f>
        <v>19.7</v>
      </c>
      <c r="N63" s="2542"/>
      <c r="Z63" s="1752"/>
      <c r="AI63" s="1753"/>
    </row>
    <row r="64" spans="1:35" ht="14.25" customHeight="1">
      <c r="A64" s="169" t="s">
        <v>325</v>
      </c>
      <c r="B64" s="170" t="s">
        <v>1381</v>
      </c>
      <c r="C64" s="2564">
        <f ca="1">D45</f>
        <v>1972</v>
      </c>
      <c r="D64" s="170" t="s">
        <v>26</v>
      </c>
      <c r="E64" s="172"/>
      <c r="F64" s="1808"/>
      <c r="G64" s="1808"/>
      <c r="H64" s="1810"/>
      <c r="I64" s="129"/>
      <c r="J64" s="3583"/>
      <c r="K64" s="1332" t="s">
        <v>1382</v>
      </c>
      <c r="L64" s="1332">
        <f ca="1">IF(M49&gt;2000,M49*0.5%,IF(AND(M49&gt;1000,M49&lt;=2000),M49*0.6%,IF(AND(M49&gt;500,M49&lt;=1000),M49*0.7%,IF(AND(M49&gt;200,M49&lt;=500),M49*0.8%,IF(AND(M49&gt;100,M49&lt;=200),M49*0.9%,IF(AND(M49&gt;50,M49&lt;=100),M49*1%,IF(AND(M49&gt;20,M49&lt;=50),M49*1.5%,IF(AND(M49&gt;10,M49&lt;=20),M49*2%,IF(AND(M49&gt;1,M49&lt;=10),M49*2.5%)))))))))</f>
        <v>11.832000000000001</v>
      </c>
      <c r="M64" s="302">
        <f t="shared" ref="M64:M65" ca="1" si="1">ROUND(L64,1)</f>
        <v>11.8</v>
      </c>
      <c r="N64" s="2543" t="s">
        <v>1383</v>
      </c>
      <c r="Z64" s="1752"/>
      <c r="AI64" s="1753"/>
    </row>
    <row r="65" spans="1:35" ht="14.25" customHeight="1">
      <c r="A65" s="169" t="s">
        <v>326</v>
      </c>
      <c r="B65" s="170" t="s">
        <v>1384</v>
      </c>
      <c r="C65" s="2565"/>
      <c r="D65" s="170"/>
      <c r="E65" s="172"/>
      <c r="F65" s="1808"/>
      <c r="G65" s="1808"/>
      <c r="H65" s="1810"/>
      <c r="I65" s="129"/>
      <c r="J65" s="3583"/>
      <c r="K65" s="1332" t="s">
        <v>1385</v>
      </c>
      <c r="L65" s="1332">
        <f ca="1">IF(M49&gt;1000,M49*0.1%,IF(AND(M49&gt;500,M49&lt;=1000),M49*0.5%,IF(AND(M49&gt;50,M49&lt;=500),M49*1%,IF(AND(M49&gt;1,M49&lt;=50),M49*1.5%))))</f>
        <v>1.972</v>
      </c>
      <c r="M65" s="302">
        <f t="shared" ca="1" si="1"/>
        <v>2</v>
      </c>
      <c r="N65" s="2543" t="s">
        <v>1383</v>
      </c>
      <c r="Z65" s="1752"/>
      <c r="AI65" s="1753"/>
    </row>
    <row r="66" spans="1:35" ht="14.25" customHeight="1">
      <c r="A66" s="173" t="s">
        <v>327</v>
      </c>
      <c r="B66" s="174" t="s">
        <v>1386</v>
      </c>
      <c r="C66" s="2566"/>
      <c r="D66" s="174" t="s">
        <v>26</v>
      </c>
      <c r="E66" s="1338" t="s">
        <v>671</v>
      </c>
      <c r="F66" s="1808"/>
      <c r="G66" s="1808"/>
      <c r="H66" s="1810"/>
      <c r="I66" s="129"/>
      <c r="J66" s="3583"/>
      <c r="K66" s="1332" t="s">
        <v>1387</v>
      </c>
      <c r="L66" s="1332">
        <f ca="1">M49*0.5%</f>
        <v>9.86</v>
      </c>
      <c r="M66" s="302">
        <f ca="1">IF(L66&gt;0.5,0.5,ROUND(L66,0))</f>
        <v>0.5</v>
      </c>
      <c r="N66" s="2543" t="s">
        <v>1388</v>
      </c>
      <c r="Z66" s="1752"/>
      <c r="AI66" s="1753"/>
    </row>
    <row r="67" spans="1:35" ht="14.25" customHeight="1">
      <c r="A67" s="173" t="s">
        <v>328</v>
      </c>
      <c r="B67" s="174" t="s">
        <v>1389</v>
      </c>
      <c r="C67" s="2567">
        <f ca="1">C63-C66</f>
        <v>1878</v>
      </c>
      <c r="D67" s="170" t="s">
        <v>26</v>
      </c>
      <c r="E67" s="172"/>
      <c r="F67" s="1808"/>
      <c r="G67" s="1808"/>
      <c r="H67" s="1810"/>
      <c r="I67" s="129"/>
      <c r="J67" s="3583"/>
      <c r="K67" s="1332" t="s">
        <v>1390</v>
      </c>
      <c r="L67" s="1332">
        <f ca="1">IF(M49&gt;=10000,(8.25+(M49-10000)*0.01%),IF(AND(M49&gt;=8000,M49&lt;10000),(7.85+(M49-8000)*0.02%),IF(AND(M49&gt;=5000,M49&lt;8000),(6.65+(M49-5000)*0.04%),IF(AND(M49&gt;=2000,M49&lt;5000),(4.25+(PM49-2000)*0.08%),IF(AND(M49&gt;=1000,M49&lt;2000),(2.75+(M49-1000)*0.15%),IF(AND(M49&gt;=100,M49&lt;1000),(0.5+(M49-100)*0.25%),IF(AND(M49&gt;0,M49&lt;100),M49*0.5%)))))))</f>
        <v>4.2080000000000002</v>
      </c>
      <c r="M67" s="302">
        <f ca="1">ROUND(L67*0.9,1)</f>
        <v>3.8</v>
      </c>
      <c r="N67" s="2542"/>
      <c r="Z67" s="1752"/>
      <c r="AI67" s="1753"/>
    </row>
    <row r="68" spans="1:35" ht="14.25" customHeight="1" thickBot="1">
      <c r="A68" s="176" t="s">
        <v>329</v>
      </c>
      <c r="B68" s="177" t="s">
        <v>1391</v>
      </c>
      <c r="C68" s="2568">
        <f ca="1">IF(C67&lt;=0,0,ROUND(C67*D68,0))</f>
        <v>105</v>
      </c>
      <c r="D68" s="2569">
        <f>'数据-取费表'!B41</f>
        <v>5.6000000000000001E-2</v>
      </c>
      <c r="E68" s="178"/>
      <c r="F68" s="1808"/>
      <c r="G68" s="1808"/>
      <c r="H68" s="1810"/>
      <c r="I68" s="129"/>
      <c r="J68" s="3583"/>
      <c r="K68" s="1332" t="s">
        <v>1392</v>
      </c>
      <c r="L68" s="1332">
        <f ca="1">IF(M49&gt;10000,M49*0.5%,IF(AND(M49&gt;5000,M49&lt;=10000),M49*1%,IF(AND(M49&gt;1000,M49&lt;=5000),M49*2%,IF(AND(M49&gt;200,M49&lt;=1000),M49*3%,M49*5%))))</f>
        <v>39.44</v>
      </c>
      <c r="M68" s="302">
        <f ca="1">ROUND(L68,1)</f>
        <v>39.4</v>
      </c>
      <c r="N68" s="2542"/>
      <c r="Z68" s="1752"/>
      <c r="AI68" s="1753"/>
    </row>
    <row r="69" spans="1:35" s="1772" customFormat="1" ht="16.5" customHeight="1">
      <c r="A69" s="1811"/>
      <c r="B69" s="1812"/>
      <c r="C69" s="1813"/>
      <c r="D69" s="1814"/>
      <c r="E69" s="1815"/>
      <c r="F69" s="1578"/>
      <c r="G69" s="1578"/>
      <c r="H69" s="1577"/>
      <c r="I69" s="1747"/>
      <c r="J69" s="3583"/>
      <c r="K69" s="1332" t="s">
        <v>1393</v>
      </c>
      <c r="L69" s="1332"/>
      <c r="M69" s="302">
        <f ca="1">ROUND(SUM(M63:M68),0)</f>
        <v>77</v>
      </c>
      <c r="N69" s="2544">
        <f ca="1">M69/M49</f>
        <v>3.904665314401623E-2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7" t="s">
        <v>1394</v>
      </c>
      <c r="B70" s="3628"/>
      <c r="C70" s="3628"/>
      <c r="D70" s="3628"/>
      <c r="E70" s="3628"/>
      <c r="F70" s="3628"/>
      <c r="G70" s="3628"/>
      <c r="H70" s="3628"/>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9" t="s">
        <v>1375</v>
      </c>
      <c r="B71" s="3620"/>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1878</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11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624" t="s">
        <v>1402</v>
      </c>
      <c r="F76" s="3623"/>
      <c r="G76" s="3623"/>
      <c r="H76" s="362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11</v>
      </c>
      <c r="D78" s="2576">
        <f>'数据-取费表'!B43</f>
        <v>6.000000000000001E-3</v>
      </c>
      <c r="E78" s="3616" t="s">
        <v>1406</v>
      </c>
      <c r="F78" s="3617"/>
      <c r="G78" s="3617"/>
      <c r="H78" s="361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1867</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169.72727272727272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1116</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7" t="s">
        <v>1410</v>
      </c>
      <c r="B83" s="3628"/>
      <c r="C83" s="3628"/>
      <c r="D83" s="3628"/>
      <c r="E83" s="3628"/>
      <c r="F83" s="3628"/>
      <c r="G83" s="3628"/>
      <c r="H83" s="362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9" t="s">
        <v>1375</v>
      </c>
      <c r="B84" s="362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1878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11</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7"/>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7"/>
      <c r="G90" s="3585" t="s">
        <v>2129</v>
      </c>
      <c r="H90" s="3586"/>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616" t="s">
        <v>1419</v>
      </c>
      <c r="F91" s="3617"/>
      <c r="G91" s="361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616" t="s">
        <v>1422</v>
      </c>
      <c r="F92" s="3617"/>
      <c r="G92" s="3617"/>
      <c r="H92" s="3618"/>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11</v>
      </c>
      <c r="D93" s="2576">
        <f>'数据-取费表'!B43</f>
        <v>6.000000000000001E-3</v>
      </c>
      <c r="E93" s="3616" t="s">
        <v>1406</v>
      </c>
      <c r="F93" s="3617"/>
      <c r="G93" s="3617"/>
      <c r="H93" s="361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661" t="s">
        <v>1426</v>
      </c>
      <c r="F94" s="3662"/>
      <c r="G94" s="3662"/>
      <c r="H94" s="366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1867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169.72727272727272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1116</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6" t="s">
        <v>1428</v>
      </c>
      <c r="B100" s="3567"/>
      <c r="C100" s="3567"/>
      <c r="D100" s="3601"/>
      <c r="E100" s="3567" t="s">
        <v>1429</v>
      </c>
      <c r="F100" s="3567"/>
      <c r="G100" s="3567"/>
      <c r="H100" s="3601"/>
      <c r="I100" s="129"/>
    </row>
    <row r="101" spans="1:35" ht="18.75" customHeight="1">
      <c r="A101" s="3609" t="s">
        <v>1430</v>
      </c>
      <c r="B101" s="3610"/>
      <c r="C101" s="2584" t="str">
        <f>C4</f>
        <v>成本法 (元)</v>
      </c>
      <c r="D101" s="2585" t="str">
        <f>D4</f>
        <v>收益法 (元)</v>
      </c>
      <c r="E101" s="3579" t="s">
        <v>1431</v>
      </c>
      <c r="F101" s="3580"/>
      <c r="G101" s="1827" t="s">
        <v>1432</v>
      </c>
      <c r="H101" s="2594">
        <f ca="1">H118</f>
        <v>1972</v>
      </c>
      <c r="I101" s="129"/>
    </row>
    <row r="102" spans="1:35" ht="18.75" customHeight="1">
      <c r="A102" s="3611" t="s">
        <v>1433</v>
      </c>
      <c r="B102" s="2583" t="s">
        <v>1432</v>
      </c>
      <c r="C102" s="2584">
        <f ca="1">IF(D32="楼面单价",ROUND(C19,0),C19)</f>
        <v>2407</v>
      </c>
      <c r="D102" s="2585">
        <f ca="1">IF(D32="楼面单价",ROUND(D19,0),D19)</f>
        <v>1319</v>
      </c>
      <c r="E102" s="3579"/>
      <c r="F102" s="3580"/>
      <c r="G102" s="1827" t="s">
        <v>1434</v>
      </c>
      <c r="H102" s="2554">
        <f ca="1">I118</f>
        <v>29769</v>
      </c>
      <c r="I102" s="129"/>
    </row>
    <row r="103" spans="1:35" ht="42.75" customHeight="1">
      <c r="A103" s="3611"/>
      <c r="B103" s="2583" t="s">
        <v>1434</v>
      </c>
      <c r="C103" s="2586">
        <f ca="1">C20</f>
        <v>36339</v>
      </c>
      <c r="D103" s="2587">
        <f ca="1">D20</f>
        <v>19915</v>
      </c>
      <c r="E103" s="3572" t="s">
        <v>1435</v>
      </c>
      <c r="F103" s="3573"/>
      <c r="G103" s="1828" t="s">
        <v>1436</v>
      </c>
      <c r="H103" s="2594">
        <f>IF(D36="正常操作",H104+H105+H106,H105+H106)</f>
        <v>0</v>
      </c>
      <c r="I103" s="129"/>
    </row>
    <row r="104" spans="1:35" ht="18.75" customHeight="1">
      <c r="A104" s="3611" t="s">
        <v>1437</v>
      </c>
      <c r="B104" s="2588" t="s">
        <v>1432</v>
      </c>
      <c r="C104" s="2589">
        <f ca="1">H118</f>
        <v>1972</v>
      </c>
      <c r="D104" s="2590"/>
      <c r="E104" s="1674" t="s">
        <v>1438</v>
      </c>
      <c r="F104" s="1666"/>
      <c r="G104" s="1828" t="s">
        <v>1436</v>
      </c>
      <c r="H104" s="2595">
        <f>IF(D36="同一抵押权人同一抵押物续贷",C36&amp;"（续贷，未扣减，详见特别提示）",C36)</f>
        <v>0</v>
      </c>
      <c r="I104" s="129"/>
    </row>
    <row r="105" spans="1:35" ht="18.75" customHeight="1" thickBot="1">
      <c r="A105" s="3621"/>
      <c r="B105" s="2591" t="s">
        <v>1434</v>
      </c>
      <c r="C105" s="2592">
        <f ca="1">I118</f>
        <v>29769</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612" t="str">
        <f>IF(项目基本情况!E8="已注销","——","3.房地产抵押价值")</f>
        <v>3.房地产抵押价值</v>
      </c>
      <c r="F107" s="3580"/>
      <c r="G107" s="1827" t="s">
        <v>1432</v>
      </c>
      <c r="H107" s="2594">
        <f ca="1">IF(E107="——","——",H101-H103)</f>
        <v>1972</v>
      </c>
      <c r="I107" s="129"/>
    </row>
    <row r="108" spans="1:35" ht="18.75" customHeight="1">
      <c r="A108" s="129"/>
      <c r="B108" s="129"/>
      <c r="C108" s="129"/>
      <c r="D108" s="129"/>
      <c r="E108" s="3612"/>
      <c r="F108" s="3580"/>
      <c r="G108" s="1827" t="s">
        <v>1434</v>
      </c>
      <c r="H108" s="2554">
        <f ca="1">IF(H107=H101,H102,ROUND(H107*10000/'数据-汇总表'!E3,0))</f>
        <v>29769</v>
      </c>
      <c r="I108" s="129"/>
    </row>
    <row r="109" spans="1:35" ht="18.75" customHeight="1">
      <c r="A109" s="129"/>
      <c r="B109" s="129"/>
      <c r="C109" s="129"/>
      <c r="D109" s="129"/>
      <c r="E109" s="3612" t="str">
        <f>IF(项目基本情况!E8="已注销及未注销","4.抵押担保权已注销时的房地产抵押价值",IF(项目基本情况!E8="已注销","3.抵押担保权已注销时的房地产抵押价值","——"))</f>
        <v>——</v>
      </c>
      <c r="F109" s="3580"/>
      <c r="G109" s="1827" t="s">
        <v>1432</v>
      </c>
      <c r="H109" s="2597" t="str">
        <f>IF(E109="——","——",H101-H105-H106)</f>
        <v>——</v>
      </c>
      <c r="I109" s="129"/>
    </row>
    <row r="110" spans="1:35" ht="18.75" customHeight="1">
      <c r="A110" s="129"/>
      <c r="B110" s="129"/>
      <c r="C110" s="129"/>
      <c r="D110" s="129"/>
      <c r="E110" s="3612"/>
      <c r="F110" s="3580"/>
      <c r="G110" s="1827" t="s">
        <v>1434</v>
      </c>
      <c r="H110" s="2554" t="str">
        <f>IF(H109="——","——",ROUND(H109*10000/'数据-汇总表'!E3,0))</f>
        <v>——</v>
      </c>
      <c r="I110" s="129"/>
    </row>
    <row r="111" spans="1:35" ht="18.75" customHeight="1">
      <c r="A111" s="129"/>
      <c r="B111" s="129"/>
      <c r="C111" s="129"/>
      <c r="D111" s="129"/>
      <c r="E111" s="3613" t="str">
        <f>IF(项目基本情况!E9="抵押净值",IF(OR(项目基本情况!E8="已注销",项目基本情况!E8="房地产抵押价值"),"4.抵押净值","5.抵押净值"),"——")</f>
        <v>——</v>
      </c>
      <c r="F111" s="3599"/>
      <c r="G111" s="1827" t="s">
        <v>1432</v>
      </c>
      <c r="H111" s="2594" t="str">
        <f>IF(E111="——","——",N59)</f>
        <v>——</v>
      </c>
      <c r="I111" s="129"/>
    </row>
    <row r="112" spans="1:35" ht="18.75" customHeight="1" thickBot="1">
      <c r="A112" s="129"/>
      <c r="B112" s="129"/>
      <c r="C112" s="129"/>
      <c r="D112" s="129"/>
      <c r="E112" s="3614"/>
      <c r="F112" s="3615"/>
      <c r="G112" s="1830" t="s">
        <v>1434</v>
      </c>
      <c r="H112" s="2598" t="str">
        <f>IF(E111="——","——",N61)</f>
        <v>——</v>
      </c>
      <c r="I112" s="129"/>
    </row>
    <row r="113" spans="1:27" ht="18.75" customHeight="1">
      <c r="A113" s="129"/>
      <c r="B113" s="129"/>
      <c r="C113" s="129"/>
      <c r="D113" s="129"/>
      <c r="E113" s="3622" t="s">
        <v>1440</v>
      </c>
      <c r="F113" s="3622"/>
      <c r="G113" s="3622"/>
      <c r="H113" s="3622"/>
      <c r="I113" s="129"/>
    </row>
    <row r="114" spans="1:27" ht="3.75" customHeight="1">
      <c r="A114" s="1747"/>
      <c r="B114" s="1747"/>
      <c r="C114" s="1747"/>
      <c r="D114" s="1747"/>
      <c r="E114" s="1809"/>
      <c r="F114" s="1809"/>
      <c r="G114" s="1809"/>
      <c r="H114" s="1809"/>
      <c r="I114" s="1747"/>
    </row>
    <row r="115" spans="1:27" ht="18.75" customHeight="1">
      <c r="A115" s="3630" t="s">
        <v>1442</v>
      </c>
      <c r="B115" s="3631"/>
      <c r="C115" s="3631"/>
      <c r="D115" s="3631"/>
      <c r="E115" s="3631"/>
      <c r="F115" s="3631"/>
      <c r="G115" s="3631"/>
      <c r="H115" s="3631"/>
      <c r="I115" s="3632"/>
    </row>
    <row r="116" spans="1:27" ht="27" customHeight="1">
      <c r="A116" s="3587" t="s">
        <v>1443</v>
      </c>
      <c r="B116" s="3591" t="s">
        <v>1444</v>
      </c>
      <c r="C116" s="3591" t="s">
        <v>1445</v>
      </c>
      <c r="D116" s="3597" t="s">
        <v>1446</v>
      </c>
      <c r="E116" s="3598"/>
      <c r="F116" s="3629" t="s">
        <v>1447</v>
      </c>
      <c r="G116" s="3629"/>
      <c r="H116" s="3587" t="s">
        <v>1448</v>
      </c>
      <c r="I116" s="3587"/>
    </row>
    <row r="117" spans="1:27" ht="18.75" customHeight="1">
      <c r="A117" s="3587"/>
      <c r="B117" s="3592"/>
      <c r="C117" s="3592"/>
      <c r="D117" s="2329" t="s">
        <v>1449</v>
      </c>
      <c r="E117" s="2329" t="s">
        <v>1450</v>
      </c>
      <c r="F117" s="2329" t="s">
        <v>1449</v>
      </c>
      <c r="G117" s="2329" t="s">
        <v>1451</v>
      </c>
      <c r="H117" s="2329" t="s">
        <v>1449</v>
      </c>
      <c r="I117" s="2329" t="s">
        <v>1451</v>
      </c>
    </row>
    <row r="118" spans="1:27" ht="24.75" customHeight="1">
      <c r="A118" s="2599" t="str">
        <f>项目基本情况!S2</f>
        <v>北京市西坝河中里21号楼房地产</v>
      </c>
      <c r="B118" s="2329">
        <f>M18</f>
        <v>662.27</v>
      </c>
      <c r="C118" s="2329">
        <f>M19</f>
        <v>208.73</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1972</v>
      </c>
      <c r="I118" s="2329">
        <f ca="1">ROUND(IF(D32="楼面单价",C32,H118*10000/B118),0)</f>
        <v>29769</v>
      </c>
    </row>
    <row r="119" spans="1:27" ht="18.75" customHeight="1">
      <c r="A119" s="3587" t="s">
        <v>1452</v>
      </c>
      <c r="B119" s="3587"/>
      <c r="C119" s="3587"/>
      <c r="D119" s="3593" t="e">
        <f ca="1">NUMBERSTRING(INT(D118*10000),2)&amp;"元整"</f>
        <v>#REF!</v>
      </c>
      <c r="E119" s="3594"/>
      <c r="F119" s="3593" t="e">
        <f ca="1">NUMBERSTRING(INT(F118*10000),2)&amp;"元整"</f>
        <v>#REF!</v>
      </c>
      <c r="G119" s="3594"/>
      <c r="H119" s="3593" t="str">
        <f ca="1">NUMBERSTRING(INT(H118*10000),2)&amp;"元整"</f>
        <v>壹仟玖佰柒拾贰万元整</v>
      </c>
      <c r="I119" s="3594"/>
    </row>
    <row r="120" spans="1:27" ht="18.75" customHeight="1">
      <c r="A120" s="3588" t="str">
        <f>IF(项目基本情况!B9="房地产市场价值","",MID(E103,3,LEN(E103)-2))</f>
        <v>估价师知悉的法定优先受偿款</v>
      </c>
      <c r="B120" s="3589"/>
      <c r="C120" s="3590"/>
      <c r="D120" s="3588">
        <f>H103</f>
        <v>0</v>
      </c>
      <c r="E120" s="3589"/>
      <c r="F120" s="3589"/>
      <c r="G120" s="3589"/>
      <c r="H120" s="3589"/>
      <c r="I120" s="359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3" t="s">
        <v>1452</v>
      </c>
      <c r="B121" s="3595"/>
      <c r="C121" s="3594"/>
      <c r="D121" s="3593" t="str">
        <f>IF(D120=0,"零元整",NUMBERSTRING(INT(D120*10000),2)&amp;"元整")</f>
        <v>零元整</v>
      </c>
      <c r="E121" s="3595"/>
      <c r="F121" s="3595"/>
      <c r="G121" s="3595"/>
      <c r="H121" s="3595"/>
      <c r="I121" s="3594"/>
      <c r="AA121" s="725"/>
    </row>
    <row r="122" spans="1:27" ht="18.75" customHeight="1">
      <c r="A122" s="3599" t="str">
        <f>IF(项目基本情况!B9="房地产市场价值","",MID(E107,3,LEN(E107)-2))</f>
        <v>房地产抵押价值</v>
      </c>
      <c r="B122" s="3599"/>
      <c r="C122" s="3599"/>
      <c r="D122" s="3588">
        <f ca="1">H107</f>
        <v>1972</v>
      </c>
      <c r="E122" s="3589"/>
      <c r="F122" s="3589"/>
      <c r="G122" s="3589"/>
      <c r="H122" s="3589"/>
      <c r="I122" s="3590"/>
      <c r="AA122" s="725"/>
    </row>
    <row r="123" spans="1:27" ht="18.75" customHeight="1">
      <c r="A123" s="3587" t="s">
        <v>1452</v>
      </c>
      <c r="B123" s="3587"/>
      <c r="C123" s="3587"/>
      <c r="D123" s="3593" t="str">
        <f ca="1">NUMBERSTRING(INT(D122*10000),2)&amp;"元整"</f>
        <v>壹仟玖佰柒拾贰万元整</v>
      </c>
      <c r="E123" s="3595"/>
      <c r="F123" s="3595"/>
      <c r="G123" s="3595"/>
      <c r="H123" s="3595"/>
      <c r="I123" s="3594"/>
      <c r="AA123" s="725"/>
    </row>
    <row r="124" spans="1:27" ht="18.75" customHeight="1">
      <c r="A124" s="3599" t="str">
        <f>IF(项目基本情况!B9="房地产市场价值","",MID(E109,3,LEN(E109)-2))</f>
        <v/>
      </c>
      <c r="B124" s="3599"/>
      <c r="C124" s="3599"/>
      <c r="D124" s="3588" t="str">
        <f>H109</f>
        <v>——</v>
      </c>
      <c r="E124" s="3589"/>
      <c r="F124" s="3589"/>
      <c r="G124" s="3589"/>
      <c r="H124" s="3589"/>
      <c r="I124" s="3590"/>
      <c r="AA124" s="725"/>
    </row>
    <row r="125" spans="1:27" ht="18.75" customHeight="1">
      <c r="A125" s="3587" t="s">
        <v>1452</v>
      </c>
      <c r="B125" s="3587"/>
      <c r="C125" s="3587"/>
      <c r="D125" s="3593" t="e">
        <f>NUMBERSTRING(INT(D124*10000),2)&amp;"元整"</f>
        <v>#VALUE!</v>
      </c>
      <c r="E125" s="3595"/>
      <c r="F125" s="3595"/>
      <c r="G125" s="3595"/>
      <c r="H125" s="3595"/>
      <c r="I125" s="3594"/>
      <c r="AA125" s="725"/>
    </row>
    <row r="126" spans="1:27" ht="18.75" customHeight="1">
      <c r="A126" s="3599" t="str">
        <f>IF(项目基本情况!B9="房地产市场价值","",MID(E111,3,LEN(E111)-2))</f>
        <v/>
      </c>
      <c r="B126" s="3599"/>
      <c r="C126" s="3599"/>
      <c r="D126" s="3588" t="str">
        <f>H111</f>
        <v>——</v>
      </c>
      <c r="E126" s="3589"/>
      <c r="F126" s="3589"/>
      <c r="G126" s="3589"/>
      <c r="H126" s="3589"/>
      <c r="I126" s="3590"/>
      <c r="AA126" s="725"/>
    </row>
    <row r="127" spans="1:27" ht="18.75" customHeight="1">
      <c r="A127" s="3587" t="s">
        <v>1452</v>
      </c>
      <c r="B127" s="3587"/>
      <c r="C127" s="3587"/>
      <c r="D127" s="3593" t="e">
        <f>NUMBERSTRING(INT(D126*10000),2)&amp;"元整"</f>
        <v>#VALUE!</v>
      </c>
      <c r="E127" s="3595"/>
      <c r="F127" s="3595"/>
      <c r="G127" s="3595"/>
      <c r="H127" s="3595"/>
      <c r="I127" s="3594"/>
      <c r="AA127" s="725"/>
    </row>
    <row r="128" spans="1:27" ht="21.75" customHeight="1">
      <c r="A128" s="3596" t="s">
        <v>1453</v>
      </c>
      <c r="B128" s="3596"/>
      <c r="C128" s="3596"/>
      <c r="D128" s="3596"/>
      <c r="E128" s="3596"/>
      <c r="F128" s="3596"/>
      <c r="G128" s="3596"/>
      <c r="H128" s="3596"/>
      <c r="I128" s="359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256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3865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13</v>
      </c>
      <c r="D10" s="845">
        <f ca="1">IF(B1="",'数据-汇总表'!E6,IF(INDIRECT("'数据-取费表'!c"&amp;$G$1)="住宅",INDIRECT("'数据-取费表'!s"&amp;$G$1),INDIRECT("'数据-取费表'!k"&amp;$G$1)+INDIRECT("'数据-取费表'!s"&amp;$G$1)))</f>
        <v>662.27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13</v>
      </c>
      <c r="D19" s="849">
        <f ca="1">D9+D10</f>
        <v>662.27</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v>
      </c>
      <c r="D22" s="235">
        <f ca="1">C26</f>
        <v>5.0000000000000001E-4</v>
      </c>
      <c r="E22" s="236" t="s">
        <v>1498</v>
      </c>
      <c r="F22" s="237">
        <f ca="1">'数据-取费表'!B40</f>
        <v>3.0599999999999999E-2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264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232</v>
      </c>
      <c r="D34" s="217"/>
      <c r="E34" s="220"/>
      <c r="F34" s="257">
        <f ca="1">IF('数据-取费表'!B24=0,1,IF(B1="",'数据-取费表'!N16,INDIRECT("'数据-取费表'!n"&amp;$G$1)))</f>
        <v>1</v>
      </c>
      <c r="G34" s="219" t="s">
        <v>1526</v>
      </c>
    </row>
    <row r="35" spans="1:7" ht="13.5" customHeight="1">
      <c r="A35" s="780" t="s">
        <v>351</v>
      </c>
      <c r="B35" s="215" t="s">
        <v>1527</v>
      </c>
      <c r="C35" s="220">
        <f ca="1">ROUND(C34*F35,0)</f>
        <v>12</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13</v>
      </c>
      <c r="D37" s="217">
        <f ca="1">D19</f>
        <v>662.27</v>
      </c>
      <c r="E37" s="249">
        <f>'数据-取费表'!B35</f>
        <v>200</v>
      </c>
      <c r="F37" s="259"/>
      <c r="G37" s="261" t="s">
        <v>1532</v>
      </c>
    </row>
    <row r="38" spans="1:7" ht="13.5" customHeight="1">
      <c r="A38" s="780" t="s">
        <v>354</v>
      </c>
      <c r="B38" s="215" t="s">
        <v>1533</v>
      </c>
      <c r="C38" s="220">
        <f ca="1">ROUND(C34*F38,0)</f>
        <v>7</v>
      </c>
      <c r="D38" s="220"/>
      <c r="E38" s="220"/>
      <c r="F38" s="259">
        <f>'数据-取费表'!B36</f>
        <v>0.03</v>
      </c>
      <c r="G38" s="219" t="s">
        <v>1528</v>
      </c>
    </row>
    <row r="39" spans="1:7" s="214" customFormat="1" ht="13.5" customHeight="1">
      <c r="A39" s="255" t="s">
        <v>1534</v>
      </c>
      <c r="B39" s="210" t="s">
        <v>1535</v>
      </c>
      <c r="C39" s="232">
        <f ca="1">ROUND(C33*F20,0)</f>
        <v>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v>
      </c>
      <c r="D41" s="235">
        <f ca="1">C44</f>
        <v>5.0000000000000001E-4</v>
      </c>
      <c r="E41" s="236" t="s">
        <v>1539</v>
      </c>
      <c r="F41" s="237">
        <f ca="1">F22</f>
        <v>3.0599999999999999E-2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6</v>
      </c>
      <c r="D42" s="238"/>
      <c r="E42" s="238"/>
      <c r="F42" s="239"/>
      <c r="G42" s="3666" t="s">
        <v>1544</v>
      </c>
    </row>
    <row r="43" spans="1:7" ht="13.5" customHeight="1">
      <c r="A43" s="780" t="s">
        <v>347</v>
      </c>
      <c r="B43" s="215" t="s">
        <v>1545</v>
      </c>
      <c r="C43" s="238">
        <f ca="1">ROUND(IF('数据-取费表'!B22&lt;=1,C39*F22*'数据-取费表'!B21/2,C39*(POWER((1+F22),'数据-取费表'!B21/2)-1)),0)</f>
        <v>0</v>
      </c>
      <c r="D43" s="238"/>
      <c r="E43" s="238"/>
      <c r="F43" s="239"/>
      <c r="G43" s="3667"/>
    </row>
    <row r="44" spans="1:7" ht="13.5" customHeight="1">
      <c r="A44" s="780" t="s">
        <v>348</v>
      </c>
      <c r="B44" s="215" t="s">
        <v>1546</v>
      </c>
      <c r="C44" s="238">
        <f ca="1">ROUND(IF('数据-取费表'!B22&lt;=1,C40*F22*'数据-取费表'!B21/2,C40*(POWER((1+F22),'数据-取费表'!B21/2)-1)),4)</f>
        <v>5.0000000000000001E-4</v>
      </c>
      <c r="D44" s="238"/>
      <c r="E44" s="238"/>
      <c r="F44" s="239"/>
      <c r="G44" s="3668"/>
    </row>
    <row r="45" spans="1:7" s="214" customFormat="1" ht="13.5" customHeight="1">
      <c r="A45" s="255" t="s">
        <v>1547</v>
      </c>
      <c r="B45" s="244" t="s">
        <v>1513</v>
      </c>
      <c r="C45" s="245">
        <f ca="1">C46</f>
        <v>40</v>
      </c>
      <c r="D45" s="235">
        <f ca="1">C47</f>
        <v>3.0000000000000001E-3</v>
      </c>
      <c r="E45" s="236" t="s">
        <v>1539</v>
      </c>
      <c r="F45" s="246">
        <f ca="1">F27</f>
        <v>0.15</v>
      </c>
      <c r="G45" s="247" t="s">
        <v>1548</v>
      </c>
    </row>
    <row r="46" spans="1:7" s="214" customFormat="1" ht="13.5" customHeight="1">
      <c r="A46" s="780" t="s">
        <v>346</v>
      </c>
      <c r="B46" s="248" t="s">
        <v>1549</v>
      </c>
      <c r="C46" s="249">
        <f ca="1">ROUND((C33+C39)*F27,0)</f>
        <v>40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341</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239</v>
      </c>
      <c r="D51" s="232"/>
      <c r="E51" s="232"/>
      <c r="F51" s="264"/>
      <c r="G51" s="234" t="s">
        <v>1560</v>
      </c>
    </row>
    <row r="52" spans="1:7" s="208" customFormat="1" ht="16.5" thickBot="1">
      <c r="A52" s="265" t="s">
        <v>1561</v>
      </c>
      <c r="B52" s="266"/>
      <c r="C52" s="267">
        <f ca="1">C31+C51</f>
        <v>256</v>
      </c>
      <c r="D52" s="266"/>
      <c r="E52" s="266"/>
      <c r="F52" s="266"/>
      <c r="G52" s="268"/>
    </row>
    <row r="55" spans="1:7" ht="15">
      <c r="B55" s="270" t="s">
        <v>1562</v>
      </c>
      <c r="C55" s="271"/>
    </row>
    <row r="56" spans="1:7">
      <c r="B56" s="273" t="s">
        <v>802</v>
      </c>
      <c r="C56" s="275">
        <f ca="1">1-C57</f>
        <v>6.5999999999999948E-2</v>
      </c>
    </row>
    <row r="57" spans="1:7">
      <c r="B57" s="273" t="s">
        <v>803</v>
      </c>
      <c r="C57" s="274">
        <f ca="1">ROUND(C51/C52,3)</f>
        <v>0.93400000000000005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3" t="str">
        <f>项目基本情况!B1</f>
        <v>北京市西坝河中里21号楼房地产抵押价值预评估</v>
      </c>
      <c r="C37" s="3483"/>
      <c r="D37" s="3483"/>
      <c r="E37" s="3483"/>
      <c r="F37" s="3483"/>
      <c r="G37" s="3483"/>
      <c r="H37" s="3483"/>
      <c r="I37" s="348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G42" sqref="G42:G4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2406.6007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36339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16405933</v>
      </c>
      <c r="D5" s="211" t="s">
        <v>1469</v>
      </c>
      <c r="E5" s="212" t="s">
        <v>1470</v>
      </c>
      <c r="F5" s="212" t="s">
        <v>1471</v>
      </c>
      <c r="G5" s="213"/>
    </row>
    <row r="6" spans="1:8" s="214" customFormat="1" ht="13.5" customHeight="1">
      <c r="A6" s="778" t="s">
        <v>1472</v>
      </c>
      <c r="B6" s="215" t="s">
        <v>1473</v>
      </c>
      <c r="C6" s="216">
        <f>ROUND(基准地价修正!C33*基准地价修正!D33,0)</f>
        <v>15791828</v>
      </c>
      <c r="D6" s="217"/>
      <c r="E6" s="218"/>
      <c r="F6" s="218"/>
      <c r="G6" s="219"/>
    </row>
    <row r="7" spans="1:8" s="214" customFormat="1" ht="13.5" customHeight="1">
      <c r="A7" s="778" t="s">
        <v>1474</v>
      </c>
      <c r="B7" s="215" t="s">
        <v>1475</v>
      </c>
      <c r="C7" s="220">
        <f>ROUND(C6*F7,0)</f>
        <v>481651</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132454</v>
      </c>
      <c r="D8" s="222"/>
      <c r="E8" s="220"/>
      <c r="F8" s="221"/>
      <c r="G8" s="1856" t="s">
        <v>3445</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132454</v>
      </c>
      <c r="D10" s="845">
        <f ca="1">IF(B1="",'数据-汇总表'!E6,IF(INDIRECT("'数据-取费表'!c"&amp;$G$1)="住宅",INDIRECT("'数据-取费表'!s"&amp;$G$1),INDIRECT("'数据-取费表'!k"&amp;$G$1)+INDIRECT("'数据-取费表'!s"&amp;$G$1)))</f>
        <v>662.27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662.27</v>
      </c>
      <c r="E19" s="211">
        <f>'数据-取费表'!B31</f>
        <v>200</v>
      </c>
      <c r="F19" s="231"/>
      <c r="G19" s="1856" t="s">
        <v>3446</v>
      </c>
    </row>
    <row r="20" spans="1:7" s="214" customFormat="1" ht="13.5" customHeight="1">
      <c r="A20" s="255" t="s">
        <v>1574</v>
      </c>
      <c r="B20" s="210" t="s">
        <v>1575</v>
      </c>
      <c r="C20" s="232">
        <f ca="1">ROUND((C5+C19)*F20,0)</f>
        <v>328119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766266</v>
      </c>
      <c r="D22" s="235">
        <f ca="1">C26</f>
        <v>5.0000000000000001E-4</v>
      </c>
      <c r="E22" s="236" t="s">
        <v>1579</v>
      </c>
      <c r="F22" s="237">
        <f ca="1">'数据-取费表'!B40</f>
        <v>3.0599999999999999E-2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758764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7502</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2510108</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2510108</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21675071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2635834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2317945</v>
      </c>
      <c r="D34" s="217"/>
      <c r="E34" s="220"/>
      <c r="F34" s="257"/>
      <c r="G34" s="219"/>
    </row>
    <row r="35" spans="1:7" ht="13.5" customHeight="1">
      <c r="A35" s="780" t="s">
        <v>351</v>
      </c>
      <c r="B35" s="215" t="s">
        <v>1527</v>
      </c>
      <c r="C35" s="220">
        <f ca="1">ROUND(C34*F35,0)</f>
        <v>115897</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132454</v>
      </c>
      <c r="D37" s="217">
        <f ca="1">D19</f>
        <v>662.27</v>
      </c>
      <c r="E37" s="249">
        <f>'数据-取费表'!B35</f>
        <v>200</v>
      </c>
      <c r="F37" s="259"/>
      <c r="G37" s="261"/>
    </row>
    <row r="38" spans="1:7" ht="13.5" customHeight="1">
      <c r="A38" s="780" t="s">
        <v>354</v>
      </c>
      <c r="B38" s="215" t="s">
        <v>1533</v>
      </c>
      <c r="C38" s="220">
        <f ca="1">ROUND(C34*F38,0)</f>
        <v>69538</v>
      </c>
      <c r="D38" s="220"/>
      <c r="E38" s="220"/>
      <c r="F38" s="259">
        <f>'数据-取费表'!B36</f>
        <v>0.03</v>
      </c>
      <c r="G38" s="219" t="s">
        <v>1528</v>
      </c>
    </row>
    <row r="39" spans="1:7" s="214" customFormat="1" ht="13.5" customHeight="1">
      <c r="A39" s="255" t="s">
        <v>1534</v>
      </c>
      <c r="B39" s="210" t="s">
        <v>1535</v>
      </c>
      <c r="C39" s="232">
        <f ca="1">ROUND(C33*F20,0)</f>
        <v>52717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61469</v>
      </c>
      <c r="D41" s="235">
        <f ca="1">C44</f>
        <v>5.0000000000000001E-4</v>
      </c>
      <c r="E41" s="236" t="s">
        <v>1539</v>
      </c>
      <c r="F41" s="237">
        <f ca="1">F22</f>
        <v>3.0599999999999999E-2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60264</v>
      </c>
      <c r="D42" s="238"/>
      <c r="E42" s="238"/>
      <c r="F42" s="239"/>
      <c r="G42" s="3666" t="s">
        <v>1591</v>
      </c>
    </row>
    <row r="43" spans="1:7" ht="13.5" customHeight="1">
      <c r="A43" s="780" t="s">
        <v>347</v>
      </c>
      <c r="B43" s="215" t="s">
        <v>1545</v>
      </c>
      <c r="C43" s="238">
        <f ca="1">ROUND(IF('数据-取费表'!B22&lt;=1,C39*F22*'数据-取费表'!B20/2,C39*(POWER((1+F22),'数据-取费表'!B20/2)-1)),0)</f>
        <v>1205</v>
      </c>
      <c r="D43" s="238"/>
      <c r="E43" s="238"/>
      <c r="F43" s="239"/>
      <c r="G43" s="3667"/>
    </row>
    <row r="44" spans="1:7" ht="13.5" customHeight="1">
      <c r="A44" s="780" t="s">
        <v>348</v>
      </c>
      <c r="B44" s="215" t="s">
        <v>1546</v>
      </c>
      <c r="C44" s="238">
        <f ca="1">ROUND(IF('数据-取费表'!B22&lt;=1,C40*F22*'数据-取费表'!B20/2,C40*(POWER((1+F22),'数据-取费表'!B20/2)-1)),4)</f>
        <v>5.0000000000000001E-4</v>
      </c>
      <c r="D44" s="238"/>
      <c r="E44" s="238"/>
      <c r="F44" s="239"/>
      <c r="G44" s="3668"/>
    </row>
    <row r="45" spans="1:7" s="214" customFormat="1" ht="13.5" customHeight="1">
      <c r="A45" s="255" t="s">
        <v>1547</v>
      </c>
      <c r="B45" s="244" t="s">
        <v>1513</v>
      </c>
      <c r="C45" s="245">
        <f ca="1">C46</f>
        <v>403283</v>
      </c>
      <c r="D45" s="235">
        <f ca="1">C47</f>
        <v>3.0000000000000001E-3</v>
      </c>
      <c r="E45" s="236" t="s">
        <v>1539</v>
      </c>
      <c r="F45" s="246">
        <f ca="1">F27</f>
        <v>0.15</v>
      </c>
      <c r="G45" s="247" t="s">
        <v>1548</v>
      </c>
    </row>
    <row r="46" spans="1:7" s="214" customFormat="1" ht="13.5" customHeight="1">
      <c r="A46" s="780" t="s">
        <v>346</v>
      </c>
      <c r="B46" s="248" t="s">
        <v>1549</v>
      </c>
      <c r="C46" s="249">
        <f ca="1">ROUND((C33+C39)*F27,0)</f>
        <v>403283</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3415623</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2390936</v>
      </c>
      <c r="D51" s="232"/>
      <c r="E51" s="232"/>
      <c r="F51" s="264"/>
      <c r="G51" s="234" t="s">
        <v>1560</v>
      </c>
    </row>
    <row r="52" spans="1:7" s="208" customFormat="1" ht="16.5" thickBot="1">
      <c r="A52" s="265" t="s">
        <v>1561</v>
      </c>
      <c r="B52" s="266"/>
      <c r="C52" s="267">
        <f ca="1">C31+C51</f>
        <v>24066007</v>
      </c>
      <c r="D52" s="266"/>
      <c r="E52" s="266"/>
      <c r="F52" s="266"/>
      <c r="G52" s="268"/>
    </row>
    <row r="55" spans="1:7" ht="15">
      <c r="B55" s="270" t="s">
        <v>1562</v>
      </c>
      <c r="C55" s="271"/>
    </row>
    <row r="56" spans="1:7">
      <c r="B56" s="273" t="s">
        <v>802</v>
      </c>
      <c r="C56" s="275">
        <f ca="1">1-C57</f>
        <v>0.90100000000000002</v>
      </c>
    </row>
    <row r="57" spans="1:7">
      <c r="B57" s="273" t="s">
        <v>803</v>
      </c>
      <c r="C57" s="274">
        <f ca="1">ROUND(C51/C52,3)</f>
        <v>9.9000000000000005E-2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-15</v>
      </c>
      <c r="C2" s="276" t="s">
        <v>1595</v>
      </c>
      <c r="D2" s="276"/>
      <c r="E2" s="2805"/>
      <c r="F2" s="2805"/>
      <c r="G2" s="2805"/>
      <c r="H2" s="2805"/>
      <c r="I2" s="2805"/>
      <c r="J2" s="2805"/>
      <c r="K2" s="2805"/>
    </row>
    <row r="3" spans="1:33" ht="18" customHeight="1" thickBot="1">
      <c r="A3" s="203" t="s">
        <v>1464</v>
      </c>
      <c r="B3" s="204">
        <f ca="1">ROUND(B2*10000/IF(C1="",'数据-汇总表'!E3,INDIRECT("'数据-取费表'!K"&amp;$K$1)),0)</f>
        <v>-226</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662.27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0.03</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662.27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13</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13</v>
      </c>
      <c r="D20" s="846">
        <f ca="1">IF(C1="",'数据-汇总表'!E6,IF(INDIRECT("'数据-取费表'!c"&amp;$K$1)="住宅",INDIRECT("'数据-取费表'!s"&amp;$K$1),INDIRECT("'数据-取费表'!k"&amp;$K$1)+INDIRECT("'数据-取费表'!s"&amp;$K$1)))</f>
        <v>662.27</v>
      </c>
      <c r="E20" s="21">
        <f>'数据-取费表'!B28</f>
        <v>200</v>
      </c>
      <c r="F20" s="804"/>
      <c r="G20" s="12"/>
      <c r="H20" s="809"/>
      <c r="I20" s="809"/>
      <c r="J20" s="809"/>
      <c r="K20" s="810"/>
    </row>
    <row r="21" spans="1:33" s="803" customFormat="1" ht="13.5" customHeight="1">
      <c r="A21" s="790" t="s">
        <v>357</v>
      </c>
      <c r="B21" s="813" t="s">
        <v>1628</v>
      </c>
      <c r="C21" s="814">
        <f ca="1">C16+C17+C18</f>
        <v>13</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3.0599999999999999E-2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71" t="s">
        <v>694</v>
      </c>
      <c r="C6" s="1074">
        <f ca="1">ROUND(F6*F8*F7*(1-F9)/10000,0)</f>
        <v>0</v>
      </c>
      <c r="D6" s="155" t="s">
        <v>2109</v>
      </c>
      <c r="E6" s="302" t="s">
        <v>696</v>
      </c>
      <c r="F6" s="303">
        <f ca="1">INDIRECT("'数据-取费表'!u"&amp;$G$1)</f>
        <v>0</v>
      </c>
      <c r="G6" s="1384"/>
      <c r="H6" s="1069" t="s">
        <v>398</v>
      </c>
      <c r="I6" s="3671" t="s">
        <v>694</v>
      </c>
      <c r="J6" s="301">
        <f ca="1">ROUND(M6*M8*M7*(1-M9)/10000,0)</f>
        <v>0</v>
      </c>
      <c r="K6" s="155" t="s">
        <v>2108</v>
      </c>
      <c r="L6" s="302" t="s">
        <v>696</v>
      </c>
      <c r="M6" s="303">
        <f ca="1">INDIRECT("'数据-取费表'!z"&amp;$G$1)</f>
        <v>0</v>
      </c>
    </row>
    <row r="7" spans="1:37" ht="18" customHeight="1">
      <c r="A7" s="1073"/>
      <c r="B7" s="3672"/>
      <c r="C7" s="1075"/>
      <c r="D7" s="307"/>
      <c r="E7" s="1076" t="s">
        <v>697</v>
      </c>
      <c r="F7" s="303">
        <f ca="1">IF(INDIRECT("'数据-取费表'!ah"&amp;$G$1)="",INDIRECT("'数据-取费表'!k"&amp;$G$1),INDIRECT("'数据-取费表'!ah"&amp;$G$1))</f>
        <v>0</v>
      </c>
      <c r="G7" s="1384"/>
      <c r="H7" s="304"/>
      <c r="I7" s="3672"/>
      <c r="J7" s="306"/>
      <c r="K7" s="307"/>
      <c r="L7" s="302" t="s">
        <v>697</v>
      </c>
      <c r="M7" s="303">
        <f ca="1">F7</f>
        <v>0</v>
      </c>
    </row>
    <row r="8" spans="1:37" ht="18" customHeight="1">
      <c r="A8" s="304"/>
      <c r="B8" s="3672"/>
      <c r="C8" s="306"/>
      <c r="D8" s="307"/>
      <c r="E8" s="302" t="s">
        <v>698</v>
      </c>
      <c r="F8" s="303">
        <f ca="1">INDIRECT("'数据-取费表'!ai"&amp;$G$1)</f>
        <v>0</v>
      </c>
      <c r="G8" s="1384"/>
      <c r="H8" s="304"/>
      <c r="I8" s="3672"/>
      <c r="J8" s="306"/>
      <c r="K8" s="307"/>
      <c r="L8" s="302" t="s">
        <v>698</v>
      </c>
      <c r="M8" s="303">
        <f ca="1">INDIRECT("'数据-取费表'!ai"&amp;$G$1)</f>
        <v>0</v>
      </c>
    </row>
    <row r="9" spans="1:37" ht="18" customHeight="1">
      <c r="A9" s="304"/>
      <c r="B9" s="3673"/>
      <c r="C9" s="306"/>
      <c r="D9" s="307"/>
      <c r="E9" s="302" t="s">
        <v>699</v>
      </c>
      <c r="F9" s="312">
        <f ca="1">INDIRECT("'数据-取费表'!w"&amp;$G$1)</f>
        <v>0</v>
      </c>
      <c r="G9" s="1384"/>
      <c r="H9" s="304"/>
      <c r="I9" s="367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0.03</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3.0599999999999999E-2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7" t="s">
        <v>2306</v>
      </c>
      <c r="I31" s="1398"/>
      <c r="J31" s="1399"/>
      <c r="K31" s="2474"/>
      <c r="L31" s="2697"/>
      <c r="M31" s="2698"/>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3334</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0</v>
      </c>
      <c r="D34" s="324" t="s">
        <v>731</v>
      </c>
      <c r="E34" s="302" t="s">
        <v>732</v>
      </c>
      <c r="F34" s="325">
        <f>'数据-取费表'!B52</f>
        <v>24</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9" t="s">
        <v>837</v>
      </c>
      <c r="L53" s="3670"/>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K56" sqref="K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24.97</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1318.9142999999999</v>
      </c>
      <c r="C2" s="1387" t="s">
        <v>879</v>
      </c>
      <c r="D2" s="1471">
        <f ca="1">C40+J29+L46</f>
        <v>13189143</v>
      </c>
      <c r="E2" s="1388" t="s">
        <v>880</v>
      </c>
      <c r="F2" s="1389"/>
      <c r="G2" s="2705"/>
      <c r="H2" s="2694"/>
      <c r="I2" s="2694"/>
      <c r="J2" s="2694"/>
      <c r="K2" s="2695"/>
      <c r="L2" s="2694"/>
      <c r="M2" s="2694"/>
    </row>
    <row r="3" spans="1:37" ht="18" customHeight="1" thickBot="1">
      <c r="A3" s="1390" t="s">
        <v>881</v>
      </c>
      <c r="B3" s="1391">
        <f ca="1">IF(ISERROR(D2/F43),0,ROUND(D2/F43,0))</f>
        <v>19915</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980225</v>
      </c>
      <c r="D5" s="1364" t="s">
        <v>889</v>
      </c>
      <c r="E5" s="1071"/>
      <c r="F5" s="1072"/>
      <c r="G5" s="1384"/>
      <c r="H5" s="299">
        <v>1</v>
      </c>
      <c r="I5" s="300" t="s">
        <v>888</v>
      </c>
      <c r="J5" s="1070">
        <f ca="1">J6+J10+J12</f>
        <v>0</v>
      </c>
      <c r="K5" s="1364" t="s">
        <v>889</v>
      </c>
      <c r="L5" s="1071"/>
      <c r="M5" s="1072"/>
    </row>
    <row r="6" spans="1:37" ht="18" customHeight="1">
      <c r="A6" s="1069" t="s">
        <v>398</v>
      </c>
      <c r="B6" s="3671" t="s">
        <v>694</v>
      </c>
      <c r="C6" s="1074">
        <f ca="1">ROUND(F6*F8*F7*(1-F9),0)</f>
        <v>979001</v>
      </c>
      <c r="D6" s="155" t="s">
        <v>2106</v>
      </c>
      <c r="E6" s="302" t="s">
        <v>696</v>
      </c>
      <c r="F6" s="303">
        <f ca="1">INDIRECT("'数据-取费表'!u"&amp;$G$1)</f>
        <v>4.5</v>
      </c>
      <c r="G6" s="1384"/>
      <c r="H6" s="1069" t="s">
        <v>398</v>
      </c>
      <c r="I6" s="3671" t="s">
        <v>694</v>
      </c>
      <c r="J6" s="301">
        <f ca="1">ROUND(M6*M8*M7*(1-M9),0)</f>
        <v>0</v>
      </c>
      <c r="K6" s="1376" t="s">
        <v>2107</v>
      </c>
      <c r="L6" s="302" t="s">
        <v>696</v>
      </c>
      <c r="M6" s="303">
        <f ca="1">INDIRECT("'数据-取费表'!z"&amp;$G$1)</f>
        <v>0</v>
      </c>
    </row>
    <row r="7" spans="1:37" ht="18" customHeight="1">
      <c r="A7" s="1073"/>
      <c r="B7" s="3672"/>
      <c r="C7" s="1075"/>
      <c r="D7" s="307"/>
      <c r="E7" s="1076" t="s">
        <v>697</v>
      </c>
      <c r="F7" s="303">
        <f ca="1">IF(INDIRECT("'数据-取费表'!ah"&amp;$G$1)="",INDIRECT("'数据-取费表'!k"&amp;$G$1),INDIRECT("'数据-取费表'!ah"&amp;$G$1))</f>
        <v>662.27</v>
      </c>
      <c r="G7" s="1384"/>
      <c r="H7" s="304"/>
      <c r="I7" s="3672"/>
      <c r="J7" s="306"/>
      <c r="K7" s="307"/>
      <c r="L7" s="302" t="s">
        <v>697</v>
      </c>
      <c r="M7" s="303">
        <f ca="1">F7</f>
        <v>662.27</v>
      </c>
    </row>
    <row r="8" spans="1:37" ht="18" customHeight="1">
      <c r="A8" s="304"/>
      <c r="B8" s="3672"/>
      <c r="C8" s="306"/>
      <c r="D8" s="307"/>
      <c r="E8" s="302" t="s">
        <v>698</v>
      </c>
      <c r="F8" s="303">
        <f ca="1">INDIRECT("'数据-取费表'!ai"&amp;$G$1)</f>
        <v>365</v>
      </c>
      <c r="G8" s="1384"/>
      <c r="H8" s="304"/>
      <c r="I8" s="3672"/>
      <c r="J8" s="306"/>
      <c r="K8" s="307"/>
      <c r="L8" s="302" t="s">
        <v>698</v>
      </c>
      <c r="M8" s="303">
        <f ca="1">INDIRECT("'数据-取费表'!ai"&amp;$G$1)</f>
        <v>365</v>
      </c>
    </row>
    <row r="9" spans="1:37" ht="18" customHeight="1">
      <c r="A9" s="304"/>
      <c r="B9" s="3673"/>
      <c r="C9" s="306"/>
      <c r="D9" s="307"/>
      <c r="E9" s="302" t="s">
        <v>699</v>
      </c>
      <c r="F9" s="312">
        <f ca="1">INDIRECT("'数据-取费表'!w"&amp;$G$1)</f>
        <v>0.1</v>
      </c>
      <c r="G9" s="1384"/>
      <c r="H9" s="304"/>
      <c r="I9" s="3673"/>
      <c r="J9" s="306"/>
      <c r="K9" s="307"/>
      <c r="L9" s="313" t="s">
        <v>699</v>
      </c>
      <c r="M9" s="314">
        <f ca="1">INDIRECT("'数据-取费表'!ab"&amp;$G$1)</f>
        <v>0</v>
      </c>
    </row>
    <row r="10" spans="1:37" ht="18" customHeight="1">
      <c r="A10" s="1069" t="s">
        <v>402</v>
      </c>
      <c r="B10" s="1365" t="s">
        <v>700</v>
      </c>
      <c r="C10" s="316">
        <f ca="1">ROUND(IF(F10="押一",C6/12*F11,IF(F10="押二",C6/12*2*F11,IF(F10="押三",C6/12*3*F11,C11*F11))),0)</f>
        <v>1224</v>
      </c>
      <c r="D10" s="1366" t="s">
        <v>2116</v>
      </c>
      <c r="E10" s="313" t="s">
        <v>701</v>
      </c>
      <c r="F10" s="1116" t="s">
        <v>3434</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2390936</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2317945</v>
      </c>
      <c r="D14" s="1345" t="s">
        <v>708</v>
      </c>
      <c r="E14" s="1342"/>
      <c r="F14" s="319"/>
      <c r="G14" s="1384"/>
      <c r="H14" s="982" t="s">
        <v>398</v>
      </c>
      <c r="I14" s="302" t="s">
        <v>709</v>
      </c>
      <c r="J14" s="21">
        <f ca="1">C29</f>
        <v>3415623</v>
      </c>
      <c r="K14" s="12"/>
      <c r="L14" s="807"/>
      <c r="M14" s="808"/>
    </row>
    <row r="15" spans="1:37" s="1397" customFormat="1" ht="18" customHeight="1" thickBot="1">
      <c r="A15" s="982" t="s">
        <v>399</v>
      </c>
      <c r="B15" s="302" t="s">
        <v>710</v>
      </c>
      <c r="C15" s="21">
        <f ca="1">ROUND(C14*F15,0)</f>
        <v>115897</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11841</v>
      </c>
      <c r="K16" s="1087" t="s">
        <v>715</v>
      </c>
      <c r="L16" s="1088"/>
      <c r="M16" s="1072"/>
    </row>
    <row r="17" spans="1:37" s="1397" customFormat="1" ht="18" customHeight="1">
      <c r="A17" s="982" t="s">
        <v>681</v>
      </c>
      <c r="B17" s="302" t="s">
        <v>716</v>
      </c>
      <c r="C17" s="21">
        <f ca="1">ROUND(F17*(F43+INDIRECT("'数据-取费表'!S"&amp;$G$1)),0)</f>
        <v>132454</v>
      </c>
      <c r="D17" s="302" t="s">
        <v>717</v>
      </c>
      <c r="E17" s="302" t="s">
        <v>718</v>
      </c>
      <c r="F17" s="23">
        <f>'数据-取费表'!B35</f>
        <v>200</v>
      </c>
      <c r="G17" s="1396"/>
      <c r="H17" s="982" t="s">
        <v>398</v>
      </c>
      <c r="I17" s="302" t="s">
        <v>719</v>
      </c>
      <c r="J17" s="2316">
        <f ca="1">ROUND(IF(AND(项目基本情况!B11="自然人",项目基本情况!B10="北京市"),J6*M17/(1+'数据-取费表'!C42),J18+J19+J20),0)</f>
        <v>5010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69538</v>
      </c>
      <c r="D18" s="302" t="s">
        <v>711</v>
      </c>
      <c r="E18" s="302" t="s">
        <v>712</v>
      </c>
      <c r="F18" s="322">
        <f>'数据-取费表'!B36</f>
        <v>0.03</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2635834</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52717</v>
      </c>
      <c r="D20" s="323" t="s">
        <v>729</v>
      </c>
      <c r="E20" s="302" t="s">
        <v>712</v>
      </c>
      <c r="F20" s="322">
        <f>'数据-取费表'!B37</f>
        <v>0.02</v>
      </c>
      <c r="G20" s="1396"/>
      <c r="H20" s="982" t="s">
        <v>680</v>
      </c>
      <c r="I20" s="155" t="s">
        <v>730</v>
      </c>
      <c r="J20" s="22">
        <f ca="1">ROUND(M20*M21,0)</f>
        <v>5010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208.73</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6831</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61469</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3.0599999999999999E-2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-11841</v>
      </c>
      <c r="K25" s="1095" t="s">
        <v>753</v>
      </c>
      <c r="L25" s="1096"/>
      <c r="M25" s="1097"/>
    </row>
    <row r="26" spans="1:37" ht="18" customHeight="1">
      <c r="A26" s="982" t="s">
        <v>397</v>
      </c>
      <c r="B26" s="302" t="s">
        <v>754</v>
      </c>
      <c r="C26" s="21">
        <f ca="1">ROUND((C19+C20)*F26,0)</f>
        <v>403283</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3415623</v>
      </c>
      <c r="D29" s="1092"/>
      <c r="E29" s="1090"/>
      <c r="F29" s="1093"/>
      <c r="G29" s="1396"/>
      <c r="H29" s="334" t="s">
        <v>396</v>
      </c>
      <c r="I29" s="335" t="s">
        <v>768</v>
      </c>
      <c r="J29" s="336">
        <f ca="1">ROUND(J26/(1+F40)^F41,0)</f>
        <v>0</v>
      </c>
      <c r="K29" s="337" t="s">
        <v>769</v>
      </c>
      <c r="L29" s="338"/>
      <c r="M29" s="339">
        <f ca="1">INDIRECT("'数据-取费表'!k"&amp;$G$1)</f>
        <v>662.27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183232</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ROUND(IF(AND(项目基本情况!B11="自然人",项目基本情况!B10="北京市"),C6*F31/(1+'数据-取费表'!C42),C32+C33+C34),0)</f>
        <v>169109</v>
      </c>
      <c r="D31" s="1345" t="s">
        <v>720</v>
      </c>
      <c r="E31" s="1344" t="s">
        <v>770</v>
      </c>
      <c r="F31" s="2315" t="str">
        <f>IF(项目基本情况!B11="企业","——",IF(M47="住宅",IF(F6*F7*F8/12/(1+'数据-取费表'!F30)&gt;100000,4%,2.5%),IF(F6*F7*F8/12/(1+'数据-取费表'!F30)&gt;100000,12%,7%)))</f>
        <v>——</v>
      </c>
      <c r="G31" s="1384"/>
      <c r="H31" s="2807" t="s">
        <v>2306</v>
      </c>
      <c r="I31" s="1398"/>
      <c r="J31" s="1399"/>
      <c r="K31" s="2474"/>
      <c r="L31" s="2697"/>
      <c r="M31" s="2698"/>
    </row>
    <row r="32" spans="1:37" ht="18" customHeight="1">
      <c r="A32" s="982" t="s">
        <v>397</v>
      </c>
      <c r="B32" s="302" t="s">
        <v>723</v>
      </c>
      <c r="C32" s="21">
        <f ca="1">IF(项目基本情况!B11="自然人","——",ROUND(C6*F32/(1+'数据-取费表'!C42),0))</f>
        <v>52213</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111886</v>
      </c>
      <c r="D33" s="1370" t="s">
        <v>3334</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5010</v>
      </c>
      <c r="D34" s="324" t="s">
        <v>731</v>
      </c>
      <c r="E34" s="302" t="s">
        <v>732</v>
      </c>
      <c r="F34" s="325">
        <f>'数据-取费表'!B52</f>
        <v>24</v>
      </c>
      <c r="G34" s="1384"/>
      <c r="H34" s="2696"/>
      <c r="I34" s="1398"/>
      <c r="J34" s="1399"/>
      <c r="K34" s="2701"/>
      <c r="L34" s="2702"/>
      <c r="M34" s="2702"/>
    </row>
    <row r="35" spans="1:18" ht="18" customHeight="1">
      <c r="A35" s="1103"/>
      <c r="B35" s="1101"/>
      <c r="C35" s="26"/>
      <c r="D35" s="327"/>
      <c r="E35" s="302" t="s">
        <v>736</v>
      </c>
      <c r="F35" s="303">
        <f ca="1">INDIRECT("'数据-取费表'!r"&amp;$G$1)</f>
        <v>208.73</v>
      </c>
      <c r="G35" s="1384"/>
      <c r="H35" s="2696"/>
      <c r="I35" s="1398"/>
      <c r="J35" s="1399"/>
      <c r="K35" s="2700"/>
      <c r="L35" s="2699"/>
      <c r="M35" s="2699"/>
    </row>
    <row r="36" spans="1:18" ht="18" customHeight="1">
      <c r="A36" s="1102" t="s">
        <v>402</v>
      </c>
      <c r="B36" s="302" t="s">
        <v>738</v>
      </c>
      <c r="C36" s="21">
        <f ca="1">ROUND(C29*F36,0)</f>
        <v>6831</v>
      </c>
      <c r="D36" s="1344" t="s">
        <v>771</v>
      </c>
      <c r="E36" s="302" t="s">
        <v>712</v>
      </c>
      <c r="F36" s="328">
        <f ca="1">INDIRECT("'数据-取费表'!Ak"&amp;$G$1)</f>
        <v>2E-3</v>
      </c>
      <c r="G36" s="1384"/>
      <c r="H36" s="2699"/>
      <c r="I36" s="1398"/>
      <c r="J36" s="1399"/>
      <c r="K36" s="2543"/>
      <c r="L36" s="2699"/>
      <c r="M36" s="2699"/>
    </row>
    <row r="37" spans="1:18" ht="18" customHeight="1">
      <c r="A37" s="982" t="s">
        <v>437</v>
      </c>
      <c r="B37" s="302" t="s">
        <v>742</v>
      </c>
      <c r="C37" s="21">
        <f ca="1">ROUND(C13*F37,0)</f>
        <v>2391</v>
      </c>
      <c r="D37" s="1344" t="s">
        <v>743</v>
      </c>
      <c r="E37" s="302" t="s">
        <v>744</v>
      </c>
      <c r="F37" s="330">
        <f ca="1">INDIRECT("'数据-取费表'!Al"&amp;$G$1)</f>
        <v>1E-3</v>
      </c>
      <c r="G37" s="1384"/>
      <c r="H37" s="2699"/>
      <c r="I37" s="1398"/>
      <c r="J37" s="1399"/>
      <c r="K37" s="2543"/>
      <c r="L37" s="2699"/>
      <c r="M37" s="2699"/>
    </row>
    <row r="38" spans="1:18" ht="18" customHeight="1" thickBot="1">
      <c r="A38" s="1089" t="s">
        <v>684</v>
      </c>
      <c r="B38" s="1090" t="s">
        <v>728</v>
      </c>
      <c r="C38" s="1091">
        <f ca="1">ROUND(C5*F38,0)</f>
        <v>4901</v>
      </c>
      <c r="D38" s="1092" t="s">
        <v>748</v>
      </c>
      <c r="E38" s="1090" t="s">
        <v>744</v>
      </c>
      <c r="F38" s="1086">
        <f ca="1">INDIRECT("'数据-取费表'!Am"&amp;$G$1)</f>
        <v>5.0000000000000001E-3</v>
      </c>
      <c r="G38" s="1384"/>
      <c r="H38" s="2699"/>
      <c r="I38" s="1398"/>
      <c r="J38" s="1399"/>
      <c r="K38" s="2703"/>
      <c r="L38" s="2699"/>
      <c r="M38" s="2699"/>
    </row>
    <row r="39" spans="1:18" ht="24.6" customHeight="1" thickTop="1">
      <c r="A39" s="1079" t="s">
        <v>394</v>
      </c>
      <c r="B39" s="1094" t="s">
        <v>772</v>
      </c>
      <c r="C39" s="310">
        <f ca="1">C5-C30</f>
        <v>796993</v>
      </c>
      <c r="D39" s="1095" t="s">
        <v>773</v>
      </c>
      <c r="E39" s="1096"/>
      <c r="F39" s="1097"/>
      <c r="G39" s="1384"/>
      <c r="H39" s="2699"/>
      <c r="I39" s="1398"/>
      <c r="J39" s="1399"/>
      <c r="K39" s="2703"/>
      <c r="L39" s="2699"/>
      <c r="M39" s="2699"/>
    </row>
    <row r="40" spans="1:18" ht="18" customHeight="1">
      <c r="A40" s="299" t="s">
        <v>395</v>
      </c>
      <c r="B40" s="300" t="s">
        <v>774</v>
      </c>
      <c r="C40" s="301">
        <f ca="1">ROUND(C39*(1-((1+F42)/(1+F40))^F41)/(F40-F42),0)</f>
        <v>12964620</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24.97</v>
      </c>
      <c r="G41" s="1384"/>
      <c r="H41" s="1191"/>
      <c r="I41" s="1398"/>
      <c r="J41" s="1399"/>
      <c r="K41" s="2543"/>
      <c r="L41" s="1191"/>
      <c r="M41" s="1191"/>
    </row>
    <row r="42" spans="1:18" ht="18" customHeight="1">
      <c r="A42" s="308"/>
      <c r="B42" s="309"/>
      <c r="C42" s="310"/>
      <c r="D42" s="327"/>
      <c r="E42" s="302" t="s">
        <v>766</v>
      </c>
      <c r="F42" s="312">
        <f ca="1">INDIRECT("'数据-取费表'!v"&amp;$G$1)</f>
        <v>0.02</v>
      </c>
      <c r="G42" s="1384"/>
      <c r="H42" s="1191"/>
      <c r="I42" s="1398"/>
      <c r="J42" s="1399"/>
      <c r="K42" s="2543"/>
      <c r="L42" s="1191"/>
      <c r="M42" s="1191"/>
    </row>
    <row r="43" spans="1:18" ht="18" customHeight="1" thickBot="1">
      <c r="A43" s="334" t="s">
        <v>396</v>
      </c>
      <c r="B43" s="335" t="s">
        <v>776</v>
      </c>
      <c r="C43" s="336">
        <f ca="1">ROUND(C40/F43,0)</f>
        <v>19576</v>
      </c>
      <c r="D43" s="337" t="s">
        <v>777</v>
      </c>
      <c r="E43" s="338" t="s">
        <v>778</v>
      </c>
      <c r="F43" s="339">
        <f ca="1">INDIRECT("'数据-取费表'!k"&amp;$G$1)</f>
        <v>662.27</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3350</v>
      </c>
      <c r="B45" s="1400"/>
      <c r="C45" s="1472">
        <f ca="1">ROUND((C68-C40)/10000,4)</f>
        <v>-1315.5418</v>
      </c>
      <c r="D45" s="3431" t="s">
        <v>3351</v>
      </c>
      <c r="E45" s="1400"/>
      <c r="F45" s="1400"/>
      <c r="O45" s="1403" t="s">
        <v>808</v>
      </c>
      <c r="P45" s="1461"/>
      <c r="Q45" s="1461"/>
      <c r="R45" s="1461"/>
    </row>
    <row r="46" spans="1:18" s="1384" customFormat="1" ht="13.5" thickBot="1">
      <c r="A46" s="1404" t="s">
        <v>809</v>
      </c>
      <c r="C46" s="1405">
        <f ca="1">ROUND(C45,0)</f>
        <v>-1316</v>
      </c>
      <c r="D46" s="1406" t="str">
        <f>C2</f>
        <v>万元</v>
      </c>
      <c r="I46" s="1407" t="s">
        <v>810</v>
      </c>
      <c r="J46" s="1408"/>
      <c r="K46" s="1409"/>
      <c r="L46" s="1410">
        <f ca="1">IF(M47="住宅",0,IF(L48&gt;J51,L60,J60))</f>
        <v>224523</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3435</v>
      </c>
      <c r="K47" s="1416" t="s">
        <v>816</v>
      </c>
      <c r="L47" s="1417">
        <f ca="1">INDIRECT("'数据-取费表'!d"&amp;$G$1)</f>
        <v>50</v>
      </c>
      <c r="M47" s="1380" t="str">
        <f>IF(ISNUMBER(FIND("住宅",C1)),"住宅","非住宅")</f>
        <v>非住宅</v>
      </c>
      <c r="O47" s="1418" t="s">
        <v>403</v>
      </c>
      <c r="P47" s="1419" t="s">
        <v>817</v>
      </c>
      <c r="Q47" s="1420">
        <f ca="1">C40+J29</f>
        <v>12964620</v>
      </c>
      <c r="R47" s="1420" t="s">
        <v>818</v>
      </c>
    </row>
    <row r="48" spans="1:18" s="1384" customFormat="1" ht="28.5" thickBot="1">
      <c r="A48" s="1110" t="s">
        <v>438</v>
      </c>
      <c r="B48" s="300" t="s">
        <v>692</v>
      </c>
      <c r="C48" s="1359">
        <f ca="1">C49+C53+C55</f>
        <v>0</v>
      </c>
      <c r="D48" s="1112"/>
      <c r="E48" s="1113"/>
      <c r="F48" s="962"/>
      <c r="G48" s="722"/>
      <c r="H48" s="723"/>
      <c r="I48" s="1421" t="s">
        <v>819</v>
      </c>
      <c r="J48" s="1422" t="s">
        <v>3436</v>
      </c>
      <c r="K48" s="1423" t="s">
        <v>820</v>
      </c>
      <c r="L48" s="1424">
        <f ca="1">INDIRECT("'数据-取费表'!f"&amp;$G$1)</f>
        <v>24.97</v>
      </c>
      <c r="O48" s="1418" t="s">
        <v>404</v>
      </c>
      <c r="P48" s="1419" t="s">
        <v>821</v>
      </c>
      <c r="Q48" s="1420">
        <f ca="1">J60</f>
        <v>224523</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1998</v>
      </c>
      <c r="K49" s="1423" t="s">
        <v>824</v>
      </c>
      <c r="L49" s="1427"/>
      <c r="O49" s="1428" t="s">
        <v>405</v>
      </c>
      <c r="P49" s="1419" t="s">
        <v>825</v>
      </c>
      <c r="Q49" s="1420">
        <f ca="1">C29</f>
        <v>3415623</v>
      </c>
      <c r="R49" s="1420" t="s">
        <v>818</v>
      </c>
    </row>
    <row r="50" spans="1:18" s="1384" customFormat="1" ht="13.5" thickBot="1">
      <c r="A50" s="976"/>
      <c r="B50" s="979"/>
      <c r="C50" s="980"/>
      <c r="D50" s="953"/>
      <c r="E50" s="1056" t="s">
        <v>697</v>
      </c>
      <c r="F50" s="1057">
        <f ca="1">F7</f>
        <v>662.27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33</v>
      </c>
      <c r="K51" s="1434" t="s">
        <v>830</v>
      </c>
      <c r="L51" s="1435">
        <f ca="1">ROUND(-PV(INDIRECT("'数据-取费表'!h"&amp;$G$1),J51,(C39-C13*C76),0),0)</f>
        <v>10075645</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24.97</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24.97</v>
      </c>
      <c r="K53" s="3669" t="s">
        <v>837</v>
      </c>
      <c r="L53" s="3670"/>
      <c r="O53" s="1418" t="s">
        <v>409</v>
      </c>
      <c r="P53" s="1419" t="s">
        <v>838</v>
      </c>
      <c r="Q53" s="1420">
        <f ca="1">Q47+Q48</f>
        <v>13189143</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0.13400000000000001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2390936</v>
      </c>
      <c r="D56" s="1447"/>
      <c r="E56" s="1448"/>
      <c r="F56" s="1440"/>
      <c r="I56" s="1449" t="s">
        <v>842</v>
      </c>
      <c r="J56" s="1450" t="s">
        <v>3437</v>
      </c>
      <c r="K56" s="1421" t="s">
        <v>843</v>
      </c>
      <c r="L56" s="1424" t="str">
        <f ca="1">IF(L48&lt;J51,"——",L48-J51)</f>
        <v>——</v>
      </c>
      <c r="O56" s="1418" t="s">
        <v>403</v>
      </c>
      <c r="P56" s="1419" t="s">
        <v>817</v>
      </c>
      <c r="Q56" s="1420">
        <f ca="1">C40+J29</f>
        <v>12964620</v>
      </c>
      <c r="R56" s="1420" t="s">
        <v>818</v>
      </c>
    </row>
    <row r="57" spans="1:18" s="1384" customFormat="1" ht="24.75" thickBot="1">
      <c r="A57" s="1451"/>
      <c r="B57" s="950" t="s">
        <v>767</v>
      </c>
      <c r="C57" s="238">
        <f ca="1">C29</f>
        <v>3415623</v>
      </c>
      <c r="D57" s="1452"/>
      <c r="E57" s="1453"/>
      <c r="F57" s="1454"/>
      <c r="I57" s="1455" t="s">
        <v>844</v>
      </c>
      <c r="J57" s="1456">
        <f ca="1">IF(OR(M47="住宅",J51&lt;L48,J56="是"),"——",J51-L48)</f>
        <v>8.0300000000000011</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14232</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5010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1366249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224523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5010</v>
      </c>
      <c r="D62" s="965" t="s">
        <v>786</v>
      </c>
      <c r="E62" s="950" t="s">
        <v>787</v>
      </c>
      <c r="F62" s="325">
        <f t="shared" si="0"/>
        <v>24</v>
      </c>
      <c r="I62" s="1462" t="s">
        <v>858</v>
      </c>
      <c r="J62" s="1463" t="s">
        <v>859</v>
      </c>
      <c r="K62" s="1463" t="s">
        <v>860</v>
      </c>
      <c r="L62" s="1463" t="s">
        <v>861</v>
      </c>
      <c r="M62" s="1464" t="s">
        <v>862</v>
      </c>
      <c r="O62" s="1418" t="s">
        <v>409</v>
      </c>
      <c r="P62" s="1419" t="s">
        <v>863</v>
      </c>
      <c r="Q62" s="1420">
        <f ca="1">Q56+Q57</f>
        <v>12964620</v>
      </c>
      <c r="R62" s="1420" t="s">
        <v>410</v>
      </c>
    </row>
    <row r="63" spans="1:18" s="1384" customFormat="1" ht="13.5" thickBot="1">
      <c r="A63" s="326"/>
      <c r="B63" s="956"/>
      <c r="C63" s="26"/>
      <c r="D63" s="966"/>
      <c r="E63" s="950" t="s">
        <v>788</v>
      </c>
      <c r="F63" s="303">
        <f t="shared" ca="1" si="0"/>
        <v>208.73</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6831</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2391</v>
      </c>
      <c r="D65" s="964" t="s">
        <v>743</v>
      </c>
      <c r="E65" s="950" t="s">
        <v>744</v>
      </c>
      <c r="F65" s="330">
        <f t="shared" ca="1" si="0"/>
        <v>1E-3</v>
      </c>
      <c r="I65" s="1462" t="s">
        <v>867</v>
      </c>
      <c r="J65" s="1463">
        <v>40</v>
      </c>
      <c r="K65" s="1463">
        <v>30</v>
      </c>
      <c r="L65" s="1463">
        <v>50</v>
      </c>
      <c r="M65" s="1465">
        <v>0.02</v>
      </c>
      <c r="O65" s="1418" t="s">
        <v>403</v>
      </c>
      <c r="P65" s="1419" t="s">
        <v>868</v>
      </c>
      <c r="Q65" s="1420">
        <f ca="1">C40+J29</f>
        <v>12964620</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-14232</v>
      </c>
      <c r="D67" s="963" t="s">
        <v>753</v>
      </c>
      <c r="E67" s="968"/>
      <c r="F67" s="969"/>
      <c r="O67" s="1428" t="s">
        <v>405</v>
      </c>
      <c r="P67" s="1419" t="s">
        <v>850</v>
      </c>
      <c r="Q67" s="1466">
        <f ca="1">L51</f>
        <v>10075645</v>
      </c>
      <c r="R67" s="1420" t="s">
        <v>870</v>
      </c>
    </row>
    <row r="68" spans="1:18" s="1384" customFormat="1" ht="16.5" thickBot="1">
      <c r="A68" s="947" t="s">
        <v>395</v>
      </c>
      <c r="B68" s="948" t="s">
        <v>774</v>
      </c>
      <c r="C68" s="301">
        <f ca="1">ROUND(C67*(1-((1+F70)/(1+F68))^F69)/(F68-F70),0)</f>
        <v>-190798</v>
      </c>
      <c r="D68" s="965" t="s">
        <v>758</v>
      </c>
      <c r="E68" s="950" t="s">
        <v>759</v>
      </c>
      <c r="F68" s="312">
        <f ca="1">F40</f>
        <v>5.5E-2</v>
      </c>
      <c r="O68" s="1428" t="s">
        <v>406</v>
      </c>
      <c r="P68" s="1467" t="s">
        <v>871</v>
      </c>
      <c r="Q68" s="1420">
        <f ca="1">ROUND(Q69-Q70*Q71,0)</f>
        <v>629627</v>
      </c>
      <c r="R68" s="1420" t="s">
        <v>414</v>
      </c>
    </row>
    <row r="69" spans="1:18" s="1384" customFormat="1" ht="13.5" thickBot="1">
      <c r="A69" s="951"/>
      <c r="B69" s="952"/>
      <c r="C69" s="306"/>
      <c r="D69" s="970" t="s">
        <v>762</v>
      </c>
      <c r="E69" s="950" t="s">
        <v>763</v>
      </c>
      <c r="F69" s="333">
        <f ca="1">F41</f>
        <v>24.97</v>
      </c>
      <c r="O69" s="1428" t="s">
        <v>411</v>
      </c>
      <c r="P69" s="1467" t="s">
        <v>872</v>
      </c>
      <c r="Q69" s="1420">
        <f ca="1">C39</f>
        <v>796993</v>
      </c>
      <c r="R69" s="1420" t="s">
        <v>818</v>
      </c>
    </row>
    <row r="70" spans="1:18" s="1384" customFormat="1" ht="13.5" thickBot="1">
      <c r="A70" s="954"/>
      <c r="B70" s="955"/>
      <c r="C70" s="310"/>
      <c r="D70" s="966"/>
      <c r="E70" s="950" t="s">
        <v>766</v>
      </c>
      <c r="F70" s="1054"/>
      <c r="O70" s="1428" t="s">
        <v>412</v>
      </c>
      <c r="P70" s="1467" t="s">
        <v>873</v>
      </c>
      <c r="Q70" s="1420">
        <f ca="1">C13</f>
        <v>2390936</v>
      </c>
      <c r="R70" s="1420" t="s">
        <v>818</v>
      </c>
    </row>
    <row r="71" spans="1:18" s="1384" customFormat="1" ht="13.5" thickBot="1">
      <c r="A71" s="971" t="s">
        <v>396</v>
      </c>
      <c r="B71" s="972" t="s">
        <v>776</v>
      </c>
      <c r="C71" s="336">
        <f ca="1">ROUND(C68/F71,0)</f>
        <v>-288</v>
      </c>
      <c r="D71" s="973" t="s">
        <v>777</v>
      </c>
      <c r="E71" s="974" t="s">
        <v>778</v>
      </c>
      <c r="F71" s="339">
        <f ca="1">F43</f>
        <v>662.27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167366</v>
      </c>
      <c r="D75" s="1384"/>
      <c r="E75" s="1384"/>
      <c r="F75" s="1384"/>
      <c r="K75" s="1402"/>
      <c r="L75" s="1384"/>
      <c r="O75" s="1418" t="s">
        <v>409</v>
      </c>
      <c r="P75" s="1419" t="s">
        <v>838</v>
      </c>
      <c r="Q75" s="1420">
        <f ca="1">Q65+Q66</f>
        <v>12964620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0.79</v>
      </c>
    </row>
    <row r="80" spans="1:18">
      <c r="B80" s="340" t="s">
        <v>800</v>
      </c>
      <c r="C80" s="274">
        <f ca="1">ROUND(C75/C39,3)</f>
        <v>0.21</v>
      </c>
    </row>
    <row r="81" spans="2:3">
      <c r="B81" s="270" t="s">
        <v>801</v>
      </c>
      <c r="C81" s="238"/>
    </row>
    <row r="82" spans="2:3">
      <c r="B82" s="273" t="s">
        <v>802</v>
      </c>
      <c r="C82" s="275">
        <f ca="1">1-C83</f>
        <v>0.81600000000000006</v>
      </c>
    </row>
    <row r="83" spans="2:3">
      <c r="B83" s="273" t="s">
        <v>803</v>
      </c>
      <c r="C83" s="274">
        <f ca="1">ROUND(C13/C40,3)</f>
        <v>0.184</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5" t="s">
        <v>2315</v>
      </c>
      <c r="B2" s="2842" t="e">
        <f>IF(D2="——",C40,C40+E2)</f>
        <v>#DIV/0!</v>
      </c>
      <c r="C2" s="2843" t="s">
        <v>2316</v>
      </c>
      <c r="D2" s="3442" t="s">
        <v>3357</v>
      </c>
      <c r="E2" s="3443"/>
      <c r="F2" s="2845"/>
      <c r="G2" s="2846"/>
      <c r="H2" s="2847"/>
      <c r="I2" s="2848"/>
      <c r="J2" s="3674" t="s">
        <v>2317</v>
      </c>
      <c r="K2" s="3675"/>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676" t="s">
        <v>2327</v>
      </c>
      <c r="K3" s="3677"/>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676" t="s">
        <v>2329</v>
      </c>
      <c r="K4" s="3677"/>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678" t="s">
        <v>2333</v>
      </c>
      <c r="B6" s="3679"/>
      <c r="C6" s="3680"/>
      <c r="D6" s="2869"/>
      <c r="E6" s="2870"/>
      <c r="F6" s="2871"/>
      <c r="G6" s="2872"/>
      <c r="H6" s="2847"/>
      <c r="I6" s="2848"/>
      <c r="J6" s="3681">
        <v>1</v>
      </c>
      <c r="K6" s="3682"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681"/>
      <c r="K7" s="3683"/>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685" t="s">
        <v>2347</v>
      </c>
      <c r="C8" s="3686"/>
      <c r="D8" s="2888" t="s">
        <v>2348</v>
      </c>
      <c r="E8" s="2889" t="s">
        <v>2349</v>
      </c>
      <c r="F8" s="2890" t="s">
        <v>2350</v>
      </c>
      <c r="G8" s="2891"/>
      <c r="H8" s="2847"/>
      <c r="I8" s="2848"/>
      <c r="J8" s="3681"/>
      <c r="K8" s="3683"/>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685" t="s">
        <v>2353</v>
      </c>
      <c r="C9" s="3686"/>
      <c r="D9" s="2888">
        <f>ROUND(D6*E9,0)</f>
        <v>0</v>
      </c>
      <c r="E9" s="2892"/>
      <c r="F9" s="2893" t="s">
        <v>2354</v>
      </c>
      <c r="G9" s="2872"/>
      <c r="H9" s="2847"/>
      <c r="I9" s="2848"/>
      <c r="J9" s="3681"/>
      <c r="K9" s="3683"/>
      <c r="L9" s="2882" t="s">
        <v>2355</v>
      </c>
      <c r="M9" s="2883"/>
      <c r="N9" s="2859"/>
      <c r="O9" s="2884"/>
      <c r="P9" s="2884"/>
      <c r="Q9" s="2885">
        <v>365</v>
      </c>
      <c r="R9" s="2886">
        <f t="shared" si="0"/>
        <v>0</v>
      </c>
      <c r="S9" s="2840"/>
      <c r="T9" s="2840"/>
      <c r="U9" s="2840"/>
      <c r="V9" s="2848"/>
    </row>
    <row r="10" spans="1:22" s="2852" customFormat="1" ht="13.15" customHeight="1">
      <c r="A10" s="2887">
        <v>2</v>
      </c>
      <c r="B10" s="3685" t="s">
        <v>2356</v>
      </c>
      <c r="C10" s="3686"/>
      <c r="D10" s="2888">
        <f>ROUND(D6*E10,0)</f>
        <v>0</v>
      </c>
      <c r="E10" s="2892"/>
      <c r="F10" s="2893" t="s">
        <v>2357</v>
      </c>
      <c r="G10" s="2872"/>
      <c r="H10" s="2847"/>
      <c r="I10" s="2848"/>
      <c r="J10" s="3681"/>
      <c r="K10" s="3683"/>
      <c r="L10" s="2882" t="s">
        <v>2358</v>
      </c>
      <c r="M10" s="2883"/>
      <c r="N10" s="2859"/>
      <c r="O10" s="2884"/>
      <c r="P10" s="2884"/>
      <c r="Q10" s="2885">
        <v>365</v>
      </c>
      <c r="R10" s="2886">
        <f t="shared" si="0"/>
        <v>0</v>
      </c>
      <c r="S10" s="2840"/>
      <c r="T10" s="2840"/>
      <c r="U10" s="2840"/>
      <c r="V10" s="2848"/>
    </row>
    <row r="11" spans="1:22" s="2852" customFormat="1" ht="13.15" customHeight="1">
      <c r="A11" s="2887">
        <v>3</v>
      </c>
      <c r="B11" s="3685" t="s">
        <v>2359</v>
      </c>
      <c r="C11" s="3686"/>
      <c r="D11" s="2888">
        <f>D12+D14+D15+D16</f>
        <v>0</v>
      </c>
      <c r="E11" s="2894" t="e">
        <f>D11/D6</f>
        <v>#DIV/0!</v>
      </c>
      <c r="F11" s="2890"/>
      <c r="G11" s="2891"/>
      <c r="H11" s="2847"/>
      <c r="I11" s="2848"/>
      <c r="J11" s="3681"/>
      <c r="K11" s="3683"/>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687" t="s">
        <v>2362</v>
      </c>
      <c r="C12" s="3688"/>
      <c r="D12" s="2896">
        <f>ROUND(D13*1.2%*(1-30%),0)</f>
        <v>0</v>
      </c>
      <c r="E12" s="2897">
        <v>1.2E-2</v>
      </c>
      <c r="F12" s="2890" t="s">
        <v>2363</v>
      </c>
      <c r="G12" s="2891"/>
      <c r="H12" s="2847"/>
      <c r="I12" s="2848"/>
      <c r="J12" s="3681"/>
      <c r="K12" s="3683"/>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681"/>
      <c r="K13" s="3683"/>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687" t="s">
        <v>2368</v>
      </c>
      <c r="C14" s="3688"/>
      <c r="D14" s="2896">
        <f>ROUND(E14*B5/10000,0)</f>
        <v>0</v>
      </c>
      <c r="E14" s="2885"/>
      <c r="F14" s="2890" t="s">
        <v>2369</v>
      </c>
      <c r="G14" s="2891"/>
      <c r="H14" s="2847"/>
      <c r="I14" s="2848"/>
      <c r="J14" s="3681"/>
      <c r="K14" s="3684"/>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687" t="s">
        <v>2372</v>
      </c>
      <c r="C15" s="3688"/>
      <c r="D15" s="2896">
        <f>ROUND(D6*E15,0)</f>
        <v>0</v>
      </c>
      <c r="E15" s="2897">
        <v>5.5E-2</v>
      </c>
      <c r="F15" s="2890" t="s">
        <v>2373</v>
      </c>
      <c r="G15" s="2872"/>
      <c r="H15" s="2847"/>
      <c r="I15" s="2848"/>
      <c r="J15" s="3681">
        <v>2</v>
      </c>
      <c r="K15" s="3682"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687" t="s">
        <v>2381</v>
      </c>
      <c r="C16" s="3688"/>
      <c r="D16" s="2907">
        <f>D6*E16</f>
        <v>0</v>
      </c>
      <c r="E16" s="2908"/>
      <c r="F16" s="2893" t="s">
        <v>2382</v>
      </c>
      <c r="G16" s="2872"/>
      <c r="H16" s="2847"/>
      <c r="I16" s="2848"/>
      <c r="J16" s="3681"/>
      <c r="K16" s="3683"/>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689" t="s">
        <v>2384</v>
      </c>
      <c r="C17" s="3690"/>
      <c r="D17" s="2910">
        <f>ROUND(D6*E17,0)</f>
        <v>0</v>
      </c>
      <c r="E17" s="2911"/>
      <c r="F17" s="2912" t="s">
        <v>2385</v>
      </c>
      <c r="G17" s="2872"/>
      <c r="H17" s="2847"/>
      <c r="I17" s="2848"/>
      <c r="J17" s="3681"/>
      <c r="K17" s="3683"/>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681"/>
      <c r="K18" s="3683"/>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681"/>
      <c r="K19" s="3684"/>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81">
        <v>3</v>
      </c>
      <c r="K20" s="3682"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681"/>
      <c r="K21" s="3683"/>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681"/>
      <c r="K22" s="3683"/>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681"/>
      <c r="K23" s="3683"/>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681"/>
      <c r="K24" s="3684"/>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691">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692"/>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674" t="s">
        <v>2317</v>
      </c>
      <c r="K32" s="3675"/>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676" t="s">
        <v>2327</v>
      </c>
      <c r="K33" s="3677"/>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676" t="s">
        <v>2329</v>
      </c>
      <c r="K34" s="3677"/>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681">
        <v>1</v>
      </c>
      <c r="K36" s="3682"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681"/>
      <c r="K37" s="3683"/>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81"/>
      <c r="K38" s="3683"/>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681"/>
      <c r="K39" s="3683"/>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681"/>
      <c r="K40" s="3684"/>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691">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692"/>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1318.9142999999999</v>
      </c>
      <c r="C2" s="1872" t="s">
        <v>1651</v>
      </c>
      <c r="D2" s="1873" t="s">
        <v>1652</v>
      </c>
      <c r="E2" s="2606">
        <f>SUM(E6:E13)</f>
        <v>662.27</v>
      </c>
      <c r="F2" s="2706"/>
      <c r="G2" s="1489"/>
      <c r="H2" s="1489"/>
      <c r="I2" s="1489"/>
      <c r="J2" s="1489"/>
      <c r="K2" s="1489"/>
      <c r="L2" s="1489"/>
      <c r="M2" s="1489"/>
      <c r="N2" s="1489"/>
      <c r="O2" s="1489"/>
      <c r="P2" s="1489"/>
      <c r="Q2" s="1489"/>
      <c r="R2" s="1489"/>
      <c r="S2" s="1489"/>
    </row>
    <row r="3" spans="1:22" ht="15.75">
      <c r="A3" s="1870" t="s">
        <v>686</v>
      </c>
      <c r="B3" s="2600">
        <f ca="1">ROUND(B2*10000/E2,0)</f>
        <v>19915</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693" t="s">
        <v>1654</v>
      </c>
      <c r="C5" s="3694"/>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 (元)</v>
      </c>
      <c r="B6" s="2601">
        <f ca="1">IF(F6="是",'数据-取费表'!AO6,0)</f>
        <v>1318.9142999999999</v>
      </c>
      <c r="C6" s="1872" t="s">
        <v>1651</v>
      </c>
      <c r="D6" s="2708"/>
      <c r="E6" s="2605">
        <f>IF(OR(A6=0,F6="否"),0,'数据-取费表'!K6+'数据-取费表'!S6)</f>
        <v>662.27</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662.27</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713" t="s">
        <v>1667</v>
      </c>
      <c r="D4" s="3714"/>
      <c r="E4" s="3715" t="s">
        <v>1668</v>
      </c>
      <c r="F4" s="3716"/>
      <c r="G4" s="3713" t="s">
        <v>1669</v>
      </c>
      <c r="H4" s="3714"/>
      <c r="I4" s="3713" t="s">
        <v>1670</v>
      </c>
      <c r="J4" s="3714"/>
      <c r="K4" s="1889" t="s">
        <v>1671</v>
      </c>
      <c r="L4" s="2714"/>
      <c r="M4" s="2715"/>
      <c r="N4" s="2715"/>
      <c r="O4" s="2715"/>
      <c r="P4" s="3717" t="s">
        <v>1672</v>
      </c>
      <c r="Q4" s="3718"/>
      <c r="R4" s="3700" t="s">
        <v>1668</v>
      </c>
      <c r="S4" s="3701"/>
      <c r="T4" s="3700" t="s">
        <v>1669</v>
      </c>
      <c r="U4" s="3701"/>
      <c r="V4" s="3725" t="s">
        <v>1670</v>
      </c>
      <c r="W4" s="3725"/>
      <c r="X4" s="1355"/>
      <c r="Y4" s="3700" t="s">
        <v>1672</v>
      </c>
      <c r="Z4" s="3701"/>
      <c r="AA4" s="3695" t="s">
        <v>1668</v>
      </c>
      <c r="AB4" s="3695" t="s">
        <v>1669</v>
      </c>
      <c r="AC4" s="3695" t="s">
        <v>1670</v>
      </c>
    </row>
    <row r="5" spans="1:29" ht="15">
      <c r="A5" s="358"/>
      <c r="B5" s="359"/>
      <c r="C5" s="3706" t="s">
        <v>1673</v>
      </c>
      <c r="D5" s="3707"/>
      <c r="E5" s="3704" t="s">
        <v>1674</v>
      </c>
      <c r="F5" s="3705"/>
      <c r="G5" s="3706" t="s">
        <v>1675</v>
      </c>
      <c r="H5" s="3707"/>
      <c r="I5" s="3706" t="s">
        <v>1676</v>
      </c>
      <c r="J5" s="3707"/>
      <c r="K5" s="1890"/>
      <c r="L5" s="2714"/>
      <c r="M5" s="2715"/>
      <c r="N5" s="2715"/>
      <c r="O5" s="2715"/>
      <c r="P5" s="3719"/>
      <c r="Q5" s="3720"/>
      <c r="R5" s="3702"/>
      <c r="S5" s="3703"/>
      <c r="T5" s="3702"/>
      <c r="U5" s="3703"/>
      <c r="V5" s="3725"/>
      <c r="W5" s="3725"/>
      <c r="X5" s="1355"/>
      <c r="Y5" s="3702"/>
      <c r="Z5" s="3703"/>
      <c r="AA5" s="3696"/>
      <c r="AB5" s="3696"/>
      <c r="AC5" s="3696"/>
    </row>
    <row r="6" spans="1:29" ht="15.75" thickBot="1">
      <c r="A6" s="360"/>
      <c r="B6" s="361"/>
      <c r="C6" s="3708" t="s">
        <v>1677</v>
      </c>
      <c r="D6" s="3709"/>
      <c r="E6" s="3710" t="s">
        <v>1677</v>
      </c>
      <c r="F6" s="3711"/>
      <c r="G6" s="3708" t="s">
        <v>1677</v>
      </c>
      <c r="H6" s="3709"/>
      <c r="I6" s="3708" t="s">
        <v>1677</v>
      </c>
      <c r="J6" s="3709"/>
      <c r="K6" s="1890" t="s">
        <v>1678</v>
      </c>
      <c r="L6" s="2714"/>
      <c r="M6" s="2715"/>
      <c r="N6" s="2715"/>
      <c r="O6" s="2715"/>
      <c r="P6" s="3721"/>
      <c r="Q6" s="3722"/>
      <c r="R6" s="3702"/>
      <c r="S6" s="3703"/>
      <c r="T6" s="3723"/>
      <c r="U6" s="3724"/>
      <c r="V6" s="3725"/>
      <c r="W6" s="3725"/>
      <c r="X6" s="1355"/>
      <c r="Y6" s="3723"/>
      <c r="Z6" s="3724"/>
      <c r="AA6" s="3697"/>
      <c r="AB6" s="3697"/>
      <c r="AC6" s="3697"/>
    </row>
    <row r="7" spans="1:29" s="108" customFormat="1" ht="15.75" thickBot="1">
      <c r="A7" s="362" t="s">
        <v>1679</v>
      </c>
      <c r="B7" s="363"/>
      <c r="C7" s="364">
        <f>'数据-取费表'!B2</f>
        <v>45996</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698" t="s">
        <v>1680</v>
      </c>
      <c r="Q7" s="3726"/>
      <c r="R7" s="701" t="s">
        <v>20</v>
      </c>
      <c r="S7" s="702">
        <f t="shared" ref="S7:S15" si="0">F7</f>
        <v>0</v>
      </c>
      <c r="T7" s="701" t="s">
        <v>20</v>
      </c>
      <c r="U7" s="702">
        <f t="shared" ref="U7:U15" si="1">H7</f>
        <v>0</v>
      </c>
      <c r="V7" s="701" t="s">
        <v>20</v>
      </c>
      <c r="W7" s="702">
        <f t="shared" ref="W7:W15" si="2">J7</f>
        <v>0</v>
      </c>
      <c r="X7" s="703"/>
      <c r="Y7" s="3698" t="s">
        <v>1680</v>
      </c>
      <c r="Z7" s="369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698" t="s">
        <v>1683</v>
      </c>
      <c r="Q8" s="3699"/>
      <c r="R8" s="701" t="s">
        <v>20</v>
      </c>
      <c r="S8" s="702">
        <f t="shared" si="0"/>
        <v>100</v>
      </c>
      <c r="T8" s="701" t="s">
        <v>20</v>
      </c>
      <c r="U8" s="702">
        <f t="shared" si="1"/>
        <v>100</v>
      </c>
      <c r="V8" s="701" t="s">
        <v>20</v>
      </c>
      <c r="W8" s="702">
        <f t="shared" si="2"/>
        <v>100</v>
      </c>
      <c r="X8" s="703"/>
      <c r="Y8" s="3698" t="s">
        <v>1683</v>
      </c>
      <c r="Z8" s="369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712" t="s">
        <v>1686</v>
      </c>
      <c r="Q9" s="1343" t="str">
        <f t="shared" ref="Q9:Q15" si="6">B9</f>
        <v>用途</v>
      </c>
      <c r="R9" s="701" t="s">
        <v>14</v>
      </c>
      <c r="S9" s="702">
        <f t="shared" si="0"/>
        <v>100</v>
      </c>
      <c r="T9" s="701" t="s">
        <v>14</v>
      </c>
      <c r="U9" s="702">
        <f t="shared" si="1"/>
        <v>100</v>
      </c>
      <c r="V9" s="701" t="s">
        <v>14</v>
      </c>
      <c r="W9" s="702">
        <f t="shared" si="2"/>
        <v>100</v>
      </c>
      <c r="X9" s="703"/>
      <c r="Y9" s="3642"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712"/>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12"/>
      <c r="Q11" s="1343" t="str">
        <f t="shared" si="6"/>
        <v>容积率</v>
      </c>
      <c r="R11" s="701" t="s">
        <v>18</v>
      </c>
      <c r="S11" s="702" t="e">
        <f t="shared" si="0"/>
        <v>#N/A</v>
      </c>
      <c r="T11" s="701" t="s">
        <v>18</v>
      </c>
      <c r="U11" s="702" t="e">
        <f t="shared" si="1"/>
        <v>#N/A</v>
      </c>
      <c r="V11" s="701" t="s">
        <v>18</v>
      </c>
      <c r="W11" s="702" t="e">
        <f t="shared" si="2"/>
        <v>#N/A</v>
      </c>
      <c r="X11" s="703"/>
      <c r="Y11" s="364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712"/>
      <c r="Q12" s="1343">
        <f t="shared" si="6"/>
        <v>111</v>
      </c>
      <c r="R12" s="701" t="s">
        <v>18</v>
      </c>
      <c r="S12" s="702">
        <f t="shared" si="0"/>
        <v>100</v>
      </c>
      <c r="T12" s="701" t="s">
        <v>18</v>
      </c>
      <c r="U12" s="702">
        <f t="shared" si="1"/>
        <v>100</v>
      </c>
      <c r="V12" s="701" t="s">
        <v>18</v>
      </c>
      <c r="W12" s="702">
        <f t="shared" si="2"/>
        <v>100</v>
      </c>
      <c r="X12" s="703"/>
      <c r="Y12" s="364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712"/>
      <c r="Q13" s="1343">
        <f t="shared" si="6"/>
        <v>111</v>
      </c>
      <c r="R13" s="701" t="s">
        <v>18</v>
      </c>
      <c r="S13" s="702">
        <f t="shared" si="0"/>
        <v>100</v>
      </c>
      <c r="T13" s="701" t="s">
        <v>18</v>
      </c>
      <c r="U13" s="702">
        <f t="shared" si="1"/>
        <v>100</v>
      </c>
      <c r="V13" s="701" t="s">
        <v>18</v>
      </c>
      <c r="W13" s="702">
        <f t="shared" si="2"/>
        <v>100</v>
      </c>
      <c r="X13" s="703"/>
      <c r="Y13" s="364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712"/>
      <c r="Q14" s="1343">
        <f t="shared" si="6"/>
        <v>111</v>
      </c>
      <c r="R14" s="701" t="s">
        <v>18</v>
      </c>
      <c r="S14" s="702">
        <f t="shared" si="0"/>
        <v>100</v>
      </c>
      <c r="T14" s="701" t="s">
        <v>18</v>
      </c>
      <c r="U14" s="702">
        <f t="shared" si="1"/>
        <v>100</v>
      </c>
      <c r="V14" s="701" t="s">
        <v>18</v>
      </c>
      <c r="W14" s="702">
        <f t="shared" si="2"/>
        <v>100</v>
      </c>
      <c r="X14" s="703"/>
      <c r="Y14" s="3642"/>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39" t="s">
        <v>1691</v>
      </c>
      <c r="Q15" s="1352" t="str">
        <f t="shared" si="6"/>
        <v>居住社区成熟度</v>
      </c>
      <c r="R15" s="705" t="s">
        <v>18</v>
      </c>
      <c r="S15" s="706">
        <f t="shared" si="0"/>
        <v>100</v>
      </c>
      <c r="T15" s="705" t="s">
        <v>18</v>
      </c>
      <c r="U15" s="706">
        <f t="shared" si="1"/>
        <v>100</v>
      </c>
      <c r="V15" s="705" t="s">
        <v>18</v>
      </c>
      <c r="W15" s="706">
        <f t="shared" si="2"/>
        <v>100</v>
      </c>
      <c r="X15" s="1355"/>
      <c r="Y15" s="373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40"/>
      <c r="Q16" s="1352"/>
      <c r="R16" s="705"/>
      <c r="S16" s="706"/>
      <c r="T16" s="705"/>
      <c r="U16" s="706"/>
      <c r="V16" s="705"/>
      <c r="W16" s="706"/>
      <c r="X16" s="1355"/>
      <c r="Y16" s="3733"/>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40"/>
      <c r="Q17" s="1352" t="str">
        <f>B17</f>
        <v>交通便捷度</v>
      </c>
      <c r="R17" s="705" t="s">
        <v>18</v>
      </c>
      <c r="S17" s="706">
        <f>F17</f>
        <v>100</v>
      </c>
      <c r="T17" s="705" t="s">
        <v>18</v>
      </c>
      <c r="U17" s="706">
        <f>H17</f>
        <v>100</v>
      </c>
      <c r="V17" s="705" t="s">
        <v>18</v>
      </c>
      <c r="W17" s="706">
        <f>J17</f>
        <v>100</v>
      </c>
      <c r="X17" s="1355"/>
      <c r="Y17" s="373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40"/>
      <c r="Q18" s="1352"/>
      <c r="R18" s="705"/>
      <c r="S18" s="706"/>
      <c r="T18" s="705"/>
      <c r="U18" s="706"/>
      <c r="V18" s="705"/>
      <c r="W18" s="706"/>
      <c r="X18" s="1355"/>
      <c r="Y18" s="3733"/>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40"/>
      <c r="Q19" s="1352" t="str">
        <f>B19</f>
        <v>公共配套设施</v>
      </c>
      <c r="R19" s="705" t="s">
        <v>18</v>
      </c>
      <c r="S19" s="706">
        <f>F19</f>
        <v>100</v>
      </c>
      <c r="T19" s="705" t="s">
        <v>18</v>
      </c>
      <c r="U19" s="706">
        <f>H19</f>
        <v>100</v>
      </c>
      <c r="V19" s="705" t="s">
        <v>18</v>
      </c>
      <c r="W19" s="706">
        <f>J19</f>
        <v>100</v>
      </c>
      <c r="X19" s="1355"/>
      <c r="Y19" s="373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40"/>
      <c r="Q20" s="1352"/>
      <c r="R20" s="705"/>
      <c r="S20" s="706"/>
      <c r="T20" s="705"/>
      <c r="U20" s="706"/>
      <c r="V20" s="705"/>
      <c r="W20" s="706"/>
      <c r="X20" s="1355"/>
      <c r="Y20" s="3733"/>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40"/>
      <c r="Q21" s="1352" t="str">
        <f>B21</f>
        <v>基础设施水平</v>
      </c>
      <c r="R21" s="705" t="s">
        <v>14</v>
      </c>
      <c r="S21" s="706">
        <f>F21</f>
        <v>100</v>
      </c>
      <c r="T21" s="705" t="s">
        <v>14</v>
      </c>
      <c r="U21" s="706">
        <f>H21</f>
        <v>100</v>
      </c>
      <c r="V21" s="705" t="s">
        <v>14</v>
      </c>
      <c r="W21" s="706">
        <f>J21</f>
        <v>100</v>
      </c>
      <c r="X21" s="1355"/>
      <c r="Y21" s="373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40"/>
      <c r="Q22" s="1352"/>
      <c r="R22" s="705"/>
      <c r="S22" s="706"/>
      <c r="T22" s="705"/>
      <c r="U22" s="706"/>
      <c r="V22" s="705"/>
      <c r="W22" s="706"/>
      <c r="X22" s="1355"/>
      <c r="Y22" s="3733"/>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40"/>
      <c r="Q23" s="1352" t="str">
        <f>B23</f>
        <v>自然及人文环境</v>
      </c>
      <c r="R23" s="705" t="s">
        <v>18</v>
      </c>
      <c r="S23" s="706">
        <f>F23</f>
        <v>100</v>
      </c>
      <c r="T23" s="705" t="s">
        <v>18</v>
      </c>
      <c r="U23" s="706">
        <f>H23</f>
        <v>100</v>
      </c>
      <c r="V23" s="705" t="s">
        <v>18</v>
      </c>
      <c r="W23" s="706">
        <f>J23</f>
        <v>100</v>
      </c>
      <c r="X23" s="1355"/>
      <c r="Y23" s="373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40"/>
      <c r="Q24" s="1352"/>
      <c r="R24" s="705"/>
      <c r="S24" s="706"/>
      <c r="T24" s="705"/>
      <c r="U24" s="706"/>
      <c r="V24" s="705"/>
      <c r="W24" s="706"/>
      <c r="X24" s="1355"/>
      <c r="Y24" s="373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4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40"/>
      <c r="Q26" s="1352" t="str">
        <f t="shared" si="11"/>
        <v>朝向</v>
      </c>
      <c r="R26" s="705" t="s">
        <v>18</v>
      </c>
      <c r="S26" s="706">
        <f t="shared" si="12"/>
        <v>100</v>
      </c>
      <c r="T26" s="705" t="s">
        <v>18</v>
      </c>
      <c r="U26" s="706">
        <f t="shared" si="13"/>
        <v>100</v>
      </c>
      <c r="V26" s="705" t="s">
        <v>18</v>
      </c>
      <c r="W26" s="706">
        <f t="shared" si="14"/>
        <v>100</v>
      </c>
      <c r="X26" s="1355"/>
      <c r="Y26" s="373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40"/>
      <c r="Q27" s="1343">
        <f t="shared" si="11"/>
        <v>111</v>
      </c>
      <c r="R27" s="701" t="s">
        <v>18</v>
      </c>
      <c r="S27" s="702">
        <f t="shared" si="12"/>
        <v>100</v>
      </c>
      <c r="T27" s="701" t="s">
        <v>18</v>
      </c>
      <c r="U27" s="702">
        <f t="shared" si="13"/>
        <v>100</v>
      </c>
      <c r="V27" s="701" t="s">
        <v>18</v>
      </c>
      <c r="W27" s="702">
        <f t="shared" si="14"/>
        <v>100</v>
      </c>
      <c r="X27" s="703"/>
      <c r="Y27" s="373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40"/>
      <c r="Q28" s="1352">
        <f t="shared" si="11"/>
        <v>111</v>
      </c>
      <c r="R28" s="705" t="s">
        <v>18</v>
      </c>
      <c r="S28" s="706">
        <f t="shared" si="12"/>
        <v>100</v>
      </c>
      <c r="T28" s="705" t="s">
        <v>18</v>
      </c>
      <c r="U28" s="706">
        <f t="shared" si="13"/>
        <v>100</v>
      </c>
      <c r="V28" s="705" t="s">
        <v>18</v>
      </c>
      <c r="W28" s="706">
        <f t="shared" si="14"/>
        <v>100</v>
      </c>
      <c r="X28" s="1355"/>
      <c r="Y28" s="373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40"/>
      <c r="Q29" s="1352">
        <f t="shared" si="11"/>
        <v>111</v>
      </c>
      <c r="R29" s="705" t="s">
        <v>18</v>
      </c>
      <c r="S29" s="706">
        <f t="shared" si="12"/>
        <v>100</v>
      </c>
      <c r="T29" s="705" t="s">
        <v>18</v>
      </c>
      <c r="U29" s="706">
        <f t="shared" si="13"/>
        <v>100</v>
      </c>
      <c r="V29" s="705" t="s">
        <v>18</v>
      </c>
      <c r="W29" s="706">
        <f t="shared" si="14"/>
        <v>100</v>
      </c>
      <c r="X29" s="1355"/>
      <c r="Y29" s="373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40"/>
      <c r="Q30" s="1352">
        <f t="shared" si="11"/>
        <v>111</v>
      </c>
      <c r="R30" s="705" t="s">
        <v>18</v>
      </c>
      <c r="S30" s="706">
        <f t="shared" si="12"/>
        <v>100</v>
      </c>
      <c r="T30" s="705" t="s">
        <v>18</v>
      </c>
      <c r="U30" s="706">
        <f t="shared" si="13"/>
        <v>100</v>
      </c>
      <c r="V30" s="705" t="s">
        <v>18</v>
      </c>
      <c r="W30" s="706">
        <f t="shared" si="14"/>
        <v>100</v>
      </c>
      <c r="X30" s="1355"/>
      <c r="Y30" s="373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40"/>
      <c r="Q31" s="1352">
        <f t="shared" si="11"/>
        <v>111</v>
      </c>
      <c r="R31" s="705" t="s">
        <v>18</v>
      </c>
      <c r="S31" s="706">
        <f t="shared" si="12"/>
        <v>100</v>
      </c>
      <c r="T31" s="705" t="s">
        <v>18</v>
      </c>
      <c r="U31" s="706">
        <f t="shared" si="13"/>
        <v>100</v>
      </c>
      <c r="V31" s="705" t="s">
        <v>18</v>
      </c>
      <c r="W31" s="706">
        <f t="shared" si="14"/>
        <v>100</v>
      </c>
      <c r="X31" s="1355"/>
      <c r="Y31" s="373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34" t="s">
        <v>1696</v>
      </c>
      <c r="Q32" s="1352" t="str">
        <f t="shared" si="11"/>
        <v>建筑类型</v>
      </c>
      <c r="R32" s="705" t="s">
        <v>18</v>
      </c>
      <c r="S32" s="706">
        <f t="shared" si="12"/>
        <v>100</v>
      </c>
      <c r="T32" s="705" t="s">
        <v>18</v>
      </c>
      <c r="U32" s="706">
        <f t="shared" si="13"/>
        <v>100</v>
      </c>
      <c r="V32" s="705" t="s">
        <v>18</v>
      </c>
      <c r="W32" s="706">
        <f t="shared" si="14"/>
        <v>100</v>
      </c>
      <c r="X32" s="1355"/>
      <c r="Y32" s="373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35"/>
      <c r="Q33" s="707" t="str">
        <f t="shared" si="11"/>
        <v>项目建筑规模</v>
      </c>
      <c r="R33" s="708" t="s">
        <v>18</v>
      </c>
      <c r="S33" s="709" t="e">
        <f t="shared" si="12"/>
        <v>#N/A</v>
      </c>
      <c r="T33" s="708" t="s">
        <v>18</v>
      </c>
      <c r="U33" s="709" t="e">
        <f t="shared" si="13"/>
        <v>#N/A</v>
      </c>
      <c r="V33" s="708" t="s">
        <v>18</v>
      </c>
      <c r="W33" s="709" t="e">
        <f t="shared" si="14"/>
        <v>#N/A</v>
      </c>
      <c r="X33" s="710"/>
      <c r="Y33" s="373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35"/>
      <c r="Q34" s="1352" t="str">
        <f t="shared" si="11"/>
        <v>建筑结构</v>
      </c>
      <c r="R34" s="705" t="s">
        <v>18</v>
      </c>
      <c r="S34" s="706">
        <f t="shared" si="12"/>
        <v>100</v>
      </c>
      <c r="T34" s="705" t="s">
        <v>18</v>
      </c>
      <c r="U34" s="706">
        <f t="shared" si="13"/>
        <v>100</v>
      </c>
      <c r="V34" s="705" t="s">
        <v>18</v>
      </c>
      <c r="W34" s="706">
        <f t="shared" si="14"/>
        <v>100</v>
      </c>
      <c r="X34" s="1355"/>
      <c r="Y34" s="373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35"/>
      <c r="Q35" s="1352" t="str">
        <f t="shared" si="11"/>
        <v>建筑品质</v>
      </c>
      <c r="R35" s="705" t="s">
        <v>18</v>
      </c>
      <c r="S35" s="706">
        <f t="shared" si="12"/>
        <v>100</v>
      </c>
      <c r="T35" s="705" t="s">
        <v>18</v>
      </c>
      <c r="U35" s="706">
        <f t="shared" si="13"/>
        <v>100</v>
      </c>
      <c r="V35" s="705" t="s">
        <v>18</v>
      </c>
      <c r="W35" s="706">
        <f t="shared" si="14"/>
        <v>100</v>
      </c>
      <c r="X35" s="1355"/>
      <c r="Y35" s="373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35"/>
      <c r="Q36" s="1352" t="str">
        <f t="shared" si="11"/>
        <v>公共部分装修</v>
      </c>
      <c r="R36" s="705" t="s">
        <v>18</v>
      </c>
      <c r="S36" s="706">
        <f t="shared" si="12"/>
        <v>100</v>
      </c>
      <c r="T36" s="705" t="s">
        <v>18</v>
      </c>
      <c r="U36" s="706">
        <f t="shared" si="13"/>
        <v>100</v>
      </c>
      <c r="V36" s="705" t="s">
        <v>18</v>
      </c>
      <c r="W36" s="706">
        <f t="shared" si="14"/>
        <v>100</v>
      </c>
      <c r="X36" s="1355"/>
      <c r="Y36" s="373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35"/>
      <c r="Q37" s="1343" t="str">
        <f t="shared" si="11"/>
        <v>成新度</v>
      </c>
      <c r="R37" s="701" t="s">
        <v>18</v>
      </c>
      <c r="S37" s="702" t="e">
        <f t="shared" si="12"/>
        <v>#N/A</v>
      </c>
      <c r="T37" s="701" t="s">
        <v>18</v>
      </c>
      <c r="U37" s="702" t="e">
        <f t="shared" si="13"/>
        <v>#N/A</v>
      </c>
      <c r="V37" s="701" t="s">
        <v>18</v>
      </c>
      <c r="W37" s="702" t="e">
        <f t="shared" si="14"/>
        <v>#N/A</v>
      </c>
      <c r="X37" s="703"/>
      <c r="Y37" s="373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35" t="s">
        <v>1696</v>
      </c>
      <c r="Q38" s="1352" t="str">
        <f t="shared" si="11"/>
        <v>物业管理</v>
      </c>
      <c r="R38" s="705" t="s">
        <v>18</v>
      </c>
      <c r="S38" s="706">
        <f t="shared" si="12"/>
        <v>100</v>
      </c>
      <c r="T38" s="705" t="s">
        <v>18</v>
      </c>
      <c r="U38" s="706">
        <f t="shared" si="13"/>
        <v>100</v>
      </c>
      <c r="V38" s="705" t="s">
        <v>18</v>
      </c>
      <c r="W38" s="706">
        <f t="shared" si="14"/>
        <v>100</v>
      </c>
      <c r="X38" s="1355"/>
      <c r="Y38" s="373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35"/>
      <c r="Q39" s="1352" t="str">
        <f t="shared" si="11"/>
        <v>市政基础设施</v>
      </c>
      <c r="R39" s="705" t="s">
        <v>18</v>
      </c>
      <c r="S39" s="706">
        <f t="shared" si="12"/>
        <v>100</v>
      </c>
      <c r="T39" s="705" t="s">
        <v>18</v>
      </c>
      <c r="U39" s="706">
        <f t="shared" si="13"/>
        <v>100</v>
      </c>
      <c r="V39" s="705" t="s">
        <v>18</v>
      </c>
      <c r="W39" s="706">
        <f t="shared" si="14"/>
        <v>100</v>
      </c>
      <c r="X39" s="1355"/>
      <c r="Y39" s="373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35"/>
      <c r="Q40" s="1352" t="str">
        <f t="shared" si="11"/>
        <v>房型</v>
      </c>
      <c r="R40" s="705" t="s">
        <v>18</v>
      </c>
      <c r="S40" s="706">
        <f t="shared" si="12"/>
        <v>100</v>
      </c>
      <c r="T40" s="705" t="s">
        <v>18</v>
      </c>
      <c r="U40" s="706">
        <f t="shared" si="13"/>
        <v>100</v>
      </c>
      <c r="V40" s="705" t="s">
        <v>18</v>
      </c>
      <c r="W40" s="706">
        <f t="shared" si="14"/>
        <v>100</v>
      </c>
      <c r="X40" s="1355"/>
      <c r="Y40" s="373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35"/>
      <c r="Q41" s="707" t="str">
        <f t="shared" si="11"/>
        <v>单套/主力户型建筑面积</v>
      </c>
      <c r="R41" s="708" t="s">
        <v>18</v>
      </c>
      <c r="S41" s="709">
        <f t="shared" si="12"/>
        <v>100</v>
      </c>
      <c r="T41" s="708" t="s">
        <v>18</v>
      </c>
      <c r="U41" s="709">
        <f t="shared" si="13"/>
        <v>100</v>
      </c>
      <c r="V41" s="708" t="s">
        <v>18</v>
      </c>
      <c r="W41" s="709">
        <f t="shared" si="14"/>
        <v>100</v>
      </c>
      <c r="X41" s="710"/>
      <c r="Y41" s="373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35"/>
      <c r="Q42" s="1352" t="str">
        <f t="shared" si="11"/>
        <v>内部装修</v>
      </c>
      <c r="R42" s="705" t="s">
        <v>18</v>
      </c>
      <c r="S42" s="706">
        <f t="shared" si="12"/>
        <v>100</v>
      </c>
      <c r="T42" s="705" t="s">
        <v>18</v>
      </c>
      <c r="U42" s="706">
        <f t="shared" si="13"/>
        <v>100</v>
      </c>
      <c r="V42" s="705" t="s">
        <v>18</v>
      </c>
      <c r="W42" s="706">
        <f t="shared" si="14"/>
        <v>100</v>
      </c>
      <c r="X42" s="1355"/>
      <c r="Y42" s="373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35"/>
      <c r="Q43" s="1352" t="str">
        <f t="shared" si="11"/>
        <v>内部装修维护情况</v>
      </c>
      <c r="R43" s="705" t="s">
        <v>18</v>
      </c>
      <c r="S43" s="706">
        <f t="shared" si="12"/>
        <v>100</v>
      </c>
      <c r="T43" s="705" t="s">
        <v>18</v>
      </c>
      <c r="U43" s="706">
        <f t="shared" si="13"/>
        <v>100</v>
      </c>
      <c r="V43" s="705" t="s">
        <v>18</v>
      </c>
      <c r="W43" s="706">
        <f t="shared" si="14"/>
        <v>100</v>
      </c>
      <c r="X43" s="1355"/>
      <c r="Y43" s="373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35"/>
      <c r="Q44" s="1343">
        <f t="shared" si="11"/>
        <v>111</v>
      </c>
      <c r="R44" s="701" t="s">
        <v>18</v>
      </c>
      <c r="S44" s="702">
        <f t="shared" si="12"/>
        <v>100</v>
      </c>
      <c r="T44" s="701" t="s">
        <v>18</v>
      </c>
      <c r="U44" s="702">
        <f t="shared" si="13"/>
        <v>100</v>
      </c>
      <c r="V44" s="701" t="s">
        <v>18</v>
      </c>
      <c r="W44" s="702">
        <f t="shared" si="14"/>
        <v>100</v>
      </c>
      <c r="X44" s="703"/>
      <c r="Y44" s="373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35"/>
      <c r="Q45" s="1352">
        <f t="shared" si="11"/>
        <v>111</v>
      </c>
      <c r="R45" s="705" t="s">
        <v>18</v>
      </c>
      <c r="S45" s="706">
        <f t="shared" si="12"/>
        <v>100</v>
      </c>
      <c r="T45" s="705" t="s">
        <v>18</v>
      </c>
      <c r="U45" s="706">
        <f t="shared" si="13"/>
        <v>100</v>
      </c>
      <c r="V45" s="705" t="s">
        <v>18</v>
      </c>
      <c r="W45" s="706">
        <f t="shared" si="14"/>
        <v>100</v>
      </c>
      <c r="X45" s="1355"/>
      <c r="Y45" s="373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36"/>
      <c r="Q46" s="1352">
        <f t="shared" si="11"/>
        <v>111</v>
      </c>
      <c r="R46" s="705" t="s">
        <v>17</v>
      </c>
      <c r="S46" s="706">
        <f t="shared" si="12"/>
        <v>100</v>
      </c>
      <c r="T46" s="705" t="s">
        <v>17</v>
      </c>
      <c r="U46" s="706">
        <f t="shared" si="13"/>
        <v>100</v>
      </c>
      <c r="V46" s="705" t="s">
        <v>17</v>
      </c>
      <c r="W46" s="706">
        <f t="shared" si="14"/>
        <v>100</v>
      </c>
      <c r="X46" s="1355"/>
      <c r="Y46" s="373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730" t="str">
        <f>A47</f>
        <v>成交单价（元/平方米）</v>
      </c>
      <c r="Q47" s="3730"/>
      <c r="R47" s="3731">
        <f>E47</f>
        <v>0</v>
      </c>
      <c r="S47" s="3731"/>
      <c r="T47" s="3731">
        <f>G47</f>
        <v>0</v>
      </c>
      <c r="U47" s="3731"/>
      <c r="V47" s="3731">
        <f>I47</f>
        <v>0</v>
      </c>
      <c r="W47" s="3731"/>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730" t="str">
        <f>A48</f>
        <v>比较价值（元/平方米）</v>
      </c>
      <c r="Q48" s="3730"/>
      <c r="R48" s="3731" t="e">
        <f>IF(F1="售价",ROUND(PRODUCT(R47,AA7:AA46),0),ROUND(PRODUCT(R47,AA7:AA46),1))</f>
        <v>#DIV/0!</v>
      </c>
      <c r="S48" s="3731"/>
      <c r="T48" s="3731" t="e">
        <f>IF(F1="售价",ROUND(PRODUCT(T47,AB7:AB46),0),ROUND(PRODUCT(T47,AB7:AB46),1))</f>
        <v>#DIV/0!</v>
      </c>
      <c r="U48" s="3731"/>
      <c r="V48" s="3731" t="e">
        <f>IF(F1="售价",ROUND(PRODUCT(V47,AC7:AC46),0),ROUND(PRODUCT(V47,AC7:AC46),1))</f>
        <v>#DIV/0!</v>
      </c>
      <c r="W48" s="373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727" t="str">
        <f>A49</f>
        <v>估价对象XX用房的比较价值（楼面单价，元/平方米）</v>
      </c>
      <c r="Q49" s="3728"/>
      <c r="R49" s="3729" t="e">
        <f>IF(F1="售价",ROUND(IF(D48="简单平均",AVERAGE(R48:V48),R48*F48+T48*H48+V48*J48),0),ROUND(IF(D48="简单平均",AVERAGE(R48:V48),R48*F48+T48*H48+V48*J48),1))</f>
        <v>#DIV/0!</v>
      </c>
      <c r="S49" s="3729"/>
      <c r="T49" s="3729"/>
      <c r="U49" s="3729"/>
      <c r="V49" s="3729"/>
      <c r="W49" s="3729"/>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2025-12</v>
      </c>
      <c r="D58" s="1185">
        <f>EDATE(C58,-1)</f>
        <v>45962</v>
      </c>
      <c r="E58" s="1185">
        <f>EDATE(D58,-1)</f>
        <v>45931</v>
      </c>
      <c r="F58" s="1185">
        <f t="shared" ref="F58:O58" si="19">EDATE(E58,-1)</f>
        <v>45901</v>
      </c>
      <c r="G58" s="1185">
        <f t="shared" si="19"/>
        <v>45870</v>
      </c>
      <c r="H58" s="1185">
        <f t="shared" si="19"/>
        <v>45839</v>
      </c>
      <c r="I58" s="1185">
        <f t="shared" si="19"/>
        <v>45809</v>
      </c>
      <c r="J58" s="1185">
        <f t="shared" si="19"/>
        <v>45778</v>
      </c>
      <c r="K58" s="1185">
        <f t="shared" si="19"/>
        <v>45748</v>
      </c>
      <c r="L58" s="1185">
        <f t="shared" si="19"/>
        <v>45717</v>
      </c>
      <c r="M58" s="1185">
        <f t="shared" si="19"/>
        <v>45689</v>
      </c>
      <c r="N58" s="1185">
        <f t="shared" si="19"/>
        <v>45658</v>
      </c>
      <c r="O58" s="1185">
        <f t="shared" si="19"/>
        <v>45627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662.27</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713" t="s">
        <v>1770</v>
      </c>
      <c r="D4" s="3714"/>
      <c r="E4" s="3715" t="s">
        <v>1771</v>
      </c>
      <c r="F4" s="3716"/>
      <c r="G4" s="3713" t="s">
        <v>1772</v>
      </c>
      <c r="H4" s="3714"/>
      <c r="I4" s="3713" t="s">
        <v>1773</v>
      </c>
      <c r="J4" s="3714"/>
      <c r="K4" s="559" t="s">
        <v>1774</v>
      </c>
      <c r="L4" s="2714"/>
      <c r="M4" s="2715"/>
      <c r="N4" s="2715"/>
      <c r="O4" s="2715"/>
      <c r="P4" s="3717" t="s">
        <v>1775</v>
      </c>
      <c r="Q4" s="3718"/>
      <c r="R4" s="3700" t="s">
        <v>1771</v>
      </c>
      <c r="S4" s="3701"/>
      <c r="T4" s="3700" t="s">
        <v>1772</v>
      </c>
      <c r="U4" s="3701"/>
      <c r="V4" s="3725" t="s">
        <v>1773</v>
      </c>
      <c r="W4" s="3725"/>
      <c r="X4" s="1355"/>
      <c r="Y4" s="3700" t="s">
        <v>1775</v>
      </c>
      <c r="Z4" s="3701"/>
      <c r="AA4" s="3695" t="s">
        <v>1771</v>
      </c>
      <c r="AB4" s="3725" t="s">
        <v>1772</v>
      </c>
      <c r="AC4" s="3695" t="s">
        <v>1773</v>
      </c>
    </row>
    <row r="5" spans="1:29" ht="15">
      <c r="A5" s="358"/>
      <c r="B5" s="359"/>
      <c r="C5" s="3706" t="s">
        <v>1673</v>
      </c>
      <c r="D5" s="3707"/>
      <c r="E5" s="3704" t="s">
        <v>1674</v>
      </c>
      <c r="F5" s="3705"/>
      <c r="G5" s="3706" t="s">
        <v>1675</v>
      </c>
      <c r="H5" s="3707"/>
      <c r="I5" s="3706" t="s">
        <v>1676</v>
      </c>
      <c r="J5" s="3707"/>
      <c r="K5" s="559"/>
      <c r="L5" s="2714"/>
      <c r="M5" s="2715"/>
      <c r="N5" s="2715"/>
      <c r="O5" s="2715"/>
      <c r="P5" s="3719"/>
      <c r="Q5" s="3720"/>
      <c r="R5" s="3702"/>
      <c r="S5" s="3703"/>
      <c r="T5" s="3702"/>
      <c r="U5" s="3703"/>
      <c r="V5" s="3725"/>
      <c r="W5" s="3725"/>
      <c r="X5" s="1355"/>
      <c r="Y5" s="3702"/>
      <c r="Z5" s="3703"/>
      <c r="AA5" s="3696"/>
      <c r="AB5" s="3725"/>
      <c r="AC5" s="3696"/>
    </row>
    <row r="6" spans="1:29" ht="15.75" thickBot="1">
      <c r="A6" s="360"/>
      <c r="B6" s="361"/>
      <c r="C6" s="3708" t="s">
        <v>1677</v>
      </c>
      <c r="D6" s="3709"/>
      <c r="E6" s="3710" t="s">
        <v>1677</v>
      </c>
      <c r="F6" s="3711"/>
      <c r="G6" s="3708" t="s">
        <v>1677</v>
      </c>
      <c r="H6" s="3709"/>
      <c r="I6" s="3708" t="s">
        <v>1677</v>
      </c>
      <c r="J6" s="3709"/>
      <c r="K6" s="559" t="s">
        <v>1678</v>
      </c>
      <c r="L6" s="2714"/>
      <c r="M6" s="2715"/>
      <c r="N6" s="2715"/>
      <c r="O6" s="2715"/>
      <c r="P6" s="3721"/>
      <c r="Q6" s="3722"/>
      <c r="R6" s="3702"/>
      <c r="S6" s="3703"/>
      <c r="T6" s="3723"/>
      <c r="U6" s="3724"/>
      <c r="V6" s="3725"/>
      <c r="W6" s="3725"/>
      <c r="X6" s="1355"/>
      <c r="Y6" s="3723"/>
      <c r="Z6" s="3724"/>
      <c r="AA6" s="3697"/>
      <c r="AB6" s="3725"/>
      <c r="AC6" s="3697"/>
    </row>
    <row r="7" spans="1:29" s="108" customFormat="1" ht="15.75" thickBot="1">
      <c r="A7" s="362" t="s">
        <v>1679</v>
      </c>
      <c r="B7" s="363"/>
      <c r="C7" s="364">
        <f>'数据-取费表'!B2</f>
        <v>45996</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98" t="s">
        <v>1680</v>
      </c>
      <c r="Q7" s="3726"/>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98" t="s">
        <v>1683</v>
      </c>
      <c r="Q8" s="3699"/>
      <c r="R8" s="701" t="s">
        <v>14</v>
      </c>
      <c r="S8" s="702">
        <f t="shared" si="0"/>
        <v>100</v>
      </c>
      <c r="T8" s="701" t="s">
        <v>14</v>
      </c>
      <c r="U8" s="702">
        <f t="shared" si="1"/>
        <v>100</v>
      </c>
      <c r="V8" s="701" t="s">
        <v>14</v>
      </c>
      <c r="W8" s="702">
        <f t="shared" si="2"/>
        <v>100</v>
      </c>
      <c r="X8" s="703"/>
      <c r="Y8" s="3698" t="s">
        <v>1683</v>
      </c>
      <c r="Z8" s="369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12" t="s">
        <v>1686</v>
      </c>
      <c r="Q9" s="1343" t="str">
        <f t="shared" ref="Q9:Q15" si="6">B9</f>
        <v>用途</v>
      </c>
      <c r="R9" s="701" t="s">
        <v>14</v>
      </c>
      <c r="S9" s="702">
        <f t="shared" si="0"/>
        <v>100</v>
      </c>
      <c r="T9" s="701" t="s">
        <v>14</v>
      </c>
      <c r="U9" s="702">
        <f t="shared" si="1"/>
        <v>100</v>
      </c>
      <c r="V9" s="701" t="s">
        <v>14</v>
      </c>
      <c r="W9" s="702">
        <f t="shared" si="2"/>
        <v>100</v>
      </c>
      <c r="X9" s="703"/>
      <c r="Y9" s="3642"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12"/>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12"/>
      <c r="Q11" s="1343" t="str">
        <f t="shared" si="6"/>
        <v>容积率</v>
      </c>
      <c r="R11" s="701" t="s">
        <v>14</v>
      </c>
      <c r="S11" s="702" t="e">
        <f t="shared" si="0"/>
        <v>#N/A</v>
      </c>
      <c r="T11" s="701" t="s">
        <v>14</v>
      </c>
      <c r="U11" s="702" t="e">
        <f t="shared" si="1"/>
        <v>#N/A</v>
      </c>
      <c r="V11" s="701" t="s">
        <v>14</v>
      </c>
      <c r="W11" s="702" t="e">
        <f t="shared" si="2"/>
        <v>#N/A</v>
      </c>
      <c r="X11" s="703"/>
      <c r="Y11" s="364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12"/>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12"/>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12"/>
      <c r="Q14" s="1343">
        <f t="shared" si="6"/>
        <v>111</v>
      </c>
      <c r="R14" s="701" t="s">
        <v>14</v>
      </c>
      <c r="S14" s="702">
        <f t="shared" si="0"/>
        <v>100</v>
      </c>
      <c r="T14" s="701" t="s">
        <v>14</v>
      </c>
      <c r="U14" s="702">
        <f t="shared" si="1"/>
        <v>100</v>
      </c>
      <c r="V14" s="701" t="s">
        <v>14</v>
      </c>
      <c r="W14" s="702">
        <f t="shared" si="2"/>
        <v>100</v>
      </c>
      <c r="X14" s="703"/>
      <c r="Y14" s="3642"/>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39" t="s">
        <v>1691</v>
      </c>
      <c r="Q15" s="1352" t="str">
        <f t="shared" si="6"/>
        <v>商业繁华度</v>
      </c>
      <c r="R15" s="705" t="s">
        <v>14</v>
      </c>
      <c r="S15" s="706">
        <f t="shared" si="0"/>
        <v>100</v>
      </c>
      <c r="T15" s="705" t="s">
        <v>14</v>
      </c>
      <c r="U15" s="706">
        <f t="shared" si="1"/>
        <v>100</v>
      </c>
      <c r="V15" s="705" t="s">
        <v>14</v>
      </c>
      <c r="W15" s="706">
        <f t="shared" si="2"/>
        <v>100</v>
      </c>
      <c r="X15" s="1355"/>
      <c r="Y15" s="373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40"/>
      <c r="Q16" s="1352"/>
      <c r="R16" s="705"/>
      <c r="S16" s="706"/>
      <c r="T16" s="705"/>
      <c r="U16" s="706"/>
      <c r="V16" s="705"/>
      <c r="W16" s="706"/>
      <c r="X16" s="1355"/>
      <c r="Y16" s="3733"/>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40"/>
      <c r="Q17" s="1352" t="str">
        <f>B17</f>
        <v>交通便捷度</v>
      </c>
      <c r="R17" s="705" t="s">
        <v>14</v>
      </c>
      <c r="S17" s="706">
        <f>F17</f>
        <v>100</v>
      </c>
      <c r="T17" s="705" t="s">
        <v>14</v>
      </c>
      <c r="U17" s="706">
        <f>H17</f>
        <v>100</v>
      </c>
      <c r="V17" s="705" t="s">
        <v>14</v>
      </c>
      <c r="W17" s="706">
        <f>J17</f>
        <v>100</v>
      </c>
      <c r="X17" s="1355"/>
      <c r="Y17" s="373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40"/>
      <c r="Q18" s="1352"/>
      <c r="R18" s="705"/>
      <c r="S18" s="706"/>
      <c r="T18" s="705"/>
      <c r="U18" s="706"/>
      <c r="V18" s="705"/>
      <c r="W18" s="706"/>
      <c r="X18" s="1355"/>
      <c r="Y18" s="3733"/>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40"/>
      <c r="Q19" s="1352" t="str">
        <f>B19</f>
        <v>公共配套设施</v>
      </c>
      <c r="R19" s="705" t="s">
        <v>14</v>
      </c>
      <c r="S19" s="706">
        <f>F19</f>
        <v>100</v>
      </c>
      <c r="T19" s="705" t="s">
        <v>14</v>
      </c>
      <c r="U19" s="706">
        <f>H19</f>
        <v>100</v>
      </c>
      <c r="V19" s="705" t="s">
        <v>14</v>
      </c>
      <c r="W19" s="706">
        <f>J19</f>
        <v>100</v>
      </c>
      <c r="X19" s="1355"/>
      <c r="Y19" s="373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40"/>
      <c r="Q20" s="1352"/>
      <c r="R20" s="705"/>
      <c r="S20" s="706"/>
      <c r="T20" s="705"/>
      <c r="U20" s="706"/>
      <c r="V20" s="705"/>
      <c r="W20" s="706"/>
      <c r="X20" s="1355"/>
      <c r="Y20" s="3733"/>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40"/>
      <c r="Q21" s="1352" t="str">
        <f>B21</f>
        <v>基础设施水平</v>
      </c>
      <c r="R21" s="705" t="s">
        <v>14</v>
      </c>
      <c r="S21" s="706">
        <f>F21</f>
        <v>100</v>
      </c>
      <c r="T21" s="705" t="s">
        <v>14</v>
      </c>
      <c r="U21" s="706">
        <f>H21</f>
        <v>100</v>
      </c>
      <c r="V21" s="705" t="s">
        <v>14</v>
      </c>
      <c r="W21" s="706">
        <f>J21</f>
        <v>100</v>
      </c>
      <c r="X21" s="1355"/>
      <c r="Y21" s="373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40"/>
      <c r="Q22" s="1352"/>
      <c r="R22" s="705"/>
      <c r="S22" s="706"/>
      <c r="T22" s="705"/>
      <c r="U22" s="706"/>
      <c r="V22" s="705"/>
      <c r="W22" s="706"/>
      <c r="X22" s="1355"/>
      <c r="Y22" s="3733"/>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40"/>
      <c r="Q23" s="1352" t="str">
        <f>B23</f>
        <v>自然及人文环境</v>
      </c>
      <c r="R23" s="705" t="s">
        <v>14</v>
      </c>
      <c r="S23" s="706">
        <f>F23</f>
        <v>100</v>
      </c>
      <c r="T23" s="705" t="s">
        <v>14</v>
      </c>
      <c r="U23" s="706">
        <f>H23</f>
        <v>100</v>
      </c>
      <c r="V23" s="705" t="s">
        <v>14</v>
      </c>
      <c r="W23" s="706">
        <f>J23</f>
        <v>100</v>
      </c>
      <c r="X23" s="1355"/>
      <c r="Y23" s="373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40"/>
      <c r="Q24" s="1352"/>
      <c r="R24" s="705"/>
      <c r="S24" s="706"/>
      <c r="T24" s="705"/>
      <c r="U24" s="706"/>
      <c r="V24" s="705"/>
      <c r="W24" s="706"/>
      <c r="X24" s="1355"/>
      <c r="Y24" s="373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40"/>
      <c r="Q25" s="1352" t="str">
        <f t="shared" ref="Q25:Q46" si="11">B25</f>
        <v>临街状况</v>
      </c>
      <c r="R25" s="705" t="s">
        <v>14</v>
      </c>
      <c r="S25" s="706">
        <f>F25</f>
        <v>100</v>
      </c>
      <c r="T25" s="705" t="s">
        <v>14</v>
      </c>
      <c r="U25" s="706">
        <f>H25</f>
        <v>100</v>
      </c>
      <c r="V25" s="705" t="s">
        <v>14</v>
      </c>
      <c r="W25" s="706">
        <f>J25</f>
        <v>100</v>
      </c>
      <c r="X25" s="1355"/>
      <c r="Y25" s="373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40"/>
      <c r="Q26" s="1352" t="str">
        <f t="shared" si="11"/>
        <v>平面位置/可视性</v>
      </c>
      <c r="R26" s="705" t="s">
        <v>14</v>
      </c>
      <c r="S26" s="706">
        <f>F26</f>
        <v>100</v>
      </c>
      <c r="T26" s="705" t="s">
        <v>14</v>
      </c>
      <c r="U26" s="706">
        <f>H26</f>
        <v>100</v>
      </c>
      <c r="V26" s="705" t="s">
        <v>14</v>
      </c>
      <c r="W26" s="706">
        <f>J26</f>
        <v>100</v>
      </c>
      <c r="X26" s="1355"/>
      <c r="Y26" s="373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40"/>
      <c r="Q27" s="1343" t="str">
        <f t="shared" si="11"/>
        <v>人流量</v>
      </c>
      <c r="R27" s="701" t="s">
        <v>14</v>
      </c>
      <c r="S27" s="702">
        <f>F27</f>
        <v>100</v>
      </c>
      <c r="T27" s="701" t="s">
        <v>14</v>
      </c>
      <c r="U27" s="702">
        <f>H27</f>
        <v>100</v>
      </c>
      <c r="V27" s="701" t="s">
        <v>14</v>
      </c>
      <c r="W27" s="702">
        <f>J27</f>
        <v>100</v>
      </c>
      <c r="X27" s="703"/>
      <c r="Y27" s="373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4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40"/>
      <c r="Q29" s="1352">
        <f t="shared" si="11"/>
        <v>111</v>
      </c>
      <c r="R29" s="705" t="s">
        <v>14</v>
      </c>
      <c r="S29" s="706">
        <f t="shared" si="12"/>
        <v>100</v>
      </c>
      <c r="T29" s="705" t="s">
        <v>14</v>
      </c>
      <c r="U29" s="706">
        <f t="shared" si="13"/>
        <v>100</v>
      </c>
      <c r="V29" s="705" t="s">
        <v>14</v>
      </c>
      <c r="W29" s="706">
        <f t="shared" si="14"/>
        <v>100</v>
      </c>
      <c r="X29" s="1355"/>
      <c r="Y29" s="373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40"/>
      <c r="Q30" s="1352">
        <f t="shared" si="11"/>
        <v>111</v>
      </c>
      <c r="R30" s="705" t="s">
        <v>14</v>
      </c>
      <c r="S30" s="706">
        <f t="shared" si="12"/>
        <v>100</v>
      </c>
      <c r="T30" s="705" t="s">
        <v>14</v>
      </c>
      <c r="U30" s="706">
        <f t="shared" si="13"/>
        <v>100</v>
      </c>
      <c r="V30" s="705" t="s">
        <v>14</v>
      </c>
      <c r="W30" s="706">
        <f t="shared" si="14"/>
        <v>100</v>
      </c>
      <c r="X30" s="1355"/>
      <c r="Y30" s="373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40"/>
      <c r="Q31" s="1352">
        <f t="shared" si="11"/>
        <v>111</v>
      </c>
      <c r="R31" s="705" t="s">
        <v>14</v>
      </c>
      <c r="S31" s="706">
        <f t="shared" si="12"/>
        <v>100</v>
      </c>
      <c r="T31" s="705" t="s">
        <v>14</v>
      </c>
      <c r="U31" s="706">
        <f t="shared" si="13"/>
        <v>100</v>
      </c>
      <c r="V31" s="705" t="s">
        <v>14</v>
      </c>
      <c r="W31" s="706">
        <f t="shared" si="14"/>
        <v>100</v>
      </c>
      <c r="X31" s="1355"/>
      <c r="Y31" s="373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34" t="s">
        <v>1696</v>
      </c>
      <c r="Q32" s="1352" t="str">
        <f t="shared" si="11"/>
        <v>商业类型</v>
      </c>
      <c r="R32" s="705" t="s">
        <v>14</v>
      </c>
      <c r="S32" s="706">
        <f t="shared" si="12"/>
        <v>100</v>
      </c>
      <c r="T32" s="705" t="s">
        <v>14</v>
      </c>
      <c r="U32" s="706">
        <f t="shared" si="13"/>
        <v>100</v>
      </c>
      <c r="V32" s="705" t="s">
        <v>14</v>
      </c>
      <c r="W32" s="706">
        <f t="shared" si="14"/>
        <v>100</v>
      </c>
      <c r="X32" s="1355"/>
      <c r="Y32" s="373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35"/>
      <c r="Q33" s="707" t="str">
        <f t="shared" si="11"/>
        <v>项目建筑规模</v>
      </c>
      <c r="R33" s="708" t="s">
        <v>14</v>
      </c>
      <c r="S33" s="709" t="e">
        <f t="shared" si="12"/>
        <v>#N/A</v>
      </c>
      <c r="T33" s="708" t="s">
        <v>14</v>
      </c>
      <c r="U33" s="709" t="e">
        <f t="shared" si="13"/>
        <v>#N/A</v>
      </c>
      <c r="V33" s="708" t="s">
        <v>14</v>
      </c>
      <c r="W33" s="709" t="e">
        <f t="shared" si="14"/>
        <v>#N/A</v>
      </c>
      <c r="X33" s="710"/>
      <c r="Y33" s="373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35"/>
      <c r="Q34" s="1352" t="str">
        <f t="shared" si="11"/>
        <v>建筑结构</v>
      </c>
      <c r="R34" s="705" t="s">
        <v>14</v>
      </c>
      <c r="S34" s="706">
        <f t="shared" si="12"/>
        <v>100</v>
      </c>
      <c r="T34" s="705" t="s">
        <v>14</v>
      </c>
      <c r="U34" s="706">
        <f t="shared" si="13"/>
        <v>100</v>
      </c>
      <c r="V34" s="705" t="s">
        <v>14</v>
      </c>
      <c r="W34" s="706">
        <f t="shared" si="14"/>
        <v>100</v>
      </c>
      <c r="X34" s="1355"/>
      <c r="Y34" s="373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35"/>
      <c r="Q35" s="1352" t="str">
        <f t="shared" si="11"/>
        <v>公共部分装修</v>
      </c>
      <c r="R35" s="705" t="s">
        <v>14</v>
      </c>
      <c r="S35" s="706">
        <f t="shared" si="12"/>
        <v>100</v>
      </c>
      <c r="T35" s="705" t="s">
        <v>14</v>
      </c>
      <c r="U35" s="706">
        <f t="shared" si="13"/>
        <v>100</v>
      </c>
      <c r="V35" s="705" t="s">
        <v>14</v>
      </c>
      <c r="W35" s="706">
        <f t="shared" si="14"/>
        <v>100</v>
      </c>
      <c r="X35" s="1355"/>
      <c r="Y35" s="373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35"/>
      <c r="Q36" s="1352" t="str">
        <f t="shared" si="11"/>
        <v>成新度</v>
      </c>
      <c r="R36" s="705" t="s">
        <v>14</v>
      </c>
      <c r="S36" s="706" t="e">
        <f t="shared" si="12"/>
        <v>#N/A</v>
      </c>
      <c r="T36" s="705" t="s">
        <v>14</v>
      </c>
      <c r="U36" s="706" t="e">
        <f t="shared" si="13"/>
        <v>#N/A</v>
      </c>
      <c r="V36" s="705" t="s">
        <v>14</v>
      </c>
      <c r="W36" s="706" t="e">
        <f t="shared" si="14"/>
        <v>#N/A</v>
      </c>
      <c r="X36" s="1355"/>
      <c r="Y36" s="373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35"/>
      <c r="Q37" s="1343" t="str">
        <f t="shared" si="11"/>
        <v>市政基础设施</v>
      </c>
      <c r="R37" s="701" t="s">
        <v>14</v>
      </c>
      <c r="S37" s="702">
        <f t="shared" si="12"/>
        <v>100</v>
      </c>
      <c r="T37" s="701" t="s">
        <v>14</v>
      </c>
      <c r="U37" s="702">
        <f t="shared" si="13"/>
        <v>100</v>
      </c>
      <c r="V37" s="701" t="s">
        <v>14</v>
      </c>
      <c r="W37" s="702">
        <f t="shared" si="14"/>
        <v>100</v>
      </c>
      <c r="X37" s="703"/>
      <c r="Y37" s="373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35" t="s">
        <v>1696</v>
      </c>
      <c r="Q38" s="1352" t="str">
        <f t="shared" si="11"/>
        <v>业态</v>
      </c>
      <c r="R38" s="705" t="s">
        <v>14</v>
      </c>
      <c r="S38" s="706">
        <f t="shared" si="12"/>
        <v>100</v>
      </c>
      <c r="T38" s="705" t="s">
        <v>14</v>
      </c>
      <c r="U38" s="706">
        <f t="shared" si="13"/>
        <v>100</v>
      </c>
      <c r="V38" s="705" t="s">
        <v>14</v>
      </c>
      <c r="W38" s="706">
        <f t="shared" si="14"/>
        <v>100</v>
      </c>
      <c r="X38" s="1355"/>
      <c r="Y38" s="373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35"/>
      <c r="Q39" s="1352" t="str">
        <f t="shared" si="11"/>
        <v>层高</v>
      </c>
      <c r="R39" s="705" t="s">
        <v>14</v>
      </c>
      <c r="S39" s="706">
        <f t="shared" si="12"/>
        <v>100</v>
      </c>
      <c r="T39" s="705" t="s">
        <v>14</v>
      </c>
      <c r="U39" s="706">
        <f t="shared" si="13"/>
        <v>100</v>
      </c>
      <c r="V39" s="705" t="s">
        <v>14</v>
      </c>
      <c r="W39" s="706">
        <f t="shared" si="14"/>
        <v>100</v>
      </c>
      <c r="X39" s="1355"/>
      <c r="Y39" s="373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35"/>
      <c r="Q40" s="1352" t="str">
        <f t="shared" si="11"/>
        <v>单套建筑面积</v>
      </c>
      <c r="R40" s="705" t="s">
        <v>14</v>
      </c>
      <c r="S40" s="706">
        <f t="shared" si="12"/>
        <v>100</v>
      </c>
      <c r="T40" s="705" t="s">
        <v>14</v>
      </c>
      <c r="U40" s="706">
        <f t="shared" si="13"/>
        <v>100</v>
      </c>
      <c r="V40" s="705" t="s">
        <v>14</v>
      </c>
      <c r="W40" s="706">
        <f t="shared" si="14"/>
        <v>100</v>
      </c>
      <c r="X40" s="1355"/>
      <c r="Y40" s="373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35"/>
      <c r="Q41" s="707" t="str">
        <f t="shared" si="11"/>
        <v>进深比</v>
      </c>
      <c r="R41" s="708" t="s">
        <v>14</v>
      </c>
      <c r="S41" s="709">
        <f t="shared" si="12"/>
        <v>100</v>
      </c>
      <c r="T41" s="708" t="s">
        <v>14</v>
      </c>
      <c r="U41" s="709">
        <f t="shared" si="13"/>
        <v>100</v>
      </c>
      <c r="V41" s="708" t="s">
        <v>14</v>
      </c>
      <c r="W41" s="709">
        <f t="shared" si="14"/>
        <v>100</v>
      </c>
      <c r="X41" s="710"/>
      <c r="Y41" s="373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35"/>
      <c r="Q42" s="1352" t="str">
        <f t="shared" si="11"/>
        <v>内部装修</v>
      </c>
      <c r="R42" s="705" t="s">
        <v>14</v>
      </c>
      <c r="S42" s="706">
        <f t="shared" si="12"/>
        <v>100</v>
      </c>
      <c r="T42" s="705" t="s">
        <v>14</v>
      </c>
      <c r="U42" s="706">
        <f t="shared" si="13"/>
        <v>100</v>
      </c>
      <c r="V42" s="705" t="s">
        <v>14</v>
      </c>
      <c r="W42" s="706">
        <f t="shared" si="14"/>
        <v>100</v>
      </c>
      <c r="X42" s="1355"/>
      <c r="Y42" s="373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35"/>
      <c r="Q43" s="1352" t="str">
        <f t="shared" si="11"/>
        <v>内部装修维护情况</v>
      </c>
      <c r="R43" s="705" t="s">
        <v>14</v>
      </c>
      <c r="S43" s="706">
        <f t="shared" si="12"/>
        <v>100</v>
      </c>
      <c r="T43" s="705" t="s">
        <v>14</v>
      </c>
      <c r="U43" s="706">
        <f t="shared" si="13"/>
        <v>100</v>
      </c>
      <c r="V43" s="705" t="s">
        <v>14</v>
      </c>
      <c r="W43" s="706">
        <f t="shared" si="14"/>
        <v>100</v>
      </c>
      <c r="X43" s="1355"/>
      <c r="Y43" s="373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35"/>
      <c r="Q44" s="1343">
        <f t="shared" si="11"/>
        <v>111</v>
      </c>
      <c r="R44" s="701" t="s">
        <v>14</v>
      </c>
      <c r="S44" s="702">
        <f t="shared" si="12"/>
        <v>100</v>
      </c>
      <c r="T44" s="701" t="s">
        <v>14</v>
      </c>
      <c r="U44" s="702">
        <f t="shared" si="13"/>
        <v>100</v>
      </c>
      <c r="V44" s="701" t="s">
        <v>14</v>
      </c>
      <c r="W44" s="702">
        <f t="shared" si="14"/>
        <v>100</v>
      </c>
      <c r="X44" s="703"/>
      <c r="Y44" s="373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35"/>
      <c r="Q45" s="1352">
        <f t="shared" si="11"/>
        <v>111</v>
      </c>
      <c r="R45" s="705" t="s">
        <v>14</v>
      </c>
      <c r="S45" s="706">
        <f t="shared" si="12"/>
        <v>100</v>
      </c>
      <c r="T45" s="705" t="s">
        <v>14</v>
      </c>
      <c r="U45" s="706">
        <f t="shared" si="13"/>
        <v>100</v>
      </c>
      <c r="V45" s="705" t="s">
        <v>14</v>
      </c>
      <c r="W45" s="706">
        <f t="shared" si="14"/>
        <v>100</v>
      </c>
      <c r="X45" s="1355"/>
      <c r="Y45" s="373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36"/>
      <c r="Q46" s="1352">
        <f t="shared" si="11"/>
        <v>111</v>
      </c>
      <c r="R46" s="705" t="s">
        <v>14</v>
      </c>
      <c r="S46" s="706">
        <f t="shared" si="12"/>
        <v>100</v>
      </c>
      <c r="T46" s="705" t="s">
        <v>14</v>
      </c>
      <c r="U46" s="706">
        <f t="shared" si="13"/>
        <v>100</v>
      </c>
      <c r="V46" s="705" t="s">
        <v>14</v>
      </c>
      <c r="W46" s="706">
        <f t="shared" si="14"/>
        <v>100</v>
      </c>
      <c r="X46" s="1355"/>
      <c r="Y46" s="373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730" t="str">
        <f>A47</f>
        <v>成交单价（元/平方米）</v>
      </c>
      <c r="Q47" s="3730"/>
      <c r="R47" s="3725">
        <f>E47</f>
        <v>0</v>
      </c>
      <c r="S47" s="3725"/>
      <c r="T47" s="3725">
        <f>G47</f>
        <v>0</v>
      </c>
      <c r="U47" s="3725"/>
      <c r="V47" s="3725">
        <f>I47</f>
        <v>0</v>
      </c>
      <c r="W47" s="372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730" t="str">
        <f>A48</f>
        <v>比较价值（元/平方米）</v>
      </c>
      <c r="Q48" s="3730"/>
      <c r="R48" s="3731" t="e">
        <f>IF(F1="售价",ROUND(PRODUCT(R47,AA7:AA46),0),ROUND(PRODUCT(R47,AA7:AA46),1))</f>
        <v>#DIV/0!</v>
      </c>
      <c r="S48" s="3731"/>
      <c r="T48" s="3731" t="e">
        <f>IF(F1="售价",ROUND(PRODUCT(T47,AB7:AB46),0),ROUND(PRODUCT(T47,AB7:AB46),1))</f>
        <v>#DIV/0!</v>
      </c>
      <c r="U48" s="3731"/>
      <c r="V48" s="3731" t="e">
        <f>IF(F1="售价",ROUND(PRODUCT(V47,AC7:AC46),0),ROUND(PRODUCT(V47,AC7:AC46),1))</f>
        <v>#DIV/0!</v>
      </c>
      <c r="W48" s="373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27" t="str">
        <f>A49</f>
        <v>估价对象XX用房的比较价值（楼面单价，元/平方米）</v>
      </c>
      <c r="Q49" s="3728"/>
      <c r="R49" s="3729" t="e">
        <f>IF(F1="售价",ROUND(IF(D48="简单平均",AVERAGE(R48:V48),R48*F48+T48*H48+V48*J48),0),ROUND(IF(D48="简单平均",AVERAGE(R48:V48),R48*F48+T48*H48+V48*J48),1))</f>
        <v>#DIV/0!</v>
      </c>
      <c r="S49" s="3729"/>
      <c r="T49" s="3729"/>
      <c r="U49" s="3729"/>
      <c r="V49" s="3729"/>
      <c r="W49" s="3729"/>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2025-12</v>
      </c>
      <c r="D58" s="1185">
        <f>EDATE(C58,-1)</f>
        <v>45962</v>
      </c>
      <c r="E58" s="1185">
        <f t="shared" ref="E58:N58" si="16">EDATE(D58,-1)</f>
        <v>45931</v>
      </c>
      <c r="F58" s="1185">
        <f t="shared" si="16"/>
        <v>45901</v>
      </c>
      <c r="G58" s="1185">
        <f t="shared" si="16"/>
        <v>45870</v>
      </c>
      <c r="H58" s="1185">
        <f t="shared" si="16"/>
        <v>45839</v>
      </c>
      <c r="I58" s="1185">
        <f t="shared" si="16"/>
        <v>45809</v>
      </c>
      <c r="J58" s="1185">
        <f t="shared" si="16"/>
        <v>45778</v>
      </c>
      <c r="K58" s="1185">
        <f t="shared" si="16"/>
        <v>45748</v>
      </c>
      <c r="L58" s="1185">
        <f t="shared" si="16"/>
        <v>45717</v>
      </c>
      <c r="M58" s="1185">
        <f t="shared" si="16"/>
        <v>45689</v>
      </c>
      <c r="N58" s="1185">
        <f t="shared" si="16"/>
        <v>45658</v>
      </c>
      <c r="O58" s="1185">
        <f>EDATE(N58,-1)</f>
        <v>45627</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662.27</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713" t="s">
        <v>1770</v>
      </c>
      <c r="D4" s="3714"/>
      <c r="E4" s="3715" t="s">
        <v>1771</v>
      </c>
      <c r="F4" s="3716"/>
      <c r="G4" s="3713" t="s">
        <v>1772</v>
      </c>
      <c r="H4" s="3714"/>
      <c r="I4" s="3713" t="s">
        <v>1773</v>
      </c>
      <c r="J4" s="3714"/>
      <c r="K4" s="559" t="s">
        <v>1774</v>
      </c>
      <c r="L4" s="2714"/>
      <c r="M4" s="2715"/>
      <c r="N4" s="2715"/>
      <c r="O4" s="2715"/>
      <c r="P4" s="3747" t="s">
        <v>1775</v>
      </c>
      <c r="Q4" s="3748"/>
      <c r="R4" s="3742" t="s">
        <v>1771</v>
      </c>
      <c r="S4" s="3743"/>
      <c r="T4" s="3742" t="s">
        <v>1772</v>
      </c>
      <c r="U4" s="3743"/>
      <c r="V4" s="3751" t="s">
        <v>1773</v>
      </c>
      <c r="W4" s="3751"/>
      <c r="X4" s="1958"/>
      <c r="Y4" s="3742" t="s">
        <v>1775</v>
      </c>
      <c r="Z4" s="3743"/>
      <c r="AA4" s="3741" t="s">
        <v>1771</v>
      </c>
      <c r="AB4" s="3741" t="s">
        <v>1772</v>
      </c>
      <c r="AC4" s="3744" t="s">
        <v>1773</v>
      </c>
    </row>
    <row r="5" spans="1:29" ht="15">
      <c r="A5" s="358"/>
      <c r="B5" s="359"/>
      <c r="C5" s="3706" t="s">
        <v>1673</v>
      </c>
      <c r="D5" s="3707"/>
      <c r="E5" s="3704" t="s">
        <v>1674</v>
      </c>
      <c r="F5" s="3705"/>
      <c r="G5" s="3706" t="s">
        <v>1675</v>
      </c>
      <c r="H5" s="3707"/>
      <c r="I5" s="3706" t="s">
        <v>1676</v>
      </c>
      <c r="J5" s="3707"/>
      <c r="K5" s="559"/>
      <c r="L5" s="2714"/>
      <c r="M5" s="2715"/>
      <c r="N5" s="2715"/>
      <c r="O5" s="2715"/>
      <c r="P5" s="3749"/>
      <c r="Q5" s="3720"/>
      <c r="R5" s="3702"/>
      <c r="S5" s="3703"/>
      <c r="T5" s="3702"/>
      <c r="U5" s="3703"/>
      <c r="V5" s="3725"/>
      <c r="W5" s="3725"/>
      <c r="X5" s="1355"/>
      <c r="Y5" s="3702"/>
      <c r="Z5" s="3703"/>
      <c r="AA5" s="3696"/>
      <c r="AB5" s="3696"/>
      <c r="AC5" s="3745"/>
    </row>
    <row r="6" spans="1:29" ht="15.75" thickBot="1">
      <c r="A6" s="360"/>
      <c r="B6" s="361"/>
      <c r="C6" s="3708" t="s">
        <v>1677</v>
      </c>
      <c r="D6" s="3709"/>
      <c r="E6" s="3710" t="s">
        <v>1677</v>
      </c>
      <c r="F6" s="3711"/>
      <c r="G6" s="3708" t="s">
        <v>1677</v>
      </c>
      <c r="H6" s="3709"/>
      <c r="I6" s="3708" t="s">
        <v>1677</v>
      </c>
      <c r="J6" s="3709"/>
      <c r="K6" s="559" t="s">
        <v>1678</v>
      </c>
      <c r="L6" s="2714"/>
      <c r="M6" s="2715"/>
      <c r="N6" s="2715"/>
      <c r="O6" s="2715"/>
      <c r="P6" s="3750"/>
      <c r="Q6" s="3722"/>
      <c r="R6" s="3702"/>
      <c r="S6" s="3703"/>
      <c r="T6" s="3723"/>
      <c r="U6" s="3724"/>
      <c r="V6" s="3725"/>
      <c r="W6" s="3725"/>
      <c r="X6" s="1355"/>
      <c r="Y6" s="3723"/>
      <c r="Z6" s="3724"/>
      <c r="AA6" s="3697"/>
      <c r="AB6" s="3697"/>
      <c r="AC6" s="3746"/>
    </row>
    <row r="7" spans="1:29" s="108" customFormat="1" ht="15.75" thickBot="1">
      <c r="A7" s="362" t="s">
        <v>1679</v>
      </c>
      <c r="B7" s="363"/>
      <c r="C7" s="364">
        <f>'数据-取费表'!B2</f>
        <v>45996</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52" t="s">
        <v>1680</v>
      </c>
      <c r="Q7" s="3726"/>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52" t="s">
        <v>1683</v>
      </c>
      <c r="Q8" s="3699"/>
      <c r="R8" s="701" t="s">
        <v>14</v>
      </c>
      <c r="S8" s="702">
        <f t="shared" si="0"/>
        <v>100</v>
      </c>
      <c r="T8" s="701" t="s">
        <v>14</v>
      </c>
      <c r="U8" s="702">
        <f t="shared" si="1"/>
        <v>100</v>
      </c>
      <c r="V8" s="701" t="s">
        <v>14</v>
      </c>
      <c r="W8" s="702">
        <f t="shared" si="2"/>
        <v>100</v>
      </c>
      <c r="X8" s="703"/>
      <c r="Y8" s="3698" t="s">
        <v>1683</v>
      </c>
      <c r="Z8" s="3699"/>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12" t="s">
        <v>1686</v>
      </c>
      <c r="Q9" s="1343" t="str">
        <f t="shared" ref="Q9:Q15" si="6">B9</f>
        <v>用途</v>
      </c>
      <c r="R9" s="701" t="s">
        <v>14</v>
      </c>
      <c r="S9" s="702">
        <f t="shared" si="0"/>
        <v>100</v>
      </c>
      <c r="T9" s="701" t="s">
        <v>14</v>
      </c>
      <c r="U9" s="702">
        <f t="shared" si="1"/>
        <v>100</v>
      </c>
      <c r="V9" s="701" t="s">
        <v>14</v>
      </c>
      <c r="W9" s="702">
        <f t="shared" si="2"/>
        <v>100</v>
      </c>
      <c r="X9" s="703"/>
      <c r="Y9" s="3642"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12"/>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12"/>
      <c r="Q11" s="1343" t="str">
        <f t="shared" si="6"/>
        <v>容积率</v>
      </c>
      <c r="R11" s="701" t="s">
        <v>14</v>
      </c>
      <c r="S11" s="702">
        <f t="shared" si="0"/>
        <v>100</v>
      </c>
      <c r="T11" s="701" t="s">
        <v>14</v>
      </c>
      <c r="U11" s="702">
        <f t="shared" si="1"/>
        <v>100</v>
      </c>
      <c r="V11" s="701" t="s">
        <v>14</v>
      </c>
      <c r="W11" s="702">
        <f t="shared" si="2"/>
        <v>100</v>
      </c>
      <c r="X11" s="703"/>
      <c r="Y11" s="364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712"/>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712"/>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712"/>
      <c r="Q14" s="1343">
        <f t="shared" si="6"/>
        <v>111</v>
      </c>
      <c r="R14" s="701" t="s">
        <v>14</v>
      </c>
      <c r="S14" s="702">
        <f t="shared" si="0"/>
        <v>100</v>
      </c>
      <c r="T14" s="701" t="s">
        <v>14</v>
      </c>
      <c r="U14" s="702">
        <f t="shared" si="1"/>
        <v>100</v>
      </c>
      <c r="V14" s="701" t="s">
        <v>14</v>
      </c>
      <c r="W14" s="702">
        <f t="shared" si="2"/>
        <v>100</v>
      </c>
      <c r="X14" s="703"/>
      <c r="Y14" s="3642"/>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39" t="s">
        <v>1691</v>
      </c>
      <c r="Q15" s="1352" t="str">
        <f t="shared" si="6"/>
        <v>办公集聚程度</v>
      </c>
      <c r="R15" s="705" t="s">
        <v>14</v>
      </c>
      <c r="S15" s="706">
        <f t="shared" si="0"/>
        <v>100</v>
      </c>
      <c r="T15" s="705" t="s">
        <v>14</v>
      </c>
      <c r="U15" s="706">
        <f t="shared" si="1"/>
        <v>100</v>
      </c>
      <c r="V15" s="705" t="s">
        <v>14</v>
      </c>
      <c r="W15" s="706">
        <f t="shared" si="2"/>
        <v>100</v>
      </c>
      <c r="X15" s="1355"/>
      <c r="Y15" s="373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40"/>
      <c r="Q16" s="1352"/>
      <c r="R16" s="705"/>
      <c r="S16" s="706"/>
      <c r="T16" s="705"/>
      <c r="U16" s="706"/>
      <c r="V16" s="705"/>
      <c r="W16" s="706"/>
      <c r="X16" s="1355"/>
      <c r="Y16" s="3733"/>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40"/>
      <c r="Q17" s="1352" t="str">
        <f>B17</f>
        <v>交通便捷度</v>
      </c>
      <c r="R17" s="705" t="s">
        <v>14</v>
      </c>
      <c r="S17" s="706">
        <f>F17</f>
        <v>100</v>
      </c>
      <c r="T17" s="705" t="s">
        <v>14</v>
      </c>
      <c r="U17" s="706">
        <f>H17</f>
        <v>100</v>
      </c>
      <c r="V17" s="705" t="s">
        <v>14</v>
      </c>
      <c r="W17" s="706">
        <f>J17</f>
        <v>100</v>
      </c>
      <c r="X17" s="1355"/>
      <c r="Y17" s="373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40"/>
      <c r="Q18" s="1352"/>
      <c r="R18" s="705"/>
      <c r="S18" s="706"/>
      <c r="T18" s="705"/>
      <c r="U18" s="706"/>
      <c r="V18" s="705"/>
      <c r="W18" s="706"/>
      <c r="X18" s="1355"/>
      <c r="Y18" s="3733"/>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40"/>
      <c r="Q19" s="1352" t="str">
        <f>B19</f>
        <v>公共配套设施</v>
      </c>
      <c r="R19" s="705" t="s">
        <v>14</v>
      </c>
      <c r="S19" s="706">
        <f>F19</f>
        <v>100</v>
      </c>
      <c r="T19" s="705" t="s">
        <v>14</v>
      </c>
      <c r="U19" s="706">
        <f>H19</f>
        <v>100</v>
      </c>
      <c r="V19" s="705" t="s">
        <v>14</v>
      </c>
      <c r="W19" s="706">
        <f>J19</f>
        <v>100</v>
      </c>
      <c r="X19" s="1355"/>
      <c r="Y19" s="373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40"/>
      <c r="Q20" s="1352"/>
      <c r="R20" s="705"/>
      <c r="S20" s="706"/>
      <c r="T20" s="705"/>
      <c r="U20" s="706"/>
      <c r="V20" s="705"/>
      <c r="W20" s="706"/>
      <c r="X20" s="1355"/>
      <c r="Y20" s="3733"/>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40"/>
      <c r="Q21" s="1352" t="str">
        <f>B21</f>
        <v>基础设施水平</v>
      </c>
      <c r="R21" s="705" t="s">
        <v>14</v>
      </c>
      <c r="S21" s="706">
        <f>F21</f>
        <v>100</v>
      </c>
      <c r="T21" s="705" t="s">
        <v>14</v>
      </c>
      <c r="U21" s="706">
        <f>H21</f>
        <v>100</v>
      </c>
      <c r="V21" s="705" t="s">
        <v>14</v>
      </c>
      <c r="W21" s="706">
        <f>J21</f>
        <v>100</v>
      </c>
      <c r="X21" s="1355"/>
      <c r="Y21" s="373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40"/>
      <c r="Q22" s="1352"/>
      <c r="R22" s="705"/>
      <c r="S22" s="706"/>
      <c r="T22" s="705"/>
      <c r="U22" s="706"/>
      <c r="V22" s="705"/>
      <c r="W22" s="706"/>
      <c r="X22" s="1355"/>
      <c r="Y22" s="3733"/>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40"/>
      <c r="Q23" s="1352" t="str">
        <f>B23</f>
        <v>环境质量</v>
      </c>
      <c r="R23" s="705" t="s">
        <v>14</v>
      </c>
      <c r="S23" s="706">
        <f>F23</f>
        <v>100</v>
      </c>
      <c r="T23" s="705" t="s">
        <v>14</v>
      </c>
      <c r="U23" s="706">
        <f>H23</f>
        <v>100</v>
      </c>
      <c r="V23" s="705" t="s">
        <v>14</v>
      </c>
      <c r="W23" s="706">
        <f>J23</f>
        <v>100</v>
      </c>
      <c r="X23" s="1355"/>
      <c r="Y23" s="373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40"/>
      <c r="Q24" s="1352"/>
      <c r="R24" s="705"/>
      <c r="S24" s="706"/>
      <c r="T24" s="705"/>
      <c r="U24" s="706"/>
      <c r="V24" s="705"/>
      <c r="W24" s="706"/>
      <c r="X24" s="1355"/>
      <c r="Y24" s="373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40"/>
      <c r="Q25" s="1352" t="str">
        <f>B25</f>
        <v>毗邻道路的类型与等级</v>
      </c>
      <c r="R25" s="705" t="s">
        <v>14</v>
      </c>
      <c r="S25" s="706">
        <f>F25</f>
        <v>100</v>
      </c>
      <c r="T25" s="705" t="s">
        <v>14</v>
      </c>
      <c r="U25" s="706">
        <f>H25</f>
        <v>100</v>
      </c>
      <c r="V25" s="705" t="s">
        <v>14</v>
      </c>
      <c r="W25" s="706">
        <f>J25</f>
        <v>100</v>
      </c>
      <c r="X25" s="1355"/>
      <c r="Y25" s="373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40"/>
      <c r="Q26" s="1352"/>
      <c r="R26" s="705"/>
      <c r="S26" s="706"/>
      <c r="T26" s="705"/>
      <c r="U26" s="706"/>
      <c r="V26" s="705"/>
      <c r="W26" s="706"/>
      <c r="X26" s="1355"/>
      <c r="Y26" s="373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40"/>
      <c r="Q27" s="1352" t="str">
        <f t="shared" ref="Q27:Q47" si="11">B27</f>
        <v>楼层</v>
      </c>
      <c r="R27" s="705" t="s">
        <v>14</v>
      </c>
      <c r="S27" s="706">
        <f>F27</f>
        <v>100</v>
      </c>
      <c r="T27" s="705" t="s">
        <v>14</v>
      </c>
      <c r="U27" s="706">
        <f>H27</f>
        <v>100</v>
      </c>
      <c r="V27" s="705" t="s">
        <v>14</v>
      </c>
      <c r="W27" s="706">
        <f>J27</f>
        <v>100</v>
      </c>
      <c r="X27" s="1355"/>
      <c r="Y27" s="373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40"/>
      <c r="Q28" s="1343" t="str">
        <f t="shared" si="11"/>
        <v>朝向</v>
      </c>
      <c r="R28" s="701" t="s">
        <v>14</v>
      </c>
      <c r="S28" s="702">
        <f>F28</f>
        <v>100</v>
      </c>
      <c r="T28" s="701" t="s">
        <v>14</v>
      </c>
      <c r="U28" s="702">
        <f>H28</f>
        <v>100</v>
      </c>
      <c r="V28" s="701" t="s">
        <v>14</v>
      </c>
      <c r="W28" s="702">
        <f>J28</f>
        <v>100</v>
      </c>
      <c r="X28" s="703"/>
      <c r="Y28" s="373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40"/>
      <c r="Q29" s="1352">
        <f t="shared" si="11"/>
        <v>111</v>
      </c>
      <c r="R29" s="705" t="s">
        <v>14</v>
      </c>
      <c r="S29" s="706">
        <f t="shared" ref="S29:S47" si="12">F29</f>
        <v>100</v>
      </c>
      <c r="T29" s="705" t="s">
        <v>14</v>
      </c>
      <c r="U29" s="706">
        <f t="shared" ref="U29:U47" si="13">H29</f>
        <v>100</v>
      </c>
      <c r="V29" s="705" t="s">
        <v>14</v>
      </c>
      <c r="W29" s="706">
        <f t="shared" ref="W29:W47" si="14">J29</f>
        <v>100</v>
      </c>
      <c r="X29" s="1355"/>
      <c r="Y29" s="373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40"/>
      <c r="Q30" s="1352">
        <f t="shared" si="11"/>
        <v>111</v>
      </c>
      <c r="R30" s="705" t="s">
        <v>14</v>
      </c>
      <c r="S30" s="706">
        <f t="shared" si="12"/>
        <v>100</v>
      </c>
      <c r="T30" s="705" t="s">
        <v>14</v>
      </c>
      <c r="U30" s="706">
        <f t="shared" si="13"/>
        <v>100</v>
      </c>
      <c r="V30" s="705" t="s">
        <v>14</v>
      </c>
      <c r="W30" s="706">
        <f t="shared" si="14"/>
        <v>100</v>
      </c>
      <c r="X30" s="1355"/>
      <c r="Y30" s="373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40"/>
      <c r="Q31" s="1352">
        <f t="shared" si="11"/>
        <v>111</v>
      </c>
      <c r="R31" s="705" t="s">
        <v>14</v>
      </c>
      <c r="S31" s="706">
        <f t="shared" si="12"/>
        <v>100</v>
      </c>
      <c r="T31" s="705" t="s">
        <v>14</v>
      </c>
      <c r="U31" s="706">
        <f t="shared" si="13"/>
        <v>100</v>
      </c>
      <c r="V31" s="705" t="s">
        <v>14</v>
      </c>
      <c r="W31" s="706">
        <f t="shared" si="14"/>
        <v>100</v>
      </c>
      <c r="X31" s="1355"/>
      <c r="Y31" s="373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40"/>
      <c r="Q32" s="1352">
        <f t="shared" si="11"/>
        <v>111</v>
      </c>
      <c r="R32" s="705" t="s">
        <v>14</v>
      </c>
      <c r="S32" s="706">
        <f t="shared" si="12"/>
        <v>100</v>
      </c>
      <c r="T32" s="705" t="s">
        <v>14</v>
      </c>
      <c r="U32" s="706">
        <f t="shared" si="13"/>
        <v>100</v>
      </c>
      <c r="V32" s="705" t="s">
        <v>14</v>
      </c>
      <c r="W32" s="706">
        <f t="shared" si="14"/>
        <v>100</v>
      </c>
      <c r="X32" s="1355"/>
      <c r="Y32" s="373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34" t="s">
        <v>1696</v>
      </c>
      <c r="Q33" s="1352" t="str">
        <f t="shared" si="11"/>
        <v>建筑类型</v>
      </c>
      <c r="R33" s="705" t="s">
        <v>14</v>
      </c>
      <c r="S33" s="706">
        <f t="shared" si="12"/>
        <v>100</v>
      </c>
      <c r="T33" s="705" t="s">
        <v>14</v>
      </c>
      <c r="U33" s="706">
        <f t="shared" si="13"/>
        <v>100</v>
      </c>
      <c r="V33" s="705" t="s">
        <v>14</v>
      </c>
      <c r="W33" s="706">
        <f t="shared" si="14"/>
        <v>100</v>
      </c>
      <c r="X33" s="1355"/>
      <c r="Y33" s="373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35"/>
      <c r="Q34" s="707" t="str">
        <f t="shared" si="11"/>
        <v>项目建筑规模</v>
      </c>
      <c r="R34" s="708" t="s">
        <v>14</v>
      </c>
      <c r="S34" s="709" t="e">
        <f t="shared" si="12"/>
        <v>#N/A</v>
      </c>
      <c r="T34" s="708" t="s">
        <v>14</v>
      </c>
      <c r="U34" s="709" t="e">
        <f t="shared" si="13"/>
        <v>#N/A</v>
      </c>
      <c r="V34" s="708" t="s">
        <v>14</v>
      </c>
      <c r="W34" s="709" t="e">
        <f t="shared" si="14"/>
        <v>#N/A</v>
      </c>
      <c r="X34" s="710"/>
      <c r="Y34" s="373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35"/>
      <c r="Q35" s="1352" t="str">
        <f t="shared" si="11"/>
        <v>建筑结构</v>
      </c>
      <c r="R35" s="705" t="s">
        <v>14</v>
      </c>
      <c r="S35" s="706">
        <f t="shared" si="12"/>
        <v>100</v>
      </c>
      <c r="T35" s="705" t="s">
        <v>14</v>
      </c>
      <c r="U35" s="706">
        <f t="shared" si="13"/>
        <v>100</v>
      </c>
      <c r="V35" s="705" t="s">
        <v>14</v>
      </c>
      <c r="W35" s="706">
        <f t="shared" si="14"/>
        <v>100</v>
      </c>
      <c r="X35" s="1355"/>
      <c r="Y35" s="373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35"/>
      <c r="Q36" s="1352" t="str">
        <f t="shared" si="11"/>
        <v>公共部分装修</v>
      </c>
      <c r="R36" s="705" t="s">
        <v>14</v>
      </c>
      <c r="S36" s="706">
        <f t="shared" si="12"/>
        <v>100</v>
      </c>
      <c r="T36" s="705" t="s">
        <v>14</v>
      </c>
      <c r="U36" s="706">
        <f t="shared" si="13"/>
        <v>100</v>
      </c>
      <c r="V36" s="705" t="s">
        <v>14</v>
      </c>
      <c r="W36" s="706">
        <f t="shared" si="14"/>
        <v>100</v>
      </c>
      <c r="X36" s="1355"/>
      <c r="Y36" s="373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35"/>
      <c r="Q37" s="1352" t="str">
        <f t="shared" si="11"/>
        <v>成新度</v>
      </c>
      <c r="R37" s="705" t="s">
        <v>14</v>
      </c>
      <c r="S37" s="706" t="e">
        <f t="shared" si="12"/>
        <v>#N/A</v>
      </c>
      <c r="T37" s="705" t="s">
        <v>14</v>
      </c>
      <c r="U37" s="706" t="e">
        <f t="shared" si="13"/>
        <v>#N/A</v>
      </c>
      <c r="V37" s="705" t="s">
        <v>14</v>
      </c>
      <c r="W37" s="706" t="e">
        <f t="shared" si="14"/>
        <v>#N/A</v>
      </c>
      <c r="X37" s="1355"/>
      <c r="Y37" s="373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35"/>
      <c r="Q38" s="1343" t="str">
        <f t="shared" si="11"/>
        <v>写字楼等级</v>
      </c>
      <c r="R38" s="701" t="s">
        <v>14</v>
      </c>
      <c r="S38" s="702">
        <f t="shared" si="12"/>
        <v>100</v>
      </c>
      <c r="T38" s="701" t="s">
        <v>14</v>
      </c>
      <c r="U38" s="702">
        <f t="shared" si="13"/>
        <v>100</v>
      </c>
      <c r="V38" s="701" t="s">
        <v>14</v>
      </c>
      <c r="W38" s="702">
        <f t="shared" si="14"/>
        <v>100</v>
      </c>
      <c r="X38" s="703"/>
      <c r="Y38" s="373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35" t="s">
        <v>1696</v>
      </c>
      <c r="Q39" s="1352" t="str">
        <f t="shared" si="11"/>
        <v>物业管理</v>
      </c>
      <c r="R39" s="705" t="s">
        <v>14</v>
      </c>
      <c r="S39" s="706">
        <f t="shared" si="12"/>
        <v>100</v>
      </c>
      <c r="T39" s="705" t="s">
        <v>14</v>
      </c>
      <c r="U39" s="706">
        <f t="shared" si="13"/>
        <v>100</v>
      </c>
      <c r="V39" s="705" t="s">
        <v>14</v>
      </c>
      <c r="W39" s="706">
        <f t="shared" si="14"/>
        <v>100</v>
      </c>
      <c r="X39" s="1355"/>
      <c r="Y39" s="373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35"/>
      <c r="Q40" s="1352" t="str">
        <f t="shared" si="11"/>
        <v>市政基础设施</v>
      </c>
      <c r="R40" s="705" t="s">
        <v>14</v>
      </c>
      <c r="S40" s="706">
        <f t="shared" si="12"/>
        <v>100</v>
      </c>
      <c r="T40" s="705" t="s">
        <v>14</v>
      </c>
      <c r="U40" s="706">
        <f t="shared" si="13"/>
        <v>100</v>
      </c>
      <c r="V40" s="705" t="s">
        <v>14</v>
      </c>
      <c r="W40" s="706">
        <f t="shared" si="14"/>
        <v>100</v>
      </c>
      <c r="X40" s="1355"/>
      <c r="Y40" s="373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35"/>
      <c r="Q41" s="1352" t="str">
        <f t="shared" si="11"/>
        <v>层高</v>
      </c>
      <c r="R41" s="705" t="s">
        <v>14</v>
      </c>
      <c r="S41" s="706">
        <f t="shared" si="12"/>
        <v>100</v>
      </c>
      <c r="T41" s="705" t="s">
        <v>14</v>
      </c>
      <c r="U41" s="706">
        <f t="shared" si="13"/>
        <v>100</v>
      </c>
      <c r="V41" s="705" t="s">
        <v>14</v>
      </c>
      <c r="W41" s="706">
        <f t="shared" si="14"/>
        <v>100</v>
      </c>
      <c r="X41" s="1355"/>
      <c r="Y41" s="373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35"/>
      <c r="Q42" s="707" t="str">
        <f t="shared" si="11"/>
        <v>单套建筑面积</v>
      </c>
      <c r="R42" s="708" t="s">
        <v>14</v>
      </c>
      <c r="S42" s="709">
        <f t="shared" si="12"/>
        <v>100</v>
      </c>
      <c r="T42" s="708" t="s">
        <v>14</v>
      </c>
      <c r="U42" s="709">
        <f t="shared" si="13"/>
        <v>100</v>
      </c>
      <c r="V42" s="708" t="s">
        <v>14</v>
      </c>
      <c r="W42" s="709">
        <f t="shared" si="14"/>
        <v>100</v>
      </c>
      <c r="X42" s="710"/>
      <c r="Y42" s="373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35"/>
      <c r="Q43" s="1352" t="str">
        <f t="shared" si="11"/>
        <v>内部装修</v>
      </c>
      <c r="R43" s="705" t="s">
        <v>14</v>
      </c>
      <c r="S43" s="706">
        <f t="shared" si="12"/>
        <v>100</v>
      </c>
      <c r="T43" s="705" t="s">
        <v>14</v>
      </c>
      <c r="U43" s="706">
        <f t="shared" si="13"/>
        <v>100</v>
      </c>
      <c r="V43" s="705" t="s">
        <v>14</v>
      </c>
      <c r="W43" s="706">
        <f t="shared" si="14"/>
        <v>100</v>
      </c>
      <c r="X43" s="1355"/>
      <c r="Y43" s="3737"/>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35"/>
      <c r="Q44" s="1352" t="str">
        <f t="shared" si="11"/>
        <v>内部装修维护情况</v>
      </c>
      <c r="R44" s="705" t="s">
        <v>14</v>
      </c>
      <c r="S44" s="706">
        <f t="shared" si="12"/>
        <v>100</v>
      </c>
      <c r="T44" s="705" t="s">
        <v>14</v>
      </c>
      <c r="U44" s="706">
        <f t="shared" si="13"/>
        <v>100</v>
      </c>
      <c r="V44" s="705" t="s">
        <v>14</v>
      </c>
      <c r="W44" s="706">
        <f t="shared" si="14"/>
        <v>100</v>
      </c>
      <c r="X44" s="1355"/>
      <c r="Y44" s="373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35"/>
      <c r="Q45" s="1343">
        <f t="shared" si="11"/>
        <v>111</v>
      </c>
      <c r="R45" s="701" t="s">
        <v>14</v>
      </c>
      <c r="S45" s="702">
        <f t="shared" si="12"/>
        <v>100</v>
      </c>
      <c r="T45" s="701" t="s">
        <v>14</v>
      </c>
      <c r="U45" s="702">
        <f t="shared" si="13"/>
        <v>100</v>
      </c>
      <c r="V45" s="701" t="s">
        <v>14</v>
      </c>
      <c r="W45" s="702">
        <f t="shared" si="14"/>
        <v>100</v>
      </c>
      <c r="X45" s="703"/>
      <c r="Y45" s="373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35"/>
      <c r="Q46" s="1352">
        <f t="shared" si="11"/>
        <v>111</v>
      </c>
      <c r="R46" s="705" t="s">
        <v>14</v>
      </c>
      <c r="S46" s="706">
        <f t="shared" si="12"/>
        <v>100</v>
      </c>
      <c r="T46" s="705" t="s">
        <v>14</v>
      </c>
      <c r="U46" s="706">
        <f t="shared" si="13"/>
        <v>100</v>
      </c>
      <c r="V46" s="705" t="s">
        <v>14</v>
      </c>
      <c r="W46" s="706">
        <f t="shared" si="14"/>
        <v>100</v>
      </c>
      <c r="X46" s="1355"/>
      <c r="Y46" s="373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36"/>
      <c r="Q47" s="1352">
        <f t="shared" si="11"/>
        <v>111</v>
      </c>
      <c r="R47" s="705" t="s">
        <v>14</v>
      </c>
      <c r="S47" s="706">
        <f t="shared" si="12"/>
        <v>100</v>
      </c>
      <c r="T47" s="705" t="s">
        <v>14</v>
      </c>
      <c r="U47" s="706">
        <f t="shared" si="13"/>
        <v>100</v>
      </c>
      <c r="V47" s="705" t="s">
        <v>14</v>
      </c>
      <c r="W47" s="706">
        <f t="shared" si="14"/>
        <v>100</v>
      </c>
      <c r="X47" s="1355"/>
      <c r="Y47" s="3738"/>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3"/>
      <c r="M48" s="2715"/>
      <c r="N48" s="2715"/>
      <c r="O48" s="2715"/>
      <c r="P48" s="3712" t="str">
        <f>A48</f>
        <v>成交单价（元/平方米）</v>
      </c>
      <c r="Q48" s="3730"/>
      <c r="R48" s="3731">
        <f>E48</f>
        <v>0</v>
      </c>
      <c r="S48" s="3731"/>
      <c r="T48" s="3731">
        <f>G48</f>
        <v>0</v>
      </c>
      <c r="U48" s="3731"/>
      <c r="V48" s="3731">
        <f>I48</f>
        <v>0</v>
      </c>
      <c r="W48" s="3731"/>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3"/>
      <c r="M49" s="2715"/>
      <c r="N49" s="2715"/>
      <c r="O49" s="2715"/>
      <c r="P49" s="3712" t="str">
        <f>A49</f>
        <v>比较价值（元/平方米）</v>
      </c>
      <c r="Q49" s="3730"/>
      <c r="R49" s="3731" t="e">
        <f>IF(F1="售价",ROUND(PRODUCT(R48,AA7:AA47),0),ROUND(PRODUCT(R48,AA7:AA47),1))</f>
        <v>#DIV/0!</v>
      </c>
      <c r="S49" s="3731"/>
      <c r="T49" s="3731" t="e">
        <f>IF(F1="售价",ROUND(PRODUCT(T48,AB7:AB47),0),ROUND(PRODUCT(T48,AB7:AB47),1))</f>
        <v>#DIV/0!</v>
      </c>
      <c r="U49" s="3731"/>
      <c r="V49" s="3731" t="e">
        <f>IF(F1="售价",ROUND(PRODUCT(V48,AC7:AC47),0),ROUND(PRODUCT(V48,AC7:AC47),1))</f>
        <v>#DIV/0!</v>
      </c>
      <c r="W49" s="3731"/>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53" t="str">
        <f>A50</f>
        <v>估价对象XX用房的比较价值（楼面单价，元/平方米）</v>
      </c>
      <c r="Q50" s="3754"/>
      <c r="R50" s="3755" t="e">
        <f>IF(F1="售价",ROUND(IF(D49="简单平均",AVERAGE(R49:V49),R49*F49+T49*H49+V49*J49),0),ROUND(IF(D49="简单平均",AVERAGE(R49:V49),R49*F49+T49*H49+V49*J49),1))</f>
        <v>#DIV/0!</v>
      </c>
      <c r="S50" s="3755"/>
      <c r="T50" s="3755"/>
      <c r="U50" s="3755"/>
      <c r="V50" s="3755"/>
      <c r="W50" s="3755"/>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2025-12</v>
      </c>
      <c r="D59" s="1185">
        <f>EDATE(C59,-1)</f>
        <v>45962</v>
      </c>
      <c r="E59" s="1185">
        <f>EDATE(D59,-1)</f>
        <v>45931</v>
      </c>
      <c r="F59" s="1185">
        <f t="shared" ref="F59:O59" si="16">EDATE(E59,-1)</f>
        <v>45901</v>
      </c>
      <c r="G59" s="1185">
        <f t="shared" si="16"/>
        <v>45870</v>
      </c>
      <c r="H59" s="1185">
        <f t="shared" si="16"/>
        <v>45839</v>
      </c>
      <c r="I59" s="1185">
        <f t="shared" si="16"/>
        <v>45809</v>
      </c>
      <c r="J59" s="1185">
        <f t="shared" si="16"/>
        <v>45778</v>
      </c>
      <c r="K59" s="1185">
        <f t="shared" si="16"/>
        <v>45748</v>
      </c>
      <c r="L59" s="1185">
        <f t="shared" si="16"/>
        <v>45717</v>
      </c>
      <c r="M59" s="1185">
        <f t="shared" si="16"/>
        <v>45689</v>
      </c>
      <c r="N59" s="1185">
        <f t="shared" si="16"/>
        <v>45658</v>
      </c>
      <c r="O59" s="1185">
        <f t="shared" si="16"/>
        <v>45627</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662.27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3" t="s">
        <v>1770</v>
      </c>
      <c r="D4" s="3714"/>
      <c r="E4" s="3715" t="s">
        <v>1771</v>
      </c>
      <c r="F4" s="3716"/>
      <c r="G4" s="3713" t="s">
        <v>1772</v>
      </c>
      <c r="H4" s="3714"/>
      <c r="I4" s="3713" t="s">
        <v>1773</v>
      </c>
      <c r="J4" s="3714"/>
      <c r="K4" s="559" t="s">
        <v>1774</v>
      </c>
      <c r="L4" s="913"/>
      <c r="M4" s="914"/>
      <c r="N4" s="914"/>
      <c r="O4" s="914"/>
      <c r="P4" s="3717" t="s">
        <v>1775</v>
      </c>
      <c r="Q4" s="3718"/>
      <c r="R4" s="3700" t="s">
        <v>1771</v>
      </c>
      <c r="S4" s="3701"/>
      <c r="T4" s="3700" t="s">
        <v>1772</v>
      </c>
      <c r="U4" s="3701"/>
      <c r="V4" s="3725" t="s">
        <v>1773</v>
      </c>
      <c r="W4" s="3725"/>
      <c r="X4" s="1355"/>
      <c r="Y4" s="3700" t="s">
        <v>1775</v>
      </c>
      <c r="Z4" s="3701"/>
      <c r="AA4" s="3695" t="s">
        <v>1771</v>
      </c>
      <c r="AB4" s="3696" t="s">
        <v>1772</v>
      </c>
      <c r="AC4" s="3695" t="s">
        <v>1773</v>
      </c>
    </row>
    <row r="5" spans="1:29" ht="15">
      <c r="A5" s="358"/>
      <c r="B5" s="359"/>
      <c r="C5" s="3706" t="s">
        <v>1673</v>
      </c>
      <c r="D5" s="3707"/>
      <c r="E5" s="3704" t="s">
        <v>1674</v>
      </c>
      <c r="F5" s="3705"/>
      <c r="G5" s="3706" t="s">
        <v>1675</v>
      </c>
      <c r="H5" s="3707"/>
      <c r="I5" s="3706" t="s">
        <v>1676</v>
      </c>
      <c r="J5" s="3707"/>
      <c r="K5" s="559"/>
      <c r="L5" s="913"/>
      <c r="M5" s="914"/>
      <c r="N5" s="914"/>
      <c r="O5" s="914"/>
      <c r="P5" s="3719"/>
      <c r="Q5" s="3720"/>
      <c r="R5" s="3702"/>
      <c r="S5" s="3703"/>
      <c r="T5" s="3702"/>
      <c r="U5" s="3703"/>
      <c r="V5" s="3725"/>
      <c r="W5" s="3725"/>
      <c r="X5" s="1355"/>
      <c r="Y5" s="3702"/>
      <c r="Z5" s="3703"/>
      <c r="AA5" s="3696"/>
      <c r="AB5" s="3696"/>
      <c r="AC5" s="3696"/>
    </row>
    <row r="6" spans="1:29" ht="15.75" thickBot="1">
      <c r="A6" s="360"/>
      <c r="B6" s="361"/>
      <c r="C6" s="3708" t="s">
        <v>1677</v>
      </c>
      <c r="D6" s="3709"/>
      <c r="E6" s="3710" t="s">
        <v>1677</v>
      </c>
      <c r="F6" s="3711"/>
      <c r="G6" s="3708" t="s">
        <v>1677</v>
      </c>
      <c r="H6" s="3709"/>
      <c r="I6" s="3708" t="s">
        <v>1677</v>
      </c>
      <c r="J6" s="3709"/>
      <c r="K6" s="559" t="s">
        <v>1678</v>
      </c>
      <c r="L6" s="913"/>
      <c r="M6" s="914"/>
      <c r="N6" s="914"/>
      <c r="O6" s="914"/>
      <c r="P6" s="3721"/>
      <c r="Q6" s="3722"/>
      <c r="R6" s="3702"/>
      <c r="S6" s="3703"/>
      <c r="T6" s="3723"/>
      <c r="U6" s="3724"/>
      <c r="V6" s="3725"/>
      <c r="W6" s="3725"/>
      <c r="X6" s="1355"/>
      <c r="Y6" s="3723"/>
      <c r="Z6" s="3724"/>
      <c r="AA6" s="3697"/>
      <c r="AB6" s="3697"/>
      <c r="AC6" s="3697"/>
    </row>
    <row r="7" spans="1:29" s="108" customFormat="1" ht="15.75" thickBot="1">
      <c r="A7" s="362" t="s">
        <v>1679</v>
      </c>
      <c r="B7" s="363"/>
      <c r="C7" s="364">
        <f>'数据-取费表'!B2</f>
        <v>45996</v>
      </c>
      <c r="D7" s="365">
        <v>100</v>
      </c>
      <c r="E7" s="366"/>
      <c r="F7" s="367">
        <f>SUMIF(52:52,YEAR(E7)&amp;"-"&amp;MONTH(E7),53:53)</f>
        <v>0</v>
      </c>
      <c r="G7" s="366"/>
      <c r="H7" s="365">
        <f>SUMIF(52:52,YEAR(G7)&amp;"-"&amp;MONTH(G7),53:53)</f>
        <v>0</v>
      </c>
      <c r="I7" s="366"/>
      <c r="J7" s="365">
        <f>SUMIF(52:52,YEAR(I7)&amp;"-"&amp;MONTH(I7),53:53)</f>
        <v>0</v>
      </c>
      <c r="K7" s="560"/>
      <c r="L7" s="915"/>
      <c r="M7" s="916"/>
      <c r="N7" s="916"/>
      <c r="O7" s="916"/>
      <c r="P7" s="3698" t="s">
        <v>1680</v>
      </c>
      <c r="Q7" s="3726"/>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8" t="s">
        <v>1683</v>
      </c>
      <c r="Q8" s="3699"/>
      <c r="R8" s="701" t="s">
        <v>14</v>
      </c>
      <c r="S8" s="702">
        <f t="shared" si="0"/>
        <v>100</v>
      </c>
      <c r="T8" s="701" t="s">
        <v>14</v>
      </c>
      <c r="U8" s="702">
        <f t="shared" si="1"/>
        <v>100</v>
      </c>
      <c r="V8" s="701" t="s">
        <v>14</v>
      </c>
      <c r="W8" s="702">
        <f t="shared" si="2"/>
        <v>100</v>
      </c>
      <c r="X8" s="703"/>
      <c r="Y8" s="3698" t="s">
        <v>1683</v>
      </c>
      <c r="Z8" s="369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0" t="s">
        <v>1686</v>
      </c>
      <c r="Q9" s="1343" t="str">
        <f t="shared" ref="Q9:Q15" si="6">B9</f>
        <v>用途</v>
      </c>
      <c r="R9" s="701" t="s">
        <v>14</v>
      </c>
      <c r="S9" s="702">
        <f t="shared" si="0"/>
        <v>100</v>
      </c>
      <c r="T9" s="701" t="s">
        <v>14</v>
      </c>
      <c r="U9" s="702">
        <f t="shared" si="1"/>
        <v>100</v>
      </c>
      <c r="V9" s="701" t="s">
        <v>14</v>
      </c>
      <c r="W9" s="702">
        <f t="shared" si="2"/>
        <v>100</v>
      </c>
      <c r="X9" s="703"/>
      <c r="Y9" s="3642"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30"/>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0"/>
      <c r="Q11" s="1343" t="str">
        <f t="shared" si="6"/>
        <v>容积率</v>
      </c>
      <c r="R11" s="701" t="s">
        <v>14</v>
      </c>
      <c r="S11" s="702">
        <f t="shared" si="0"/>
        <v>100</v>
      </c>
      <c r="T11" s="701" t="s">
        <v>14</v>
      </c>
      <c r="U11" s="702">
        <f t="shared" si="1"/>
        <v>100</v>
      </c>
      <c r="V11" s="701" t="s">
        <v>14</v>
      </c>
      <c r="W11" s="702">
        <f t="shared" si="2"/>
        <v>100</v>
      </c>
      <c r="X11" s="703"/>
      <c r="Y11" s="364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0"/>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0"/>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0"/>
      <c r="Q14" s="1343">
        <f t="shared" si="6"/>
        <v>111</v>
      </c>
      <c r="R14" s="701" t="s">
        <v>14</v>
      </c>
      <c r="S14" s="702">
        <f t="shared" si="0"/>
        <v>100</v>
      </c>
      <c r="T14" s="701" t="s">
        <v>14</v>
      </c>
      <c r="U14" s="702">
        <f t="shared" si="1"/>
        <v>100</v>
      </c>
      <c r="V14" s="701" t="s">
        <v>14</v>
      </c>
      <c r="W14" s="702">
        <f t="shared" si="2"/>
        <v>100</v>
      </c>
      <c r="X14" s="703"/>
      <c r="Y14" s="364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2" t="s">
        <v>1691</v>
      </c>
      <c r="Q15" s="1352" t="str">
        <f t="shared" si="6"/>
        <v>产业集聚程度</v>
      </c>
      <c r="R15" s="705" t="s">
        <v>14</v>
      </c>
      <c r="S15" s="706">
        <f t="shared" si="0"/>
        <v>100</v>
      </c>
      <c r="T15" s="705" t="s">
        <v>14</v>
      </c>
      <c r="U15" s="706">
        <f t="shared" si="1"/>
        <v>100</v>
      </c>
      <c r="V15" s="705" t="s">
        <v>14</v>
      </c>
      <c r="W15" s="706">
        <f t="shared" si="2"/>
        <v>100</v>
      </c>
      <c r="X15" s="1355"/>
      <c r="Y15" s="373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3"/>
      <c r="Q16" s="1352"/>
      <c r="R16" s="705"/>
      <c r="S16" s="706"/>
      <c r="T16" s="705"/>
      <c r="U16" s="706"/>
      <c r="V16" s="705"/>
      <c r="W16" s="706"/>
      <c r="X16" s="1355"/>
      <c r="Y16" s="373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3"/>
      <c r="Q17" s="1352" t="str">
        <f>B17</f>
        <v>交通便捷度</v>
      </c>
      <c r="R17" s="705" t="s">
        <v>14</v>
      </c>
      <c r="S17" s="706">
        <f>F17</f>
        <v>100</v>
      </c>
      <c r="T17" s="705" t="s">
        <v>14</v>
      </c>
      <c r="U17" s="706">
        <f>H17</f>
        <v>100</v>
      </c>
      <c r="V17" s="705" t="s">
        <v>14</v>
      </c>
      <c r="W17" s="706">
        <f>J17</f>
        <v>100</v>
      </c>
      <c r="X17" s="1355"/>
      <c r="Y17" s="373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3"/>
      <c r="Q18" s="1352"/>
      <c r="R18" s="705"/>
      <c r="S18" s="706"/>
      <c r="T18" s="705"/>
      <c r="U18" s="706"/>
      <c r="V18" s="705"/>
      <c r="W18" s="706"/>
      <c r="X18" s="1355"/>
      <c r="Y18" s="373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3"/>
      <c r="Q19" s="1352" t="str">
        <f>B19</f>
        <v>公共配套设施</v>
      </c>
      <c r="R19" s="705" t="s">
        <v>14</v>
      </c>
      <c r="S19" s="706">
        <f>F19</f>
        <v>100</v>
      </c>
      <c r="T19" s="705" t="s">
        <v>14</v>
      </c>
      <c r="U19" s="706">
        <f>H19</f>
        <v>100</v>
      </c>
      <c r="V19" s="705" t="s">
        <v>14</v>
      </c>
      <c r="W19" s="706">
        <f>J19</f>
        <v>100</v>
      </c>
      <c r="X19" s="1355"/>
      <c r="Y19" s="373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3"/>
      <c r="Q20" s="1352"/>
      <c r="R20" s="705"/>
      <c r="S20" s="706"/>
      <c r="T20" s="705"/>
      <c r="U20" s="706"/>
      <c r="V20" s="705"/>
      <c r="W20" s="706"/>
      <c r="X20" s="1355"/>
      <c r="Y20" s="373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3"/>
      <c r="Q21" s="1352" t="str">
        <f>B21</f>
        <v>基础设施水平</v>
      </c>
      <c r="R21" s="705" t="s">
        <v>14</v>
      </c>
      <c r="S21" s="706">
        <f>F21</f>
        <v>100</v>
      </c>
      <c r="T21" s="705" t="s">
        <v>14</v>
      </c>
      <c r="U21" s="706">
        <f>H21</f>
        <v>100</v>
      </c>
      <c r="V21" s="705" t="s">
        <v>14</v>
      </c>
      <c r="W21" s="706">
        <f>J21</f>
        <v>100</v>
      </c>
      <c r="X21" s="1355"/>
      <c r="Y21" s="373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3"/>
      <c r="Q22" s="1352"/>
      <c r="R22" s="705"/>
      <c r="S22" s="706"/>
      <c r="T22" s="705"/>
      <c r="U22" s="706"/>
      <c r="V22" s="705"/>
      <c r="W22" s="706"/>
      <c r="X22" s="1355"/>
      <c r="Y22" s="373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3"/>
      <c r="Q23" s="1352" t="str">
        <f>B23</f>
        <v>环境质量</v>
      </c>
      <c r="R23" s="705" t="s">
        <v>14</v>
      </c>
      <c r="S23" s="706">
        <f>F23</f>
        <v>100</v>
      </c>
      <c r="T23" s="705" t="s">
        <v>14</v>
      </c>
      <c r="U23" s="706">
        <f>H23</f>
        <v>100</v>
      </c>
      <c r="V23" s="705" t="s">
        <v>14</v>
      </c>
      <c r="W23" s="706">
        <f>J23</f>
        <v>100</v>
      </c>
      <c r="X23" s="1355"/>
      <c r="Y23" s="373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3"/>
      <c r="Q24" s="1352"/>
      <c r="R24" s="705"/>
      <c r="S24" s="706"/>
      <c r="T24" s="705"/>
      <c r="U24" s="706"/>
      <c r="V24" s="705"/>
      <c r="W24" s="706"/>
      <c r="X24" s="1355"/>
      <c r="Y24" s="373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3"/>
      <c r="Q25" s="1352">
        <f>B25</f>
        <v>111</v>
      </c>
      <c r="R25" s="705" t="s">
        <v>14</v>
      </c>
      <c r="S25" s="706">
        <f>F25</f>
        <v>100</v>
      </c>
      <c r="T25" s="705" t="s">
        <v>14</v>
      </c>
      <c r="U25" s="706">
        <f>H25</f>
        <v>100</v>
      </c>
      <c r="V25" s="705" t="s">
        <v>14</v>
      </c>
      <c r="W25" s="706">
        <f>J25</f>
        <v>100</v>
      </c>
      <c r="X25" s="1355"/>
      <c r="Y25" s="373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3"/>
      <c r="Q26" s="1352">
        <f t="shared" ref="Q26:Q40" si="11">B26</f>
        <v>111</v>
      </c>
      <c r="R26" s="705" t="s">
        <v>14</v>
      </c>
      <c r="S26" s="706">
        <f>F26</f>
        <v>100</v>
      </c>
      <c r="T26" s="705" t="s">
        <v>14</v>
      </c>
      <c r="U26" s="706">
        <f>H26</f>
        <v>100</v>
      </c>
      <c r="V26" s="705" t="s">
        <v>14</v>
      </c>
      <c r="W26" s="706">
        <f>J26</f>
        <v>100</v>
      </c>
      <c r="X26" s="1355"/>
      <c r="Y26" s="373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3"/>
      <c r="Q27" s="1343">
        <f t="shared" si="11"/>
        <v>111</v>
      </c>
      <c r="R27" s="701" t="s">
        <v>14</v>
      </c>
      <c r="S27" s="702">
        <f>F27</f>
        <v>100</v>
      </c>
      <c r="T27" s="701" t="s">
        <v>14</v>
      </c>
      <c r="U27" s="702">
        <f>H27</f>
        <v>100</v>
      </c>
      <c r="V27" s="701" t="s">
        <v>14</v>
      </c>
      <c r="W27" s="702">
        <f>J27</f>
        <v>100</v>
      </c>
      <c r="X27" s="703"/>
      <c r="Y27" s="373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3"/>
      <c r="Q28" s="1352">
        <f t="shared" si="11"/>
        <v>111</v>
      </c>
      <c r="R28" s="705" t="s">
        <v>14</v>
      </c>
      <c r="S28" s="706">
        <f t="shared" ref="S28:S40" si="12">F28</f>
        <v>100</v>
      </c>
      <c r="T28" s="705" t="s">
        <v>14</v>
      </c>
      <c r="U28" s="706">
        <f t="shared" ref="U28:U40" si="13">H28</f>
        <v>100</v>
      </c>
      <c r="V28" s="705" t="s">
        <v>14</v>
      </c>
      <c r="W28" s="706">
        <f t="shared" ref="W28:W40" si="14">J28</f>
        <v>100</v>
      </c>
      <c r="X28" s="1355"/>
      <c r="Y28" s="3733"/>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6" t="s">
        <v>1696</v>
      </c>
      <c r="Q29" s="1352" t="str">
        <f t="shared" si="11"/>
        <v>建筑类型</v>
      </c>
      <c r="R29" s="705" t="s">
        <v>14</v>
      </c>
      <c r="S29" s="706">
        <f t="shared" si="12"/>
        <v>100</v>
      </c>
      <c r="T29" s="705" t="s">
        <v>14</v>
      </c>
      <c r="U29" s="706">
        <f t="shared" si="13"/>
        <v>100</v>
      </c>
      <c r="V29" s="705" t="s">
        <v>14</v>
      </c>
      <c r="W29" s="706">
        <f t="shared" si="14"/>
        <v>100</v>
      </c>
      <c r="X29" s="1355"/>
      <c r="Y29" s="373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7"/>
      <c r="Q30" s="707" t="str">
        <f t="shared" si="11"/>
        <v>项目建筑规模</v>
      </c>
      <c r="R30" s="708" t="s">
        <v>14</v>
      </c>
      <c r="S30" s="709" t="e">
        <f t="shared" si="12"/>
        <v>#N/A</v>
      </c>
      <c r="T30" s="708" t="s">
        <v>14</v>
      </c>
      <c r="U30" s="709" t="e">
        <f t="shared" si="13"/>
        <v>#N/A</v>
      </c>
      <c r="V30" s="708" t="s">
        <v>14</v>
      </c>
      <c r="W30" s="709" t="e">
        <f t="shared" si="14"/>
        <v>#N/A</v>
      </c>
      <c r="X30" s="710"/>
      <c r="Y30" s="373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7"/>
      <c r="Q31" s="1352" t="str">
        <f t="shared" si="11"/>
        <v>建筑结构</v>
      </c>
      <c r="R31" s="705" t="s">
        <v>14</v>
      </c>
      <c r="S31" s="706">
        <f t="shared" si="12"/>
        <v>100</v>
      </c>
      <c r="T31" s="705" t="s">
        <v>14</v>
      </c>
      <c r="U31" s="706">
        <f t="shared" si="13"/>
        <v>100</v>
      </c>
      <c r="V31" s="705" t="s">
        <v>14</v>
      </c>
      <c r="W31" s="706">
        <f t="shared" si="14"/>
        <v>100</v>
      </c>
      <c r="X31" s="1355"/>
      <c r="Y31" s="373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7"/>
      <c r="Q32" s="1352" t="str">
        <f t="shared" si="11"/>
        <v>公共部分装修</v>
      </c>
      <c r="R32" s="705" t="s">
        <v>14</v>
      </c>
      <c r="S32" s="706">
        <f t="shared" si="12"/>
        <v>100</v>
      </c>
      <c r="T32" s="705" t="s">
        <v>14</v>
      </c>
      <c r="U32" s="706">
        <f t="shared" si="13"/>
        <v>100</v>
      </c>
      <c r="V32" s="705" t="s">
        <v>14</v>
      </c>
      <c r="W32" s="706">
        <f t="shared" si="14"/>
        <v>100</v>
      </c>
      <c r="X32" s="1355"/>
      <c r="Y32" s="373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7"/>
      <c r="Q33" s="1352" t="str">
        <f t="shared" si="11"/>
        <v>成新度</v>
      </c>
      <c r="R33" s="705" t="s">
        <v>14</v>
      </c>
      <c r="S33" s="706" t="e">
        <f t="shared" si="12"/>
        <v>#N/A</v>
      </c>
      <c r="T33" s="705" t="s">
        <v>14</v>
      </c>
      <c r="U33" s="706" t="e">
        <f t="shared" si="13"/>
        <v>#N/A</v>
      </c>
      <c r="V33" s="705" t="s">
        <v>14</v>
      </c>
      <c r="W33" s="706" t="e">
        <f t="shared" si="14"/>
        <v>#N/A</v>
      </c>
      <c r="X33" s="1355"/>
      <c r="Y33" s="373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7"/>
      <c r="Q34" s="1343" t="str">
        <f t="shared" si="11"/>
        <v>物业管理</v>
      </c>
      <c r="R34" s="701" t="s">
        <v>14</v>
      </c>
      <c r="S34" s="702">
        <f t="shared" si="12"/>
        <v>100</v>
      </c>
      <c r="T34" s="701" t="s">
        <v>14</v>
      </c>
      <c r="U34" s="702">
        <f t="shared" si="13"/>
        <v>100</v>
      </c>
      <c r="V34" s="701" t="s">
        <v>14</v>
      </c>
      <c r="W34" s="702">
        <f t="shared" si="14"/>
        <v>100</v>
      </c>
      <c r="X34" s="703"/>
      <c r="Y34" s="373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7" t="s">
        <v>1696</v>
      </c>
      <c r="Q35" s="1352" t="str">
        <f t="shared" si="11"/>
        <v>市政基础设施</v>
      </c>
      <c r="R35" s="705" t="s">
        <v>14</v>
      </c>
      <c r="S35" s="706">
        <f t="shared" si="12"/>
        <v>100</v>
      </c>
      <c r="T35" s="705" t="s">
        <v>14</v>
      </c>
      <c r="U35" s="706">
        <f t="shared" si="13"/>
        <v>100</v>
      </c>
      <c r="V35" s="705" t="s">
        <v>14</v>
      </c>
      <c r="W35" s="706">
        <f t="shared" si="14"/>
        <v>100</v>
      </c>
      <c r="X35" s="1355"/>
      <c r="Y35" s="373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7"/>
      <c r="Q36" s="1352" t="str">
        <f t="shared" si="11"/>
        <v>内部装修</v>
      </c>
      <c r="R36" s="705" t="s">
        <v>14</v>
      </c>
      <c r="S36" s="706">
        <f t="shared" si="12"/>
        <v>100</v>
      </c>
      <c r="T36" s="705" t="s">
        <v>14</v>
      </c>
      <c r="U36" s="706">
        <f t="shared" si="13"/>
        <v>100</v>
      </c>
      <c r="V36" s="705" t="s">
        <v>14</v>
      </c>
      <c r="W36" s="706">
        <f t="shared" si="14"/>
        <v>100</v>
      </c>
      <c r="X36" s="1355"/>
      <c r="Y36" s="373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7"/>
      <c r="Q37" s="1352" t="str">
        <f t="shared" si="11"/>
        <v>内部装修状况</v>
      </c>
      <c r="R37" s="705" t="s">
        <v>14</v>
      </c>
      <c r="S37" s="706">
        <f t="shared" si="12"/>
        <v>100</v>
      </c>
      <c r="T37" s="705" t="s">
        <v>14</v>
      </c>
      <c r="U37" s="706">
        <f t="shared" si="13"/>
        <v>100</v>
      </c>
      <c r="V37" s="705" t="s">
        <v>14</v>
      </c>
      <c r="W37" s="706">
        <f t="shared" si="14"/>
        <v>100</v>
      </c>
      <c r="X37" s="1355"/>
      <c r="Y37" s="373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7"/>
      <c r="Q38" s="707">
        <f t="shared" si="11"/>
        <v>111</v>
      </c>
      <c r="R38" s="708" t="s">
        <v>14</v>
      </c>
      <c r="S38" s="709">
        <f t="shared" si="12"/>
        <v>100</v>
      </c>
      <c r="T38" s="708" t="s">
        <v>14</v>
      </c>
      <c r="U38" s="709">
        <f t="shared" si="13"/>
        <v>100</v>
      </c>
      <c r="V38" s="708" t="s">
        <v>14</v>
      </c>
      <c r="W38" s="709">
        <f t="shared" si="14"/>
        <v>100</v>
      </c>
      <c r="X38" s="710"/>
      <c r="Y38" s="373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7"/>
      <c r="Q39" s="1352">
        <f t="shared" si="11"/>
        <v>111</v>
      </c>
      <c r="R39" s="705" t="s">
        <v>14</v>
      </c>
      <c r="S39" s="706">
        <f t="shared" si="12"/>
        <v>100</v>
      </c>
      <c r="T39" s="705" t="s">
        <v>14</v>
      </c>
      <c r="U39" s="706">
        <f t="shared" si="13"/>
        <v>100</v>
      </c>
      <c r="V39" s="705" t="s">
        <v>14</v>
      </c>
      <c r="W39" s="706">
        <f t="shared" si="14"/>
        <v>100</v>
      </c>
      <c r="X39" s="1355"/>
      <c r="Y39" s="373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8"/>
      <c r="Q40" s="1352">
        <f t="shared" si="11"/>
        <v>111</v>
      </c>
      <c r="R40" s="705" t="s">
        <v>14</v>
      </c>
      <c r="S40" s="706">
        <f t="shared" si="12"/>
        <v>100</v>
      </c>
      <c r="T40" s="705" t="s">
        <v>14</v>
      </c>
      <c r="U40" s="706">
        <f t="shared" si="13"/>
        <v>100</v>
      </c>
      <c r="V40" s="705" t="s">
        <v>14</v>
      </c>
      <c r="W40" s="706">
        <f t="shared" si="14"/>
        <v>100</v>
      </c>
      <c r="X40" s="1355"/>
      <c r="Y40" s="373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30" t="str">
        <f>A41</f>
        <v>成交单价（元/平方米）</v>
      </c>
      <c r="Q41" s="3730"/>
      <c r="R41" s="3731">
        <f>E41</f>
        <v>0</v>
      </c>
      <c r="S41" s="3731"/>
      <c r="T41" s="3731">
        <f>G41</f>
        <v>0</v>
      </c>
      <c r="U41" s="3731"/>
      <c r="V41" s="3731">
        <f>I41</f>
        <v>0</v>
      </c>
      <c r="W41" s="3731"/>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30" t="str">
        <f>A42</f>
        <v>比较价值（元/平方米）</v>
      </c>
      <c r="Q42" s="3730"/>
      <c r="R42" s="3731" t="e">
        <f>IF(F1="售价",ROUND(PRODUCT(R41,AA7:AA40),0),ROUND(PRODUCT(R41,AA7:AA40),1))</f>
        <v>#DIV/0!</v>
      </c>
      <c r="S42" s="3731"/>
      <c r="T42" s="3731" t="e">
        <f>IF(F1="售价",ROUND(PRODUCT(T41,AB7:AB40),0),ROUND(PRODUCT(T41,AB7:AB40),1))</f>
        <v>#DIV/0!</v>
      </c>
      <c r="U42" s="3731"/>
      <c r="V42" s="3731" t="e">
        <f>IF(F1="售价",ROUND(PRODUCT(V41,AC7:AC40),0),ROUND(PRODUCT(V41,AC7:AC40),1))</f>
        <v>#DIV/0!</v>
      </c>
      <c r="W42" s="373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7" t="str">
        <f>A43</f>
        <v>估价对象XX用房的比较价值（楼面单价，元/平方米）</v>
      </c>
      <c r="Q43" s="3728"/>
      <c r="R43" s="3729" t="e">
        <f>IF(F1="售价",ROUND(IF(D42="简单平均",AVERAGE(R42:V42),R42*F42+T42*H42+V42*J42),0),ROUND(IF(D42="简单平均",AVERAGE(R42:V42),R42*F42+T42*H42+V42*J42),1))</f>
        <v>#DIV/0!</v>
      </c>
      <c r="S43" s="3729"/>
      <c r="T43" s="3729"/>
      <c r="U43" s="3729"/>
      <c r="V43" s="3729"/>
      <c r="W43" s="3729"/>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2025-12</v>
      </c>
      <c r="D52" s="1185">
        <f>EDATE(C52,-1)</f>
        <v>45962</v>
      </c>
      <c r="E52" s="1185">
        <f t="shared" ref="E52:O52" si="16">EDATE(D52,-1)</f>
        <v>45931</v>
      </c>
      <c r="F52" s="1185">
        <f t="shared" si="16"/>
        <v>45901</v>
      </c>
      <c r="G52" s="1185">
        <f t="shared" si="16"/>
        <v>45870</v>
      </c>
      <c r="H52" s="1185">
        <f t="shared" si="16"/>
        <v>45839</v>
      </c>
      <c r="I52" s="1185">
        <f t="shared" si="16"/>
        <v>45809</v>
      </c>
      <c r="J52" s="1185">
        <f t="shared" si="16"/>
        <v>45778</v>
      </c>
      <c r="K52" s="1185">
        <f t="shared" si="16"/>
        <v>45748</v>
      </c>
      <c r="L52" s="1185">
        <f t="shared" si="16"/>
        <v>45717</v>
      </c>
      <c r="M52" s="1185">
        <f t="shared" si="16"/>
        <v>45689</v>
      </c>
      <c r="N52" s="1185">
        <f t="shared" si="16"/>
        <v>45658</v>
      </c>
      <c r="O52" s="1185">
        <f t="shared" si="16"/>
        <v>45627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受贵公司委托，我公司对北京市西坝河中里21号楼房地产抵押价值进行了预评估。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估价对象为北京市西坝河中里21号楼房地产，为北京世纪华娜服装有限公司所有。根据《国有土地使用证》[]，估价对象（分摊）出让国有建设用地使用权面积为208.73平方米，建筑面积为662.27平方米。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坝河中里21号楼房地产,属北京世纪华娜服装有限公司开发建设的，该项目尚在开发建设中。根据《国有土地使用证》[]，估价对象（分摊）出让国有建设用地使用权面积为208.73平方米，规划建筑面积为662.27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西坝河中里21号楼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2025年12月5日（评估专业人员实地查勘之日）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713" t="s">
        <v>1770</v>
      </c>
      <c r="D4" s="3714"/>
      <c r="E4" s="3715" t="s">
        <v>1771</v>
      </c>
      <c r="F4" s="3716"/>
      <c r="G4" s="3713" t="s">
        <v>1772</v>
      </c>
      <c r="H4" s="3714"/>
      <c r="I4" s="3713" t="s">
        <v>1773</v>
      </c>
      <c r="J4" s="3714"/>
      <c r="K4" s="559" t="s">
        <v>1774</v>
      </c>
      <c r="L4" s="2714"/>
      <c r="M4" s="2715"/>
      <c r="N4" s="2715"/>
      <c r="O4" s="2715"/>
      <c r="P4" s="3717" t="s">
        <v>1775</v>
      </c>
      <c r="Q4" s="3718"/>
      <c r="R4" s="3700" t="s">
        <v>1771</v>
      </c>
      <c r="S4" s="3701"/>
      <c r="T4" s="3700" t="s">
        <v>1772</v>
      </c>
      <c r="U4" s="3701"/>
      <c r="V4" s="3725" t="s">
        <v>1773</v>
      </c>
      <c r="W4" s="3725"/>
      <c r="X4" s="1355"/>
      <c r="Y4" s="3700" t="s">
        <v>1775</v>
      </c>
      <c r="Z4" s="3701"/>
      <c r="AA4" s="3695" t="s">
        <v>1771</v>
      </c>
      <c r="AB4" s="3696" t="s">
        <v>1772</v>
      </c>
      <c r="AC4" s="3695" t="s">
        <v>1773</v>
      </c>
    </row>
    <row r="5" spans="1:29" ht="15">
      <c r="A5" s="358"/>
      <c r="B5" s="359"/>
      <c r="C5" s="3706" t="s">
        <v>1673</v>
      </c>
      <c r="D5" s="3707"/>
      <c r="E5" s="3704" t="s">
        <v>1674</v>
      </c>
      <c r="F5" s="3705"/>
      <c r="G5" s="3706" t="s">
        <v>1675</v>
      </c>
      <c r="H5" s="3707"/>
      <c r="I5" s="3706" t="s">
        <v>1676</v>
      </c>
      <c r="J5" s="3707"/>
      <c r="K5" s="559"/>
      <c r="L5" s="2714"/>
      <c r="M5" s="2715"/>
      <c r="N5" s="2715"/>
      <c r="O5" s="2715"/>
      <c r="P5" s="3719"/>
      <c r="Q5" s="3720"/>
      <c r="R5" s="3702"/>
      <c r="S5" s="3703"/>
      <c r="T5" s="3702"/>
      <c r="U5" s="3703"/>
      <c r="V5" s="3725"/>
      <c r="W5" s="3725"/>
      <c r="X5" s="1355"/>
      <c r="Y5" s="3702"/>
      <c r="Z5" s="3703"/>
      <c r="AA5" s="3696"/>
      <c r="AB5" s="3696"/>
      <c r="AC5" s="3696"/>
    </row>
    <row r="6" spans="1:29" ht="15.75" thickBot="1">
      <c r="A6" s="360"/>
      <c r="B6" s="361"/>
      <c r="C6" s="3708" t="s">
        <v>1677</v>
      </c>
      <c r="D6" s="3709"/>
      <c r="E6" s="3710" t="s">
        <v>1677</v>
      </c>
      <c r="F6" s="3711"/>
      <c r="G6" s="3708" t="s">
        <v>1677</v>
      </c>
      <c r="H6" s="3709"/>
      <c r="I6" s="3708" t="s">
        <v>1677</v>
      </c>
      <c r="J6" s="3709"/>
      <c r="K6" s="559" t="s">
        <v>1678</v>
      </c>
      <c r="L6" s="2714"/>
      <c r="M6" s="2715"/>
      <c r="N6" s="2715"/>
      <c r="O6" s="2715"/>
      <c r="P6" s="3721"/>
      <c r="Q6" s="3722"/>
      <c r="R6" s="3702"/>
      <c r="S6" s="3703"/>
      <c r="T6" s="3723"/>
      <c r="U6" s="3724"/>
      <c r="V6" s="3725"/>
      <c r="W6" s="3725"/>
      <c r="X6" s="1355"/>
      <c r="Y6" s="3723"/>
      <c r="Z6" s="3724"/>
      <c r="AA6" s="3697"/>
      <c r="AB6" s="3697"/>
      <c r="AC6" s="3697"/>
    </row>
    <row r="7" spans="1:29" s="108" customFormat="1" ht="15.75" thickBot="1">
      <c r="A7" s="362" t="s">
        <v>1679</v>
      </c>
      <c r="B7" s="363"/>
      <c r="C7" s="364">
        <f>'数据-取费表'!B2</f>
        <v>45996</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98" t="s">
        <v>1680</v>
      </c>
      <c r="Q7" s="3726"/>
      <c r="R7" s="701" t="s">
        <v>14</v>
      </c>
      <c r="S7" s="702">
        <f t="shared" ref="S7:S14" si="0">F7</f>
        <v>0</v>
      </c>
      <c r="T7" s="701" t="s">
        <v>14</v>
      </c>
      <c r="U7" s="702">
        <f t="shared" ref="U7:U14" si="1">H7</f>
        <v>0</v>
      </c>
      <c r="V7" s="701" t="s">
        <v>14</v>
      </c>
      <c r="W7" s="702">
        <f t="shared" ref="W7:W14" si="2">J7</f>
        <v>0</v>
      </c>
      <c r="X7" s="703"/>
      <c r="Y7" s="3698" t="s">
        <v>1680</v>
      </c>
      <c r="Z7" s="369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98" t="s">
        <v>1683</v>
      </c>
      <c r="Q8" s="3699"/>
      <c r="R8" s="701" t="s">
        <v>14</v>
      </c>
      <c r="S8" s="702">
        <f t="shared" si="0"/>
        <v>100</v>
      </c>
      <c r="T8" s="701" t="s">
        <v>14</v>
      </c>
      <c r="U8" s="702">
        <f t="shared" si="1"/>
        <v>100</v>
      </c>
      <c r="V8" s="701" t="s">
        <v>14</v>
      </c>
      <c r="W8" s="702">
        <f t="shared" si="2"/>
        <v>100</v>
      </c>
      <c r="X8" s="703"/>
      <c r="Y8" s="3698" t="s">
        <v>1683</v>
      </c>
      <c r="Z8" s="369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30" t="s">
        <v>1686</v>
      </c>
      <c r="Q9" s="1343" t="str">
        <f t="shared" ref="Q9:Q14" si="6">B9</f>
        <v>用途</v>
      </c>
      <c r="R9" s="701" t="s">
        <v>14</v>
      </c>
      <c r="S9" s="702">
        <f t="shared" si="0"/>
        <v>100</v>
      </c>
      <c r="T9" s="701" t="s">
        <v>14</v>
      </c>
      <c r="U9" s="702">
        <f t="shared" si="1"/>
        <v>100</v>
      </c>
      <c r="V9" s="701" t="s">
        <v>14</v>
      </c>
      <c r="W9" s="702">
        <f t="shared" si="2"/>
        <v>100</v>
      </c>
      <c r="X9" s="703"/>
      <c r="Y9" s="3642"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30"/>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30"/>
      <c r="Q11" s="1343">
        <f t="shared" si="6"/>
        <v>111</v>
      </c>
      <c r="R11" s="701" t="s">
        <v>14</v>
      </c>
      <c r="S11" s="702">
        <f t="shared" si="0"/>
        <v>100</v>
      </c>
      <c r="T11" s="701" t="s">
        <v>14</v>
      </c>
      <c r="U11" s="702">
        <f t="shared" si="1"/>
        <v>100</v>
      </c>
      <c r="V11" s="701" t="s">
        <v>14</v>
      </c>
      <c r="W11" s="702">
        <f t="shared" si="2"/>
        <v>100</v>
      </c>
      <c r="X11" s="703"/>
      <c r="Y11" s="364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30"/>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30"/>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32" t="s">
        <v>1691</v>
      </c>
      <c r="Q14" s="1352" t="str">
        <f t="shared" si="6"/>
        <v>交通便捷度</v>
      </c>
      <c r="R14" s="705" t="s">
        <v>14</v>
      </c>
      <c r="S14" s="706">
        <f t="shared" si="0"/>
        <v>100</v>
      </c>
      <c r="T14" s="705" t="s">
        <v>14</v>
      </c>
      <c r="U14" s="706">
        <f t="shared" si="1"/>
        <v>100</v>
      </c>
      <c r="V14" s="705" t="s">
        <v>14</v>
      </c>
      <c r="W14" s="706">
        <f t="shared" si="2"/>
        <v>100</v>
      </c>
      <c r="X14" s="1355"/>
      <c r="Y14" s="373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33"/>
      <c r="Q15" s="1352"/>
      <c r="R15" s="705"/>
      <c r="S15" s="706"/>
      <c r="T15" s="705"/>
      <c r="U15" s="706"/>
      <c r="V15" s="705"/>
      <c r="W15" s="706"/>
      <c r="X15" s="1355"/>
      <c r="Y15" s="3733"/>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33"/>
      <c r="Q16" s="1352" t="str">
        <f>B16</f>
        <v>公共配套设施</v>
      </c>
      <c r="R16" s="705" t="s">
        <v>14</v>
      </c>
      <c r="S16" s="706">
        <f>F16</f>
        <v>100</v>
      </c>
      <c r="T16" s="705" t="s">
        <v>14</v>
      </c>
      <c r="U16" s="706">
        <f>H16</f>
        <v>100</v>
      </c>
      <c r="V16" s="705" t="s">
        <v>14</v>
      </c>
      <c r="W16" s="706">
        <f>J16</f>
        <v>100</v>
      </c>
      <c r="X16" s="1355"/>
      <c r="Y16" s="373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33"/>
      <c r="Q17" s="1352"/>
      <c r="R17" s="705"/>
      <c r="S17" s="706"/>
      <c r="T17" s="705"/>
      <c r="U17" s="706"/>
      <c r="V17" s="705"/>
      <c r="W17" s="706"/>
      <c r="X17" s="1355"/>
      <c r="Y17" s="3733"/>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33"/>
      <c r="Q18" s="1352" t="str">
        <f>B18</f>
        <v>基础设施水平</v>
      </c>
      <c r="R18" s="705" t="s">
        <v>14</v>
      </c>
      <c r="S18" s="706">
        <f>F18</f>
        <v>100</v>
      </c>
      <c r="T18" s="705" t="s">
        <v>14</v>
      </c>
      <c r="U18" s="706">
        <f>H18</f>
        <v>100</v>
      </c>
      <c r="V18" s="705" t="s">
        <v>14</v>
      </c>
      <c r="W18" s="706">
        <f>J18</f>
        <v>100</v>
      </c>
      <c r="X18" s="1355"/>
      <c r="Y18" s="373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33"/>
      <c r="Q19" s="1352"/>
      <c r="R19" s="705"/>
      <c r="S19" s="706"/>
      <c r="T19" s="705"/>
      <c r="U19" s="706"/>
      <c r="V19" s="705"/>
      <c r="W19" s="706"/>
      <c r="X19" s="1355"/>
      <c r="Y19" s="3733"/>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33"/>
      <c r="Q20" s="1352" t="str">
        <f>B20</f>
        <v>自然及人文环境</v>
      </c>
      <c r="R20" s="705" t="s">
        <v>14</v>
      </c>
      <c r="S20" s="706">
        <f>F20</f>
        <v>100</v>
      </c>
      <c r="T20" s="705" t="s">
        <v>14</v>
      </c>
      <c r="U20" s="706">
        <f>H20</f>
        <v>100</v>
      </c>
      <c r="V20" s="705" t="s">
        <v>14</v>
      </c>
      <c r="W20" s="706">
        <f>J20</f>
        <v>100</v>
      </c>
      <c r="X20" s="1355"/>
      <c r="Y20" s="373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33"/>
      <c r="Q21" s="1352"/>
      <c r="R21" s="705"/>
      <c r="S21" s="706"/>
      <c r="T21" s="705"/>
      <c r="U21" s="706"/>
      <c r="V21" s="705"/>
      <c r="W21" s="706"/>
      <c r="X21" s="1355"/>
      <c r="Y21" s="373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33"/>
      <c r="Q22" s="1352" t="str">
        <f>B22</f>
        <v>楼层</v>
      </c>
      <c r="R22" s="705" t="s">
        <v>14</v>
      </c>
      <c r="S22" s="706">
        <f>F22</f>
        <v>100</v>
      </c>
      <c r="T22" s="705" t="s">
        <v>14</v>
      </c>
      <c r="U22" s="706">
        <f>H22</f>
        <v>100</v>
      </c>
      <c r="V22" s="705" t="s">
        <v>14</v>
      </c>
      <c r="W22" s="706">
        <f>J22</f>
        <v>100</v>
      </c>
      <c r="X22" s="1355"/>
      <c r="Y22" s="373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33"/>
      <c r="Q23" s="1352">
        <f>B23</f>
        <v>111</v>
      </c>
      <c r="R23" s="705" t="s">
        <v>14</v>
      </c>
      <c r="S23" s="706">
        <f>F23</f>
        <v>100</v>
      </c>
      <c r="T23" s="705" t="s">
        <v>14</v>
      </c>
      <c r="U23" s="706">
        <f>H23</f>
        <v>100</v>
      </c>
      <c r="V23" s="705" t="s">
        <v>14</v>
      </c>
      <c r="W23" s="706">
        <f>J23</f>
        <v>100</v>
      </c>
      <c r="X23" s="1355"/>
      <c r="Y23" s="373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33"/>
      <c r="Q24" s="1352">
        <f t="shared" ref="Q24:Q36" si="11">B24</f>
        <v>111</v>
      </c>
      <c r="R24" s="705" t="s">
        <v>14</v>
      </c>
      <c r="S24" s="706">
        <f>F24</f>
        <v>100</v>
      </c>
      <c r="T24" s="705" t="s">
        <v>14</v>
      </c>
      <c r="U24" s="706">
        <f>H24</f>
        <v>100</v>
      </c>
      <c r="V24" s="705" t="s">
        <v>14</v>
      </c>
      <c r="W24" s="706">
        <f>J24</f>
        <v>100</v>
      </c>
      <c r="X24" s="1355"/>
      <c r="Y24" s="373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33"/>
      <c r="Q25" s="1343">
        <f t="shared" si="11"/>
        <v>111</v>
      </c>
      <c r="R25" s="701" t="s">
        <v>14</v>
      </c>
      <c r="S25" s="702">
        <f>F25</f>
        <v>100</v>
      </c>
      <c r="T25" s="701" t="s">
        <v>14</v>
      </c>
      <c r="U25" s="702">
        <f>H25</f>
        <v>100</v>
      </c>
      <c r="V25" s="701" t="s">
        <v>14</v>
      </c>
      <c r="W25" s="702">
        <f>J25</f>
        <v>100</v>
      </c>
      <c r="X25" s="703"/>
      <c r="Y25" s="373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5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37"/>
      <c r="Q27" s="707" t="str">
        <f t="shared" si="11"/>
        <v>项目停车位配比</v>
      </c>
      <c r="R27" s="708" t="s">
        <v>14</v>
      </c>
      <c r="S27" s="709">
        <f t="shared" si="12"/>
        <v>100</v>
      </c>
      <c r="T27" s="708" t="s">
        <v>14</v>
      </c>
      <c r="U27" s="709">
        <f t="shared" si="13"/>
        <v>100</v>
      </c>
      <c r="V27" s="708" t="s">
        <v>14</v>
      </c>
      <c r="W27" s="709">
        <f t="shared" si="14"/>
        <v>100</v>
      </c>
      <c r="X27" s="710"/>
      <c r="Y27" s="373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37"/>
      <c r="Q28" s="1352" t="str">
        <f t="shared" si="11"/>
        <v>公共部分装修</v>
      </c>
      <c r="R28" s="705" t="s">
        <v>14</v>
      </c>
      <c r="S28" s="706">
        <f t="shared" si="12"/>
        <v>100</v>
      </c>
      <c r="T28" s="705" t="s">
        <v>14</v>
      </c>
      <c r="U28" s="706">
        <f t="shared" si="13"/>
        <v>100</v>
      </c>
      <c r="V28" s="705" t="s">
        <v>14</v>
      </c>
      <c r="W28" s="706">
        <f t="shared" si="14"/>
        <v>100</v>
      </c>
      <c r="X28" s="1355"/>
      <c r="Y28" s="373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37"/>
      <c r="Q29" s="1352" t="str">
        <f t="shared" si="11"/>
        <v>成新率</v>
      </c>
      <c r="R29" s="705" t="s">
        <v>14</v>
      </c>
      <c r="S29" s="706" t="e">
        <f t="shared" si="12"/>
        <v>#N/A</v>
      </c>
      <c r="T29" s="705" t="s">
        <v>14</v>
      </c>
      <c r="U29" s="706" t="e">
        <f t="shared" si="13"/>
        <v>#N/A</v>
      </c>
      <c r="V29" s="705" t="s">
        <v>14</v>
      </c>
      <c r="W29" s="706" t="e">
        <f t="shared" si="14"/>
        <v>#N/A</v>
      </c>
      <c r="X29" s="1355"/>
      <c r="Y29" s="373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37"/>
      <c r="Q30" s="1352" t="str">
        <f t="shared" si="11"/>
        <v>物业等级</v>
      </c>
      <c r="R30" s="705" t="s">
        <v>14</v>
      </c>
      <c r="S30" s="706">
        <f t="shared" si="12"/>
        <v>100</v>
      </c>
      <c r="T30" s="705" t="s">
        <v>14</v>
      </c>
      <c r="U30" s="706">
        <f t="shared" si="13"/>
        <v>100</v>
      </c>
      <c r="V30" s="705" t="s">
        <v>14</v>
      </c>
      <c r="W30" s="706">
        <f t="shared" si="14"/>
        <v>100</v>
      </c>
      <c r="X30" s="1355"/>
      <c r="Y30" s="373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37"/>
      <c r="Q31" s="1343" t="str">
        <f t="shared" si="11"/>
        <v>停车位面积</v>
      </c>
      <c r="R31" s="701" t="s">
        <v>14</v>
      </c>
      <c r="S31" s="702" t="e">
        <f t="shared" si="12"/>
        <v>#N/A</v>
      </c>
      <c r="T31" s="701" t="s">
        <v>14</v>
      </c>
      <c r="U31" s="702" t="e">
        <f t="shared" si="13"/>
        <v>#N/A</v>
      </c>
      <c r="V31" s="701" t="s">
        <v>14</v>
      </c>
      <c r="W31" s="702" t="e">
        <f t="shared" si="14"/>
        <v>#N/A</v>
      </c>
      <c r="X31" s="703"/>
      <c r="Y31" s="373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37" t="s">
        <v>1696</v>
      </c>
      <c r="Q32" s="1352" t="str">
        <f t="shared" si="11"/>
        <v>车位类型</v>
      </c>
      <c r="R32" s="705" t="s">
        <v>14</v>
      </c>
      <c r="S32" s="706">
        <f t="shared" si="12"/>
        <v>100</v>
      </c>
      <c r="T32" s="705" t="s">
        <v>14</v>
      </c>
      <c r="U32" s="706">
        <f t="shared" si="13"/>
        <v>100</v>
      </c>
      <c r="V32" s="705" t="s">
        <v>14</v>
      </c>
      <c r="W32" s="706">
        <f t="shared" si="14"/>
        <v>100</v>
      </c>
      <c r="X32" s="1355"/>
      <c r="Y32" s="373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37"/>
      <c r="Q33" s="1352" t="str">
        <f t="shared" si="11"/>
        <v>是否直接入户</v>
      </c>
      <c r="R33" s="705" t="s">
        <v>14</v>
      </c>
      <c r="S33" s="706">
        <f t="shared" si="12"/>
        <v>100</v>
      </c>
      <c r="T33" s="705" t="s">
        <v>14</v>
      </c>
      <c r="U33" s="706">
        <f t="shared" si="13"/>
        <v>100</v>
      </c>
      <c r="V33" s="705" t="s">
        <v>14</v>
      </c>
      <c r="W33" s="706">
        <f t="shared" si="14"/>
        <v>100</v>
      </c>
      <c r="X33" s="1355"/>
      <c r="Y33" s="373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37"/>
      <c r="Q34" s="1352">
        <f t="shared" si="11"/>
        <v>111</v>
      </c>
      <c r="R34" s="705" t="s">
        <v>14</v>
      </c>
      <c r="S34" s="706">
        <f t="shared" si="12"/>
        <v>100</v>
      </c>
      <c r="T34" s="705" t="s">
        <v>14</v>
      </c>
      <c r="U34" s="706">
        <f t="shared" si="13"/>
        <v>100</v>
      </c>
      <c r="V34" s="705" t="s">
        <v>14</v>
      </c>
      <c r="W34" s="706">
        <f t="shared" si="14"/>
        <v>100</v>
      </c>
      <c r="X34" s="1355"/>
      <c r="Y34" s="373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37"/>
      <c r="Q35" s="707">
        <f t="shared" si="11"/>
        <v>111</v>
      </c>
      <c r="R35" s="708" t="s">
        <v>14</v>
      </c>
      <c r="S35" s="709">
        <f t="shared" si="12"/>
        <v>100</v>
      </c>
      <c r="T35" s="708" t="s">
        <v>14</v>
      </c>
      <c r="U35" s="709">
        <f t="shared" si="13"/>
        <v>100</v>
      </c>
      <c r="V35" s="708" t="s">
        <v>14</v>
      </c>
      <c r="W35" s="709">
        <f t="shared" si="14"/>
        <v>100</v>
      </c>
      <c r="X35" s="710"/>
      <c r="Y35" s="373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37"/>
      <c r="Q36" s="1352">
        <f t="shared" si="11"/>
        <v>111</v>
      </c>
      <c r="R36" s="705" t="s">
        <v>14</v>
      </c>
      <c r="S36" s="706">
        <f t="shared" si="12"/>
        <v>100</v>
      </c>
      <c r="T36" s="705" t="s">
        <v>14</v>
      </c>
      <c r="U36" s="706">
        <f t="shared" si="13"/>
        <v>100</v>
      </c>
      <c r="V36" s="705" t="s">
        <v>14</v>
      </c>
      <c r="W36" s="706">
        <f t="shared" si="14"/>
        <v>100</v>
      </c>
      <c r="X36" s="1355"/>
      <c r="Y36" s="3737"/>
      <c r="Z36" s="1356">
        <f t="shared" si="15"/>
        <v>111</v>
      </c>
      <c r="AA36" s="1353">
        <f t="shared" si="3"/>
        <v>1</v>
      </c>
      <c r="AB36" s="1353">
        <f t="shared" si="4"/>
        <v>1</v>
      </c>
      <c r="AC36" s="1353">
        <f t="shared" si="5"/>
        <v>1</v>
      </c>
    </row>
    <row r="37" spans="1:29" ht="15">
      <c r="A37" s="430" t="s">
        <v>1844</v>
      </c>
      <c r="B37" s="1973" t="s">
        <v>3352</v>
      </c>
      <c r="C37" s="1154" t="s">
        <v>0</v>
      </c>
      <c r="D37" s="1155"/>
      <c r="E37" s="1156"/>
      <c r="F37" s="1157"/>
      <c r="G37" s="1158"/>
      <c r="H37" s="1159"/>
      <c r="I37" s="1156"/>
      <c r="J37" s="1159"/>
      <c r="K37" s="568"/>
      <c r="L37" s="2723"/>
      <c r="M37" s="2724"/>
      <c r="N37" s="2715"/>
      <c r="O37" s="2724"/>
      <c r="P37" s="3730" t="str">
        <f>A37</f>
        <v>成交单价</v>
      </c>
      <c r="Q37" s="3730"/>
      <c r="R37" s="3731">
        <f>E37</f>
        <v>0</v>
      </c>
      <c r="S37" s="3731"/>
      <c r="T37" s="3731">
        <f>G37</f>
        <v>0</v>
      </c>
      <c r="U37" s="3731"/>
      <c r="V37" s="3731">
        <f>I37</f>
        <v>0</v>
      </c>
      <c r="W37" s="3731"/>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730" t="str">
        <f>A38</f>
        <v>比较价值（元/平方米）</v>
      </c>
      <c r="Q38" s="3730"/>
      <c r="R38" s="3731" t="e">
        <f>IF(F1="售价",ROUND(PRODUCT(R37,AA7:AA36),0),ROUND(PRODUCT(R37,AA7:AA36),1))</f>
        <v>#DIV/0!</v>
      </c>
      <c r="S38" s="3731"/>
      <c r="T38" s="3731" t="e">
        <f>IF(F1="售价",ROUND(PRODUCT(T37,AB7:AB36),0),ROUND(PRODUCT(T37,AB7:AB36),1))</f>
        <v>#DIV/0!</v>
      </c>
      <c r="U38" s="3731"/>
      <c r="V38" s="3731" t="e">
        <f>IF(F1="售价",ROUND(PRODUCT(V37,AC7:AC36),0),ROUND(PRODUCT(V37,AC7:AC36),1))</f>
        <v>#DIV/0!</v>
      </c>
      <c r="W38" s="373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27" t="str">
        <f>A39</f>
        <v>估价对象XX用房的比较价值（楼面单价，元/平方米）</v>
      </c>
      <c r="Q39" s="3728"/>
      <c r="R39" s="3757" t="e">
        <f>IF(F1="售价",ROUND(IF(D38="简单平均",AVERAGE(R38:W38),R38*F38+T38*H38+V38*J38),0),ROUND(IF(D38="简单平均",AVERAGE(R38:V38),R38*F38+T38*H38+V38*J38),1))</f>
        <v>#DIV/0!</v>
      </c>
      <c r="S39" s="3757"/>
      <c r="T39" s="3757"/>
      <c r="U39" s="3757"/>
      <c r="V39" s="3757"/>
      <c r="W39" s="3757"/>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2025-12</v>
      </c>
      <c r="D48" s="1185">
        <f>EDATE(C48,-1)</f>
        <v>45962</v>
      </c>
      <c r="E48" s="1185">
        <f t="shared" ref="E48:O48" si="16">EDATE(D48,-1)</f>
        <v>45931</v>
      </c>
      <c r="F48" s="1185">
        <f t="shared" si="16"/>
        <v>45901</v>
      </c>
      <c r="G48" s="1185">
        <f t="shared" si="16"/>
        <v>45870</v>
      </c>
      <c r="H48" s="1185">
        <f t="shared" si="16"/>
        <v>45839</v>
      </c>
      <c r="I48" s="1185">
        <f t="shared" si="16"/>
        <v>45809</v>
      </c>
      <c r="J48" s="1185">
        <f t="shared" si="16"/>
        <v>45778</v>
      </c>
      <c r="K48" s="1185">
        <f t="shared" si="16"/>
        <v>45748</v>
      </c>
      <c r="L48" s="1185">
        <f t="shared" si="16"/>
        <v>45717</v>
      </c>
      <c r="M48" s="1185">
        <f t="shared" si="16"/>
        <v>45689</v>
      </c>
      <c r="N48" s="1185">
        <f t="shared" si="16"/>
        <v>45658</v>
      </c>
      <c r="O48" s="1185">
        <f t="shared" si="16"/>
        <v>45627</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13" t="s">
        <v>1770</v>
      </c>
      <c r="D4" s="3714"/>
      <c r="E4" s="3715" t="s">
        <v>1771</v>
      </c>
      <c r="F4" s="3716"/>
      <c r="G4" s="3713" t="s">
        <v>1772</v>
      </c>
      <c r="H4" s="3714"/>
      <c r="I4" s="3713" t="s">
        <v>1773</v>
      </c>
      <c r="J4" s="3714"/>
      <c r="K4" s="559" t="s">
        <v>1774</v>
      </c>
      <c r="L4" s="2714"/>
      <c r="M4" s="2715"/>
      <c r="N4" s="2715"/>
      <c r="O4" s="2715"/>
      <c r="P4" s="3717" t="s">
        <v>1775</v>
      </c>
      <c r="Q4" s="3718"/>
      <c r="R4" s="3700" t="s">
        <v>1771</v>
      </c>
      <c r="S4" s="3701"/>
      <c r="T4" s="3700" t="s">
        <v>1772</v>
      </c>
      <c r="U4" s="3701"/>
      <c r="V4" s="3725" t="s">
        <v>1773</v>
      </c>
      <c r="W4" s="3725"/>
      <c r="X4" s="1355"/>
      <c r="Y4" s="3700" t="s">
        <v>1775</v>
      </c>
      <c r="Z4" s="3701"/>
      <c r="AA4" s="3695" t="s">
        <v>1771</v>
      </c>
      <c r="AB4" s="3696" t="s">
        <v>1772</v>
      </c>
      <c r="AC4" s="3695" t="s">
        <v>1773</v>
      </c>
    </row>
    <row r="5" spans="1:29" ht="15">
      <c r="A5" s="358"/>
      <c r="B5" s="359"/>
      <c r="C5" s="3706" t="s">
        <v>1673</v>
      </c>
      <c r="D5" s="3707"/>
      <c r="E5" s="3704" t="s">
        <v>1674</v>
      </c>
      <c r="F5" s="3705"/>
      <c r="G5" s="3706" t="s">
        <v>1675</v>
      </c>
      <c r="H5" s="3707"/>
      <c r="I5" s="3706" t="s">
        <v>1676</v>
      </c>
      <c r="J5" s="3707"/>
      <c r="K5" s="559"/>
      <c r="L5" s="2714"/>
      <c r="M5" s="2715"/>
      <c r="N5" s="2715"/>
      <c r="O5" s="2715"/>
      <c r="P5" s="3719"/>
      <c r="Q5" s="3720"/>
      <c r="R5" s="3702"/>
      <c r="S5" s="3703"/>
      <c r="T5" s="3702"/>
      <c r="U5" s="3703"/>
      <c r="V5" s="3725"/>
      <c r="W5" s="3725"/>
      <c r="X5" s="1355"/>
      <c r="Y5" s="3702"/>
      <c r="Z5" s="3703"/>
      <c r="AA5" s="3696"/>
      <c r="AB5" s="3696"/>
      <c r="AC5" s="3696"/>
    </row>
    <row r="6" spans="1:29" ht="15.75" thickBot="1">
      <c r="A6" s="360"/>
      <c r="B6" s="361"/>
      <c r="C6" s="3708" t="s">
        <v>1677</v>
      </c>
      <c r="D6" s="3709"/>
      <c r="E6" s="3710" t="s">
        <v>1677</v>
      </c>
      <c r="F6" s="3711"/>
      <c r="G6" s="3708" t="s">
        <v>1677</v>
      </c>
      <c r="H6" s="3709"/>
      <c r="I6" s="3708" t="s">
        <v>1677</v>
      </c>
      <c r="J6" s="3709"/>
      <c r="K6" s="559" t="s">
        <v>1678</v>
      </c>
      <c r="L6" s="2714"/>
      <c r="M6" s="2715"/>
      <c r="N6" s="2715"/>
      <c r="O6" s="2715"/>
      <c r="P6" s="3721"/>
      <c r="Q6" s="3722"/>
      <c r="R6" s="3702"/>
      <c r="S6" s="3703"/>
      <c r="T6" s="3723"/>
      <c r="U6" s="3724"/>
      <c r="V6" s="3725"/>
      <c r="W6" s="3725"/>
      <c r="X6" s="1355"/>
      <c r="Y6" s="3723"/>
      <c r="Z6" s="3724"/>
      <c r="AA6" s="3697"/>
      <c r="AB6" s="3697"/>
      <c r="AC6" s="3697"/>
    </row>
    <row r="7" spans="1:29" s="108" customFormat="1" ht="15.75" thickBot="1">
      <c r="A7" s="362" t="s">
        <v>1679</v>
      </c>
      <c r="B7" s="363"/>
      <c r="C7" s="364">
        <f>'数据-取费表'!B2</f>
        <v>45996</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98" t="s">
        <v>1680</v>
      </c>
      <c r="Q7" s="3726"/>
      <c r="R7" s="701" t="s">
        <v>14</v>
      </c>
      <c r="S7" s="702">
        <f t="shared" ref="S7:S14" si="0">F7</f>
        <v>0</v>
      </c>
      <c r="T7" s="701" t="s">
        <v>14</v>
      </c>
      <c r="U7" s="702">
        <f t="shared" ref="U7:U14" si="1">H7</f>
        <v>0</v>
      </c>
      <c r="V7" s="701" t="s">
        <v>14</v>
      </c>
      <c r="W7" s="702">
        <f t="shared" ref="W7:W14" si="2">J7</f>
        <v>0</v>
      </c>
      <c r="X7" s="703"/>
      <c r="Y7" s="3698" t="s">
        <v>1680</v>
      </c>
      <c r="Z7" s="369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98" t="s">
        <v>1683</v>
      </c>
      <c r="Q8" s="3699"/>
      <c r="R8" s="701" t="s">
        <v>14</v>
      </c>
      <c r="S8" s="702">
        <f t="shared" si="0"/>
        <v>100</v>
      </c>
      <c r="T8" s="701" t="s">
        <v>14</v>
      </c>
      <c r="U8" s="702">
        <f t="shared" si="1"/>
        <v>100</v>
      </c>
      <c r="V8" s="701" t="s">
        <v>14</v>
      </c>
      <c r="W8" s="702">
        <f t="shared" si="2"/>
        <v>100</v>
      </c>
      <c r="X8" s="703"/>
      <c r="Y8" s="3698" t="s">
        <v>1683</v>
      </c>
      <c r="Z8" s="369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30" t="s">
        <v>1686</v>
      </c>
      <c r="Q9" s="1343" t="str">
        <f t="shared" ref="Q9:Q14" si="6">B9</f>
        <v>用途</v>
      </c>
      <c r="R9" s="701" t="s">
        <v>14</v>
      </c>
      <c r="S9" s="702">
        <f t="shared" si="0"/>
        <v>100</v>
      </c>
      <c r="T9" s="701" t="s">
        <v>14</v>
      </c>
      <c r="U9" s="702">
        <f t="shared" si="1"/>
        <v>100</v>
      </c>
      <c r="V9" s="701" t="s">
        <v>14</v>
      </c>
      <c r="W9" s="702">
        <f t="shared" si="2"/>
        <v>100</v>
      </c>
      <c r="X9" s="703"/>
      <c r="Y9" s="3642"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30"/>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30"/>
      <c r="Q11" s="1343">
        <f t="shared" si="6"/>
        <v>111</v>
      </c>
      <c r="R11" s="701" t="s">
        <v>14</v>
      </c>
      <c r="S11" s="702">
        <f t="shared" si="0"/>
        <v>100</v>
      </c>
      <c r="T11" s="701" t="s">
        <v>14</v>
      </c>
      <c r="U11" s="702">
        <f t="shared" si="1"/>
        <v>100</v>
      </c>
      <c r="V11" s="701" t="s">
        <v>14</v>
      </c>
      <c r="W11" s="702">
        <f t="shared" si="2"/>
        <v>100</v>
      </c>
      <c r="X11" s="703"/>
      <c r="Y11" s="364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30"/>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730"/>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32" t="s">
        <v>1691</v>
      </c>
      <c r="Q14" s="1352" t="str">
        <f t="shared" si="6"/>
        <v>交通便捷度</v>
      </c>
      <c r="R14" s="705" t="s">
        <v>14</v>
      </c>
      <c r="S14" s="706">
        <f t="shared" si="0"/>
        <v>100</v>
      </c>
      <c r="T14" s="705" t="s">
        <v>14</v>
      </c>
      <c r="U14" s="706">
        <f t="shared" si="1"/>
        <v>100</v>
      </c>
      <c r="V14" s="705" t="s">
        <v>14</v>
      </c>
      <c r="W14" s="706">
        <f t="shared" si="2"/>
        <v>100</v>
      </c>
      <c r="X14" s="1355"/>
      <c r="Y14" s="373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33"/>
      <c r="Q15" s="1352"/>
      <c r="R15" s="705"/>
      <c r="S15" s="706"/>
      <c r="T15" s="705"/>
      <c r="U15" s="706"/>
      <c r="V15" s="705"/>
      <c r="W15" s="706"/>
      <c r="X15" s="1355"/>
      <c r="Y15" s="3733"/>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33"/>
      <c r="Q16" s="1352" t="str">
        <f>B16</f>
        <v>公共配套设施</v>
      </c>
      <c r="R16" s="705" t="s">
        <v>14</v>
      </c>
      <c r="S16" s="706">
        <f>F16</f>
        <v>100</v>
      </c>
      <c r="T16" s="705" t="s">
        <v>14</v>
      </c>
      <c r="U16" s="706">
        <f>H16</f>
        <v>100</v>
      </c>
      <c r="V16" s="705" t="s">
        <v>14</v>
      </c>
      <c r="W16" s="706">
        <f>J16</f>
        <v>100</v>
      </c>
      <c r="X16" s="1355"/>
      <c r="Y16" s="373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33"/>
      <c r="Q17" s="1352"/>
      <c r="R17" s="705"/>
      <c r="S17" s="706"/>
      <c r="T17" s="705"/>
      <c r="U17" s="706"/>
      <c r="V17" s="705"/>
      <c r="W17" s="706"/>
      <c r="X17" s="1355"/>
      <c r="Y17" s="3733"/>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33"/>
      <c r="Q18" s="1352" t="str">
        <f>B18</f>
        <v>基础设施水平</v>
      </c>
      <c r="R18" s="705" t="s">
        <v>14</v>
      </c>
      <c r="S18" s="706">
        <f>F18</f>
        <v>100</v>
      </c>
      <c r="T18" s="705" t="s">
        <v>14</v>
      </c>
      <c r="U18" s="706">
        <f>H18</f>
        <v>100</v>
      </c>
      <c r="V18" s="705" t="s">
        <v>14</v>
      </c>
      <c r="W18" s="706">
        <f>J18</f>
        <v>100</v>
      </c>
      <c r="X18" s="1355"/>
      <c r="Y18" s="373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33"/>
      <c r="Q19" s="1352"/>
      <c r="R19" s="705"/>
      <c r="S19" s="706"/>
      <c r="T19" s="705"/>
      <c r="U19" s="706"/>
      <c r="V19" s="705"/>
      <c r="W19" s="706"/>
      <c r="X19" s="1355"/>
      <c r="Y19" s="3733"/>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33"/>
      <c r="Q20" s="1352" t="str">
        <f>B20</f>
        <v>自然及人文环境</v>
      </c>
      <c r="R20" s="705" t="s">
        <v>14</v>
      </c>
      <c r="S20" s="706">
        <f>F20</f>
        <v>100</v>
      </c>
      <c r="T20" s="705" t="s">
        <v>14</v>
      </c>
      <c r="U20" s="706">
        <f>H20</f>
        <v>100</v>
      </c>
      <c r="V20" s="705" t="s">
        <v>14</v>
      </c>
      <c r="W20" s="706">
        <f>J20</f>
        <v>100</v>
      </c>
      <c r="X20" s="1355"/>
      <c r="Y20" s="373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33"/>
      <c r="Q21" s="1352"/>
      <c r="R21" s="705"/>
      <c r="S21" s="706"/>
      <c r="T21" s="705"/>
      <c r="U21" s="706"/>
      <c r="V21" s="705"/>
      <c r="W21" s="706"/>
      <c r="X21" s="1355"/>
      <c r="Y21" s="373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33"/>
      <c r="Q22" s="1352" t="str">
        <f>B22</f>
        <v>楼层</v>
      </c>
      <c r="R22" s="705" t="s">
        <v>14</v>
      </c>
      <c r="S22" s="706">
        <f>F22</f>
        <v>100</v>
      </c>
      <c r="T22" s="705" t="s">
        <v>14</v>
      </c>
      <c r="U22" s="706">
        <f>H22</f>
        <v>100</v>
      </c>
      <c r="V22" s="705" t="s">
        <v>14</v>
      </c>
      <c r="W22" s="706">
        <f>J22</f>
        <v>100</v>
      </c>
      <c r="X22" s="1355"/>
      <c r="Y22" s="373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33"/>
      <c r="Q23" s="1352">
        <f>B23</f>
        <v>111</v>
      </c>
      <c r="R23" s="705" t="s">
        <v>14</v>
      </c>
      <c r="S23" s="706">
        <f>F23</f>
        <v>100</v>
      </c>
      <c r="T23" s="705" t="s">
        <v>14</v>
      </c>
      <c r="U23" s="706">
        <f>H23</f>
        <v>100</v>
      </c>
      <c r="V23" s="705" t="s">
        <v>14</v>
      </c>
      <c r="W23" s="706">
        <f>J23</f>
        <v>100</v>
      </c>
      <c r="X23" s="1355"/>
      <c r="Y23" s="373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33"/>
      <c r="Q24" s="1352">
        <f t="shared" ref="Q24:Q34" si="11">B24</f>
        <v>111</v>
      </c>
      <c r="R24" s="705" t="s">
        <v>14</v>
      </c>
      <c r="S24" s="706">
        <f>F24</f>
        <v>100</v>
      </c>
      <c r="T24" s="705" t="s">
        <v>14</v>
      </c>
      <c r="U24" s="706">
        <f>H24</f>
        <v>100</v>
      </c>
      <c r="V24" s="705" t="s">
        <v>14</v>
      </c>
      <c r="W24" s="706">
        <f>J24</f>
        <v>100</v>
      </c>
      <c r="X24" s="1355"/>
      <c r="Y24" s="373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33"/>
      <c r="Q25" s="1343">
        <f t="shared" si="11"/>
        <v>111</v>
      </c>
      <c r="R25" s="701" t="s">
        <v>14</v>
      </c>
      <c r="S25" s="702">
        <f>F25</f>
        <v>100</v>
      </c>
      <c r="T25" s="701" t="s">
        <v>14</v>
      </c>
      <c r="U25" s="702">
        <f>H25</f>
        <v>100</v>
      </c>
      <c r="V25" s="701" t="s">
        <v>14</v>
      </c>
      <c r="W25" s="702">
        <f>J25</f>
        <v>100</v>
      </c>
      <c r="X25" s="703"/>
      <c r="Y25" s="373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5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37"/>
      <c r="Q27" s="707" t="str">
        <f t="shared" si="11"/>
        <v>成新率</v>
      </c>
      <c r="R27" s="708" t="s">
        <v>14</v>
      </c>
      <c r="S27" s="709" t="e">
        <f t="shared" si="12"/>
        <v>#N/A</v>
      </c>
      <c r="T27" s="708" t="s">
        <v>14</v>
      </c>
      <c r="U27" s="709" t="e">
        <f t="shared" si="13"/>
        <v>#N/A</v>
      </c>
      <c r="V27" s="708" t="s">
        <v>14</v>
      </c>
      <c r="W27" s="709" t="e">
        <f t="shared" si="14"/>
        <v>#N/A</v>
      </c>
      <c r="X27" s="710"/>
      <c r="Y27" s="373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37"/>
      <c r="Q28" s="1352" t="str">
        <f t="shared" si="11"/>
        <v>物业等级</v>
      </c>
      <c r="R28" s="705" t="s">
        <v>14</v>
      </c>
      <c r="S28" s="706">
        <f t="shared" si="12"/>
        <v>100</v>
      </c>
      <c r="T28" s="705" t="s">
        <v>14</v>
      </c>
      <c r="U28" s="706">
        <f t="shared" si="13"/>
        <v>100</v>
      </c>
      <c r="V28" s="705" t="s">
        <v>14</v>
      </c>
      <c r="W28" s="706">
        <f t="shared" si="14"/>
        <v>100</v>
      </c>
      <c r="X28" s="1355"/>
      <c r="Y28" s="373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37"/>
      <c r="Q29" s="1352" t="str">
        <f t="shared" si="11"/>
        <v>有无电梯</v>
      </c>
      <c r="R29" s="705" t="s">
        <v>14</v>
      </c>
      <c r="S29" s="706">
        <f t="shared" si="12"/>
        <v>100</v>
      </c>
      <c r="T29" s="705" t="s">
        <v>14</v>
      </c>
      <c r="U29" s="706">
        <f t="shared" si="13"/>
        <v>100</v>
      </c>
      <c r="V29" s="705" t="s">
        <v>14</v>
      </c>
      <c r="W29" s="706">
        <f t="shared" si="14"/>
        <v>100</v>
      </c>
      <c r="X29" s="1355"/>
      <c r="Y29" s="373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37"/>
      <c r="Q30" s="1352" t="str">
        <f t="shared" si="11"/>
        <v>建筑面积</v>
      </c>
      <c r="R30" s="705" t="s">
        <v>14</v>
      </c>
      <c r="S30" s="706" t="e">
        <f t="shared" si="12"/>
        <v>#N/A</v>
      </c>
      <c r="T30" s="705" t="s">
        <v>14</v>
      </c>
      <c r="U30" s="706" t="e">
        <f t="shared" si="13"/>
        <v>#N/A</v>
      </c>
      <c r="V30" s="705" t="s">
        <v>14</v>
      </c>
      <c r="W30" s="706" t="e">
        <f t="shared" si="14"/>
        <v>#N/A</v>
      </c>
      <c r="X30" s="1355"/>
      <c r="Y30" s="373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37"/>
      <c r="Q31" s="1343" t="str">
        <f t="shared" si="11"/>
        <v>是否封闭</v>
      </c>
      <c r="R31" s="701" t="s">
        <v>14</v>
      </c>
      <c r="S31" s="702">
        <f t="shared" si="12"/>
        <v>100</v>
      </c>
      <c r="T31" s="701" t="s">
        <v>14</v>
      </c>
      <c r="U31" s="702">
        <f t="shared" si="13"/>
        <v>100</v>
      </c>
      <c r="V31" s="701" t="s">
        <v>14</v>
      </c>
      <c r="W31" s="702">
        <f t="shared" si="14"/>
        <v>100</v>
      </c>
      <c r="X31" s="703"/>
      <c r="Y31" s="373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37" t="s">
        <v>1696</v>
      </c>
      <c r="Q32" s="1352">
        <f t="shared" si="11"/>
        <v>111</v>
      </c>
      <c r="R32" s="705" t="s">
        <v>14</v>
      </c>
      <c r="S32" s="706">
        <f t="shared" si="12"/>
        <v>100</v>
      </c>
      <c r="T32" s="705" t="s">
        <v>14</v>
      </c>
      <c r="U32" s="706">
        <f t="shared" si="13"/>
        <v>100</v>
      </c>
      <c r="V32" s="705" t="s">
        <v>14</v>
      </c>
      <c r="W32" s="706">
        <f t="shared" si="14"/>
        <v>100</v>
      </c>
      <c r="X32" s="1355"/>
      <c r="Y32" s="373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37"/>
      <c r="Q33" s="1352">
        <f t="shared" si="11"/>
        <v>111</v>
      </c>
      <c r="R33" s="705" t="s">
        <v>14</v>
      </c>
      <c r="S33" s="706">
        <f t="shared" si="12"/>
        <v>100</v>
      </c>
      <c r="T33" s="705" t="s">
        <v>14</v>
      </c>
      <c r="U33" s="706">
        <f t="shared" si="13"/>
        <v>100</v>
      </c>
      <c r="V33" s="705" t="s">
        <v>14</v>
      </c>
      <c r="W33" s="706">
        <f t="shared" si="14"/>
        <v>100</v>
      </c>
      <c r="X33" s="1355"/>
      <c r="Y33" s="373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37"/>
      <c r="Q34" s="1352">
        <f t="shared" si="11"/>
        <v>111</v>
      </c>
      <c r="R34" s="705" t="s">
        <v>14</v>
      </c>
      <c r="S34" s="706">
        <f t="shared" si="12"/>
        <v>100</v>
      </c>
      <c r="T34" s="705" t="s">
        <v>14</v>
      </c>
      <c r="U34" s="706">
        <f t="shared" si="13"/>
        <v>100</v>
      </c>
      <c r="V34" s="705" t="s">
        <v>14</v>
      </c>
      <c r="W34" s="706">
        <f t="shared" si="14"/>
        <v>100</v>
      </c>
      <c r="X34" s="1355"/>
      <c r="Y34" s="373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730" t="str">
        <f>A35</f>
        <v>成交单价（元/平方米）</v>
      </c>
      <c r="Q35" s="3730"/>
      <c r="R35" s="3731">
        <f>E35</f>
        <v>0</v>
      </c>
      <c r="S35" s="3731"/>
      <c r="T35" s="3731">
        <f>G35</f>
        <v>0</v>
      </c>
      <c r="U35" s="3731"/>
      <c r="V35" s="3731">
        <f>I35</f>
        <v>0</v>
      </c>
      <c r="W35" s="373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730" t="str">
        <f>A36</f>
        <v>比较价值（元/平方米）</v>
      </c>
      <c r="Q36" s="3730"/>
      <c r="R36" s="3731" t="e">
        <f>IF(F1="售价",ROUND(PRODUCT(R35,AA7:AA34),0),ROUND(PRODUCT(R35,AA7:AA34),1))</f>
        <v>#DIV/0!</v>
      </c>
      <c r="S36" s="3731"/>
      <c r="T36" s="3731" t="e">
        <f>IF(F1="售价",ROUND(PRODUCT(T35,AB7:AB34),0),ROUND(PRODUCT(T35,AB7:AB34),1))</f>
        <v>#DIV/0!</v>
      </c>
      <c r="U36" s="3731"/>
      <c r="V36" s="3731" t="e">
        <f>IF(F1="售价",ROUND(PRODUCT(V35,AC7:AC34),0),ROUND(PRODUCT(V35,AC7:AC34),1))</f>
        <v>#DIV/0!</v>
      </c>
      <c r="W36" s="373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27" t="str">
        <f>A37</f>
        <v>估价对象XX用房的比较价值（楼面单价，元/平方米）</v>
      </c>
      <c r="Q37" s="3728"/>
      <c r="R37" s="3757" t="e">
        <f>IF(F1="售价",ROUND(IF(D36="简单平均",AVERAGE(R36:W36),R36*F36+T36*H36+V36*J36),0),ROUND(IF(D36="简单平均",AVERAGE(R36:V36),R36*F36+T36*H36+V36*J36),1))</f>
        <v>#DIV/0!</v>
      </c>
      <c r="S37" s="3757"/>
      <c r="T37" s="3757"/>
      <c r="U37" s="3757"/>
      <c r="V37" s="3757"/>
      <c r="W37" s="3757"/>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2025-12</v>
      </c>
      <c r="D46" s="1185">
        <f>EDATE(C46,-1)</f>
        <v>45962</v>
      </c>
      <c r="E46" s="1185">
        <f t="shared" ref="E46:O46" si="16">EDATE(D46,-1)</f>
        <v>45931</v>
      </c>
      <c r="F46" s="1185">
        <f t="shared" si="16"/>
        <v>45901</v>
      </c>
      <c r="G46" s="1185">
        <f t="shared" si="16"/>
        <v>45870</v>
      </c>
      <c r="H46" s="1185">
        <f t="shared" si="16"/>
        <v>45839</v>
      </c>
      <c r="I46" s="1185">
        <f t="shared" si="16"/>
        <v>45809</v>
      </c>
      <c r="J46" s="1185">
        <f t="shared" si="16"/>
        <v>45778</v>
      </c>
      <c r="K46" s="1185">
        <f t="shared" si="16"/>
        <v>45748</v>
      </c>
      <c r="L46" s="1185">
        <f t="shared" si="16"/>
        <v>45717</v>
      </c>
      <c r="M46" s="1185">
        <f t="shared" si="16"/>
        <v>45689</v>
      </c>
      <c r="N46" s="1185">
        <f t="shared" si="16"/>
        <v>45658</v>
      </c>
      <c r="O46" s="1185">
        <f t="shared" si="16"/>
        <v>45627</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713" t="s">
        <v>1770</v>
      </c>
      <c r="D4" s="3714"/>
      <c r="E4" s="3715" t="s">
        <v>1771</v>
      </c>
      <c r="F4" s="3716"/>
      <c r="G4" s="3713" t="s">
        <v>1772</v>
      </c>
      <c r="H4" s="3714"/>
      <c r="I4" s="3713" t="s">
        <v>1773</v>
      </c>
      <c r="J4" s="3714"/>
      <c r="K4" s="559" t="s">
        <v>1774</v>
      </c>
      <c r="L4" s="2714"/>
      <c r="M4" s="2715"/>
      <c r="N4" s="2715"/>
      <c r="O4" s="2715"/>
      <c r="P4" s="3717" t="s">
        <v>1775</v>
      </c>
      <c r="Q4" s="3718"/>
      <c r="R4" s="3700" t="s">
        <v>1771</v>
      </c>
      <c r="S4" s="3701"/>
      <c r="T4" s="3700" t="s">
        <v>1772</v>
      </c>
      <c r="U4" s="3701"/>
      <c r="V4" s="3725" t="s">
        <v>1773</v>
      </c>
      <c r="W4" s="3725"/>
      <c r="X4" s="1355"/>
      <c r="Y4" s="3700" t="s">
        <v>1775</v>
      </c>
      <c r="Z4" s="3701"/>
      <c r="AA4" s="3695" t="s">
        <v>1771</v>
      </c>
      <c r="AB4" s="3696" t="s">
        <v>1772</v>
      </c>
      <c r="AC4" s="3695" t="s">
        <v>1773</v>
      </c>
    </row>
    <row r="5" spans="1:30" ht="15">
      <c r="A5" s="358"/>
      <c r="B5" s="359"/>
      <c r="C5" s="3706" t="s">
        <v>1673</v>
      </c>
      <c r="D5" s="3707"/>
      <c r="E5" s="3704" t="s">
        <v>1674</v>
      </c>
      <c r="F5" s="3705"/>
      <c r="G5" s="3706" t="s">
        <v>1675</v>
      </c>
      <c r="H5" s="3707"/>
      <c r="I5" s="3706" t="s">
        <v>1676</v>
      </c>
      <c r="J5" s="3707"/>
      <c r="K5" s="559"/>
      <c r="L5" s="2714"/>
      <c r="M5" s="2715"/>
      <c r="N5" s="2715"/>
      <c r="O5" s="2715"/>
      <c r="P5" s="3719"/>
      <c r="Q5" s="3720"/>
      <c r="R5" s="3702"/>
      <c r="S5" s="3703"/>
      <c r="T5" s="3702"/>
      <c r="U5" s="3703"/>
      <c r="V5" s="3725"/>
      <c r="W5" s="3725"/>
      <c r="X5" s="1355"/>
      <c r="Y5" s="3702"/>
      <c r="Z5" s="3703"/>
      <c r="AA5" s="3696"/>
      <c r="AB5" s="3696"/>
      <c r="AC5" s="3696"/>
    </row>
    <row r="6" spans="1:30" ht="15.75" thickBot="1">
      <c r="A6" s="360"/>
      <c r="B6" s="361"/>
      <c r="C6" s="3708" t="s">
        <v>1677</v>
      </c>
      <c r="D6" s="3709"/>
      <c r="E6" s="3710" t="s">
        <v>1677</v>
      </c>
      <c r="F6" s="3711"/>
      <c r="G6" s="3708" t="s">
        <v>1677</v>
      </c>
      <c r="H6" s="3709"/>
      <c r="I6" s="3708" t="s">
        <v>1677</v>
      </c>
      <c r="J6" s="3709"/>
      <c r="K6" s="559" t="s">
        <v>1678</v>
      </c>
      <c r="L6" s="2714"/>
      <c r="M6" s="2715"/>
      <c r="N6" s="2715"/>
      <c r="O6" s="2715"/>
      <c r="P6" s="3721"/>
      <c r="Q6" s="3722"/>
      <c r="R6" s="3702"/>
      <c r="S6" s="3703"/>
      <c r="T6" s="3723"/>
      <c r="U6" s="3724"/>
      <c r="V6" s="3725"/>
      <c r="W6" s="3725"/>
      <c r="X6" s="1355"/>
      <c r="Y6" s="3723"/>
      <c r="Z6" s="3724"/>
      <c r="AA6" s="3697"/>
      <c r="AB6" s="3697"/>
      <c r="AC6" s="3697"/>
    </row>
    <row r="7" spans="1:30" s="108" customFormat="1" ht="15.75" thickBot="1">
      <c r="A7" s="362" t="s">
        <v>1679</v>
      </c>
      <c r="B7" s="363"/>
      <c r="C7" s="364">
        <f>'数据-取费表'!B2</f>
        <v>45996</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698" t="s">
        <v>1680</v>
      </c>
      <c r="Q7" s="3726"/>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98" t="s">
        <v>1683</v>
      </c>
      <c r="Q8" s="3699"/>
      <c r="R8" s="701" t="s">
        <v>14</v>
      </c>
      <c r="S8" s="702">
        <f t="shared" si="0"/>
        <v>0</v>
      </c>
      <c r="T8" s="701" t="s">
        <v>14</v>
      </c>
      <c r="U8" s="702">
        <f t="shared" si="1"/>
        <v>0</v>
      </c>
      <c r="V8" s="701" t="s">
        <v>14</v>
      </c>
      <c r="W8" s="702">
        <f t="shared" si="2"/>
        <v>0</v>
      </c>
      <c r="X8" s="703"/>
      <c r="Y8" s="3698" t="s">
        <v>1683</v>
      </c>
      <c r="Z8" s="369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730" t="s">
        <v>1686</v>
      </c>
      <c r="Q9" s="1343" t="str">
        <f t="shared" ref="Q9:Q15" si="6">B9</f>
        <v>用途</v>
      </c>
      <c r="R9" s="701" t="s">
        <v>14</v>
      </c>
      <c r="S9" s="702">
        <f t="shared" si="0"/>
        <v>100</v>
      </c>
      <c r="T9" s="701" t="s">
        <v>14</v>
      </c>
      <c r="U9" s="702">
        <f t="shared" si="1"/>
        <v>100</v>
      </c>
      <c r="V9" s="701" t="s">
        <v>14</v>
      </c>
      <c r="W9" s="702">
        <f t="shared" si="2"/>
        <v>100</v>
      </c>
      <c r="X9" s="703"/>
      <c r="Y9" s="364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130</v>
      </c>
      <c r="G10" s="414"/>
      <c r="H10" s="127">
        <f>ROUND(100/'数据-取费表'!G16,0)</f>
        <v>130</v>
      </c>
      <c r="I10" s="414"/>
      <c r="J10" s="127">
        <f>ROUND(100/'数据-取费表'!G16,0)</f>
        <v>130</v>
      </c>
      <c r="K10" s="620"/>
      <c r="L10" s="2718"/>
      <c r="M10" s="2719"/>
      <c r="N10" s="2719"/>
      <c r="O10" s="2772"/>
      <c r="P10" s="3730"/>
      <c r="Q10" s="1343" t="str">
        <f t="shared" si="6"/>
        <v>土地使用年限（年）</v>
      </c>
      <c r="R10" s="701" t="s">
        <v>14</v>
      </c>
      <c r="S10" s="702">
        <f t="shared" si="0"/>
        <v>130</v>
      </c>
      <c r="T10" s="701" t="s">
        <v>14</v>
      </c>
      <c r="U10" s="702">
        <f t="shared" si="1"/>
        <v>130</v>
      </c>
      <c r="V10" s="701" t="s">
        <v>14</v>
      </c>
      <c r="W10" s="702">
        <f t="shared" si="2"/>
        <v>130</v>
      </c>
      <c r="X10" s="703"/>
      <c r="Y10" s="3642"/>
      <c r="Z10" s="52" t="str">
        <f t="shared" si="7"/>
        <v>土地使用年限（年）</v>
      </c>
      <c r="AA10" s="704">
        <f t="shared" si="3"/>
        <v>0.76923076923076927</v>
      </c>
      <c r="AB10" s="704">
        <f t="shared" si="4"/>
        <v>0.76923076923076927</v>
      </c>
      <c r="AC10" s="704">
        <f t="shared" si="5"/>
        <v>0.76923076923076927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30"/>
      <c r="Q11" s="1343" t="str">
        <f t="shared" si="6"/>
        <v>容积率</v>
      </c>
      <c r="R11" s="701" t="s">
        <v>14</v>
      </c>
      <c r="S11" s="702" t="e">
        <f t="shared" si="0"/>
        <v>#N/A</v>
      </c>
      <c r="T11" s="701" t="s">
        <v>14</v>
      </c>
      <c r="U11" s="702" t="e">
        <f t="shared" si="1"/>
        <v>#N/A</v>
      </c>
      <c r="V11" s="701" t="s">
        <v>14</v>
      </c>
      <c r="W11" s="702" t="e">
        <f t="shared" si="2"/>
        <v>#N/A</v>
      </c>
      <c r="X11" s="703"/>
      <c r="Y11" s="364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30"/>
      <c r="Q12" s="1343" t="str">
        <f t="shared" si="6"/>
        <v>配建</v>
      </c>
      <c r="R12" s="701" t="s">
        <v>14</v>
      </c>
      <c r="S12" s="702">
        <f t="shared" si="0"/>
        <v>100</v>
      </c>
      <c r="T12" s="701" t="s">
        <v>14</v>
      </c>
      <c r="U12" s="702">
        <f t="shared" si="1"/>
        <v>100</v>
      </c>
      <c r="V12" s="701" t="s">
        <v>14</v>
      </c>
      <c r="W12" s="702">
        <f t="shared" si="2"/>
        <v>100</v>
      </c>
      <c r="X12" s="703"/>
      <c r="Y12" s="364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30"/>
      <c r="Q13" s="1343">
        <f t="shared" si="6"/>
        <v>111</v>
      </c>
      <c r="R13" s="701" t="s">
        <v>14</v>
      </c>
      <c r="S13" s="702">
        <f t="shared" si="0"/>
        <v>100</v>
      </c>
      <c r="T13" s="701" t="s">
        <v>14</v>
      </c>
      <c r="U13" s="702">
        <f t="shared" si="1"/>
        <v>100</v>
      </c>
      <c r="V13" s="701" t="s">
        <v>14</v>
      </c>
      <c r="W13" s="702">
        <f t="shared" si="2"/>
        <v>100</v>
      </c>
      <c r="X13" s="703"/>
      <c r="Y13" s="364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30"/>
      <c r="Q14" s="1343">
        <f t="shared" si="6"/>
        <v>111</v>
      </c>
      <c r="R14" s="701" t="s">
        <v>14</v>
      </c>
      <c r="S14" s="702">
        <f t="shared" si="0"/>
        <v>100</v>
      </c>
      <c r="T14" s="701" t="s">
        <v>14</v>
      </c>
      <c r="U14" s="702">
        <f t="shared" si="1"/>
        <v>100</v>
      </c>
      <c r="V14" s="701" t="s">
        <v>14</v>
      </c>
      <c r="W14" s="702">
        <f t="shared" si="2"/>
        <v>100</v>
      </c>
      <c r="X14" s="703"/>
      <c r="Y14" s="3642"/>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32" t="s">
        <v>1691</v>
      </c>
      <c r="Q15" s="1352" t="str">
        <f t="shared" si="6"/>
        <v>居住社区成熟度</v>
      </c>
      <c r="R15" s="705" t="s">
        <v>14</v>
      </c>
      <c r="S15" s="706">
        <f t="shared" si="0"/>
        <v>100</v>
      </c>
      <c r="T15" s="705" t="s">
        <v>14</v>
      </c>
      <c r="U15" s="706">
        <f t="shared" si="1"/>
        <v>100</v>
      </c>
      <c r="V15" s="705" t="s">
        <v>14</v>
      </c>
      <c r="W15" s="706">
        <f t="shared" si="2"/>
        <v>100</v>
      </c>
      <c r="X15" s="1355"/>
      <c r="Y15" s="373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33"/>
      <c r="Q16" s="1352"/>
      <c r="R16" s="705"/>
      <c r="S16" s="706"/>
      <c r="T16" s="705"/>
      <c r="U16" s="706"/>
      <c r="V16" s="705"/>
      <c r="W16" s="706"/>
      <c r="X16" s="1355"/>
      <c r="Y16" s="373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33"/>
      <c r="Q17" s="1352" t="str">
        <f>B17</f>
        <v>商业繁华度</v>
      </c>
      <c r="R17" s="705" t="s">
        <v>14</v>
      </c>
      <c r="S17" s="706">
        <f>F17</f>
        <v>100</v>
      </c>
      <c r="T17" s="705" t="s">
        <v>14</v>
      </c>
      <c r="U17" s="706">
        <f>H17</f>
        <v>100</v>
      </c>
      <c r="V17" s="705" t="s">
        <v>14</v>
      </c>
      <c r="W17" s="706">
        <f>J17</f>
        <v>100</v>
      </c>
      <c r="X17" s="1355"/>
      <c r="Y17" s="373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33"/>
      <c r="Q18" s="1352"/>
      <c r="R18" s="705"/>
      <c r="S18" s="706"/>
      <c r="T18" s="705"/>
      <c r="U18" s="706"/>
      <c r="V18" s="705"/>
      <c r="W18" s="706"/>
      <c r="X18" s="1355"/>
      <c r="Y18" s="3733"/>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33"/>
      <c r="Q19" s="1352" t="str">
        <f>B19</f>
        <v>办公集聚程度</v>
      </c>
      <c r="R19" s="705" t="s">
        <v>14</v>
      </c>
      <c r="S19" s="706">
        <f>F19</f>
        <v>100</v>
      </c>
      <c r="T19" s="705" t="s">
        <v>14</v>
      </c>
      <c r="U19" s="706">
        <f>H19</f>
        <v>100</v>
      </c>
      <c r="V19" s="705" t="s">
        <v>14</v>
      </c>
      <c r="W19" s="706">
        <f>J19</f>
        <v>100</v>
      </c>
      <c r="X19" s="1355"/>
      <c r="Y19" s="373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33"/>
      <c r="Q20" s="1352"/>
      <c r="R20" s="705"/>
      <c r="S20" s="706"/>
      <c r="T20" s="705"/>
      <c r="U20" s="706"/>
      <c r="V20" s="705"/>
      <c r="W20" s="706"/>
      <c r="X20" s="1355"/>
      <c r="Y20" s="3733"/>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33"/>
      <c r="Q21" s="1352" t="str">
        <f>B21</f>
        <v>交通便捷度</v>
      </c>
      <c r="R21" s="705" t="s">
        <v>14</v>
      </c>
      <c r="S21" s="706">
        <f>F21</f>
        <v>100</v>
      </c>
      <c r="T21" s="705" t="s">
        <v>14</v>
      </c>
      <c r="U21" s="706">
        <f>H21</f>
        <v>100</v>
      </c>
      <c r="V21" s="705" t="s">
        <v>14</v>
      </c>
      <c r="W21" s="706">
        <f>J21</f>
        <v>100</v>
      </c>
      <c r="X21" s="1355"/>
      <c r="Y21" s="373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33"/>
      <c r="Q22" s="1352"/>
      <c r="R22" s="705"/>
      <c r="S22" s="706"/>
      <c r="T22" s="705"/>
      <c r="U22" s="706"/>
      <c r="V22" s="705"/>
      <c r="W22" s="706"/>
      <c r="X22" s="1355"/>
      <c r="Y22" s="373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33"/>
      <c r="Q23" s="1352" t="str">
        <f t="shared" ref="Q23:Q37" si="8">B23</f>
        <v>区域土地利用方向</v>
      </c>
      <c r="R23" s="705" t="s">
        <v>14</v>
      </c>
      <c r="S23" s="706">
        <f>F23</f>
        <v>100</v>
      </c>
      <c r="T23" s="705" t="s">
        <v>14</v>
      </c>
      <c r="U23" s="706">
        <f>H23</f>
        <v>100</v>
      </c>
      <c r="V23" s="705" t="s">
        <v>14</v>
      </c>
      <c r="W23" s="706">
        <f>J23</f>
        <v>100</v>
      </c>
      <c r="X23" s="1355"/>
      <c r="Y23" s="373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33"/>
      <c r="Q24" s="1352"/>
      <c r="R24" s="705"/>
      <c r="S24" s="706"/>
      <c r="T24" s="705"/>
      <c r="U24" s="706"/>
      <c r="V24" s="705"/>
      <c r="W24" s="706"/>
      <c r="X24" s="1355"/>
      <c r="Y24" s="3733"/>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33"/>
      <c r="Q25" s="1352" t="str">
        <f t="shared" si="8"/>
        <v>自然及人文环境状况</v>
      </c>
      <c r="R25" s="705" t="s">
        <v>14</v>
      </c>
      <c r="S25" s="706">
        <f>F25</f>
        <v>100</v>
      </c>
      <c r="T25" s="705" t="s">
        <v>14</v>
      </c>
      <c r="U25" s="706">
        <f>H25</f>
        <v>100</v>
      </c>
      <c r="V25" s="705" t="s">
        <v>14</v>
      </c>
      <c r="W25" s="706">
        <f>J25</f>
        <v>100</v>
      </c>
      <c r="X25" s="1355"/>
      <c r="Y25" s="373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33"/>
      <c r="Q26" s="1352"/>
      <c r="R26" s="705"/>
      <c r="S26" s="706"/>
      <c r="T26" s="705"/>
      <c r="U26" s="706"/>
      <c r="V26" s="705"/>
      <c r="W26" s="706"/>
      <c r="X26" s="1355"/>
      <c r="Y26" s="3733"/>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33"/>
      <c r="Q27" s="1343" t="str">
        <f t="shared" si="8"/>
        <v>公共配套设施</v>
      </c>
      <c r="R27" s="701" t="s">
        <v>14</v>
      </c>
      <c r="S27" s="702">
        <f>F27</f>
        <v>100</v>
      </c>
      <c r="T27" s="701" t="s">
        <v>14</v>
      </c>
      <c r="U27" s="702">
        <f>H27</f>
        <v>100</v>
      </c>
      <c r="V27" s="701" t="s">
        <v>14</v>
      </c>
      <c r="W27" s="702">
        <f>J27</f>
        <v>100</v>
      </c>
      <c r="X27" s="703"/>
      <c r="Y27" s="373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33"/>
      <c r="Q28" s="1343"/>
      <c r="R28" s="701"/>
      <c r="S28" s="702"/>
      <c r="T28" s="701"/>
      <c r="U28" s="702"/>
      <c r="V28" s="701"/>
      <c r="W28" s="702"/>
      <c r="X28" s="703"/>
      <c r="Y28" s="3733"/>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33"/>
      <c r="Q29" s="1343" t="str">
        <f t="shared" ref="Q29" si="9">B29</f>
        <v>基础设施水平</v>
      </c>
      <c r="R29" s="701" t="s">
        <v>14</v>
      </c>
      <c r="S29" s="702">
        <f>F29</f>
        <v>100</v>
      </c>
      <c r="T29" s="701" t="s">
        <v>14</v>
      </c>
      <c r="U29" s="702">
        <f>H29</f>
        <v>100</v>
      </c>
      <c r="V29" s="701" t="s">
        <v>14</v>
      </c>
      <c r="W29" s="702">
        <f>J29</f>
        <v>100</v>
      </c>
      <c r="X29" s="703"/>
      <c r="Y29" s="373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33"/>
      <c r="Q30" s="1343"/>
      <c r="R30" s="701"/>
      <c r="S30" s="702"/>
      <c r="T30" s="701"/>
      <c r="U30" s="702"/>
      <c r="V30" s="701"/>
      <c r="W30" s="702"/>
      <c r="X30" s="703"/>
      <c r="Y30" s="373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3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33"/>
      <c r="Q32" s="1352" t="str">
        <f t="shared" si="8"/>
        <v>毗邻道路的类型与等级</v>
      </c>
      <c r="R32" s="705" t="s">
        <v>14</v>
      </c>
      <c r="S32" s="706">
        <f t="shared" si="10"/>
        <v>100</v>
      </c>
      <c r="T32" s="705" t="s">
        <v>14</v>
      </c>
      <c r="U32" s="706">
        <f t="shared" si="11"/>
        <v>100</v>
      </c>
      <c r="V32" s="705" t="s">
        <v>14</v>
      </c>
      <c r="W32" s="706">
        <f t="shared" si="12"/>
        <v>100</v>
      </c>
      <c r="X32" s="1355"/>
      <c r="Y32" s="373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33"/>
      <c r="Q33" s="1352"/>
      <c r="R33" s="705"/>
      <c r="S33" s="706"/>
      <c r="T33" s="705"/>
      <c r="U33" s="706"/>
      <c r="V33" s="705"/>
      <c r="W33" s="706"/>
      <c r="X33" s="1355"/>
      <c r="Y33" s="373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33"/>
      <c r="Q34" s="1352" t="str">
        <f t="shared" si="8"/>
        <v>土地级别</v>
      </c>
      <c r="R34" s="705" t="s">
        <v>14</v>
      </c>
      <c r="S34" s="706">
        <f t="shared" si="10"/>
        <v>100</v>
      </c>
      <c r="T34" s="705" t="s">
        <v>14</v>
      </c>
      <c r="U34" s="706">
        <f t="shared" si="11"/>
        <v>100</v>
      </c>
      <c r="V34" s="705" t="s">
        <v>14</v>
      </c>
      <c r="W34" s="706">
        <f t="shared" si="12"/>
        <v>100</v>
      </c>
      <c r="X34" s="1355"/>
      <c r="Y34" s="373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33"/>
      <c r="Q35" s="1352">
        <f t="shared" si="8"/>
        <v>111</v>
      </c>
      <c r="R35" s="705" t="s">
        <v>14</v>
      </c>
      <c r="S35" s="706">
        <f t="shared" si="10"/>
        <v>100</v>
      </c>
      <c r="T35" s="705" t="s">
        <v>14</v>
      </c>
      <c r="U35" s="706">
        <f t="shared" si="11"/>
        <v>100</v>
      </c>
      <c r="V35" s="705" t="s">
        <v>14</v>
      </c>
      <c r="W35" s="706">
        <f t="shared" si="12"/>
        <v>100</v>
      </c>
      <c r="X35" s="1355"/>
      <c r="Y35" s="373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56" t="s">
        <v>1696</v>
      </c>
      <c r="Q36" s="1352">
        <f t="shared" si="8"/>
        <v>111</v>
      </c>
      <c r="R36" s="705" t="s">
        <v>14</v>
      </c>
      <c r="S36" s="706">
        <f t="shared" si="10"/>
        <v>100</v>
      </c>
      <c r="T36" s="705" t="s">
        <v>14</v>
      </c>
      <c r="U36" s="706">
        <f t="shared" si="11"/>
        <v>100</v>
      </c>
      <c r="V36" s="705" t="s">
        <v>14</v>
      </c>
      <c r="W36" s="706">
        <f t="shared" si="12"/>
        <v>100</v>
      </c>
      <c r="X36" s="1355"/>
      <c r="Y36" s="373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37"/>
      <c r="Q37" s="1352">
        <f t="shared" si="8"/>
        <v>111</v>
      </c>
      <c r="R37" s="708" t="s">
        <v>14</v>
      </c>
      <c r="S37" s="709">
        <f t="shared" si="10"/>
        <v>100</v>
      </c>
      <c r="T37" s="708" t="s">
        <v>14</v>
      </c>
      <c r="U37" s="709">
        <f t="shared" si="11"/>
        <v>100</v>
      </c>
      <c r="V37" s="708" t="s">
        <v>14</v>
      </c>
      <c r="W37" s="709">
        <f t="shared" si="12"/>
        <v>100</v>
      </c>
      <c r="X37" s="710"/>
      <c r="Y37" s="373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37"/>
      <c r="Q38" s="1352" t="str">
        <f>B38</f>
        <v>宗地面积</v>
      </c>
      <c r="R38" s="705" t="s">
        <v>14</v>
      </c>
      <c r="S38" s="706" t="e">
        <f t="shared" si="10"/>
        <v>#N/A</v>
      </c>
      <c r="T38" s="705" t="s">
        <v>14</v>
      </c>
      <c r="U38" s="706" t="e">
        <f t="shared" si="11"/>
        <v>#N/A</v>
      </c>
      <c r="V38" s="705" t="s">
        <v>14</v>
      </c>
      <c r="W38" s="706" t="e">
        <f t="shared" si="12"/>
        <v>#N/A</v>
      </c>
      <c r="X38" s="1355"/>
      <c r="Y38" s="373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37"/>
      <c r="Q39" s="1352" t="str">
        <f t="shared" ref="Q39:Q45" si="14">B39</f>
        <v>宗地形状</v>
      </c>
      <c r="R39" s="705" t="s">
        <v>14</v>
      </c>
      <c r="S39" s="706">
        <f t="shared" si="10"/>
        <v>100</v>
      </c>
      <c r="T39" s="705" t="s">
        <v>14</v>
      </c>
      <c r="U39" s="706">
        <f t="shared" si="11"/>
        <v>100</v>
      </c>
      <c r="V39" s="705" t="s">
        <v>14</v>
      </c>
      <c r="W39" s="706">
        <f t="shared" si="12"/>
        <v>100</v>
      </c>
      <c r="X39" s="1355"/>
      <c r="Y39" s="373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37"/>
      <c r="Q40" s="1352" t="str">
        <f t="shared" si="14"/>
        <v>临街宽度及深度</v>
      </c>
      <c r="R40" s="705" t="s">
        <v>14</v>
      </c>
      <c r="S40" s="706">
        <f t="shared" si="10"/>
        <v>100</v>
      </c>
      <c r="T40" s="705" t="s">
        <v>14</v>
      </c>
      <c r="U40" s="706">
        <f t="shared" si="11"/>
        <v>100</v>
      </c>
      <c r="V40" s="705" t="s">
        <v>14</v>
      </c>
      <c r="W40" s="706">
        <f t="shared" si="12"/>
        <v>100</v>
      </c>
      <c r="X40" s="1355"/>
      <c r="Y40" s="373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37"/>
      <c r="Q41" s="1352" t="str">
        <f t="shared" si="14"/>
        <v>宗地开发程度</v>
      </c>
      <c r="R41" s="701" t="s">
        <v>14</v>
      </c>
      <c r="S41" s="702">
        <f t="shared" si="10"/>
        <v>100</v>
      </c>
      <c r="T41" s="701" t="s">
        <v>14</v>
      </c>
      <c r="U41" s="702">
        <f t="shared" si="11"/>
        <v>100</v>
      </c>
      <c r="V41" s="701" t="s">
        <v>14</v>
      </c>
      <c r="W41" s="702">
        <f t="shared" si="12"/>
        <v>100</v>
      </c>
      <c r="X41" s="703"/>
      <c r="Y41" s="373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37" t="s">
        <v>1696</v>
      </c>
      <c r="Q42" s="1352" t="str">
        <f t="shared" si="14"/>
        <v>工程地质条件</v>
      </c>
      <c r="R42" s="705" t="s">
        <v>14</v>
      </c>
      <c r="S42" s="706">
        <f t="shared" si="10"/>
        <v>100</v>
      </c>
      <c r="T42" s="705" t="s">
        <v>14</v>
      </c>
      <c r="U42" s="706">
        <f t="shared" si="11"/>
        <v>100</v>
      </c>
      <c r="V42" s="705" t="s">
        <v>14</v>
      </c>
      <c r="W42" s="706">
        <f t="shared" si="12"/>
        <v>100</v>
      </c>
      <c r="X42" s="1355"/>
      <c r="Y42" s="373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37"/>
      <c r="Q43" s="1352">
        <f t="shared" si="14"/>
        <v>111</v>
      </c>
      <c r="R43" s="705" t="s">
        <v>14</v>
      </c>
      <c r="S43" s="706">
        <f t="shared" si="10"/>
        <v>100</v>
      </c>
      <c r="T43" s="705" t="s">
        <v>14</v>
      </c>
      <c r="U43" s="706">
        <f t="shared" si="11"/>
        <v>100</v>
      </c>
      <c r="V43" s="705" t="s">
        <v>14</v>
      </c>
      <c r="W43" s="706">
        <f t="shared" si="12"/>
        <v>100</v>
      </c>
      <c r="X43" s="1355"/>
      <c r="Y43" s="373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37"/>
      <c r="Q44" s="1352">
        <f t="shared" si="14"/>
        <v>111</v>
      </c>
      <c r="R44" s="705" t="s">
        <v>14</v>
      </c>
      <c r="S44" s="706">
        <f t="shared" si="10"/>
        <v>100</v>
      </c>
      <c r="T44" s="705" t="s">
        <v>14</v>
      </c>
      <c r="U44" s="706">
        <f t="shared" si="11"/>
        <v>100</v>
      </c>
      <c r="V44" s="705" t="s">
        <v>14</v>
      </c>
      <c r="W44" s="706">
        <f t="shared" si="12"/>
        <v>100</v>
      </c>
      <c r="X44" s="1355"/>
      <c r="Y44" s="373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37"/>
      <c r="Q45" s="1352">
        <f t="shared" si="14"/>
        <v>111</v>
      </c>
      <c r="R45" s="708" t="s">
        <v>14</v>
      </c>
      <c r="S45" s="709">
        <f t="shared" si="10"/>
        <v>100</v>
      </c>
      <c r="T45" s="708" t="s">
        <v>14</v>
      </c>
      <c r="U45" s="709">
        <f t="shared" si="11"/>
        <v>100</v>
      </c>
      <c r="V45" s="708" t="s">
        <v>14</v>
      </c>
      <c r="W45" s="709">
        <f t="shared" si="12"/>
        <v>100</v>
      </c>
      <c r="X45" s="710"/>
      <c r="Y45" s="373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730" t="str">
        <f>A46</f>
        <v>成交单价</v>
      </c>
      <c r="Q46" s="3730"/>
      <c r="R46" s="3725">
        <f>E46</f>
        <v>0</v>
      </c>
      <c r="S46" s="3725"/>
      <c r="T46" s="3725">
        <f>G46</f>
        <v>0</v>
      </c>
      <c r="U46" s="3725"/>
      <c r="V46" s="3725">
        <f>I46</f>
        <v>0</v>
      </c>
      <c r="W46" s="372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730" t="str">
        <f>A47</f>
        <v>比较价值（元/平方米）</v>
      </c>
      <c r="Q47" s="3730"/>
      <c r="R47" s="3758" t="e">
        <f>ROUND(PRODUCT(R46,AA7:AA45),0)</f>
        <v>#DIV/0!</v>
      </c>
      <c r="S47" s="3758"/>
      <c r="T47" s="3758" t="e">
        <f>ROUND(PRODUCT(T46,AB7:AB45),0)</f>
        <v>#DIV/0!</v>
      </c>
      <c r="U47" s="3758"/>
      <c r="V47" s="3758" t="e">
        <f>ROUND(PRODUCT(V46,AC7:AC45),0)</f>
        <v>#DIV/0!</v>
      </c>
      <c r="W47" s="375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27" t="str">
        <f>A48</f>
        <v>估价对象XX用房的比较价值（楼面单价，元/平方米）</v>
      </c>
      <c r="Q48" s="3728"/>
      <c r="R48" s="3759" t="e">
        <f>ROUND(IF(D47="简单平均",AVERAGE(R47:W47),R47*F47+T47*H47+V47*J47),0)</f>
        <v>#DIV/0!</v>
      </c>
      <c r="S48" s="3759"/>
      <c r="T48" s="3759"/>
      <c r="U48" s="3759"/>
      <c r="V48" s="3759"/>
      <c r="W48" s="3759"/>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713" t="s">
        <v>1887</v>
      </c>
      <c r="H55" s="3760"/>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662.27</v>
      </c>
      <c r="F56" s="886" t="e">
        <f t="shared" ref="F56:F64" si="15">ROUND(B56*E56/10000,0)</f>
        <v>#DIV/0!</v>
      </c>
      <c r="G56" s="3712"/>
      <c r="H56" s="3730"/>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SUMIF(修正!A59:A70,H57,修正!B59:B70)</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SUMIF(修正!A59:A70,H58,修正!C59:C70)</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SUMIF(修正!A59:A70,H59,修正!D59:D70)</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0.3</v>
      </c>
      <c r="D60" s="945">
        <v>0.25</v>
      </c>
      <c r="E60" s="217">
        <f>'数据-汇总表'!E11</f>
        <v>0</v>
      </c>
      <c r="F60" s="886" t="e">
        <f t="shared" si="15"/>
        <v>#DIV/0!</v>
      </c>
      <c r="G60" s="1987" t="s">
        <v>1896</v>
      </c>
      <c r="H60" s="887" t="str">
        <f>项目基本情况!C37</f>
        <v>二级</v>
      </c>
      <c r="I60" s="891">
        <f>SUMIF(修正!A59:A70,H60,修正!E59:E70)</f>
        <v>0.3</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0.3</v>
      </c>
      <c r="D61" s="945">
        <v>0.25</v>
      </c>
      <c r="E61" s="217">
        <f>'数据-汇总表'!E12</f>
        <v>0</v>
      </c>
      <c r="F61" s="886" t="e">
        <f t="shared" si="15"/>
        <v>#DIV/0!</v>
      </c>
      <c r="G61" s="892" t="s">
        <v>1898</v>
      </c>
      <c r="H61" s="887" t="str">
        <f>IF(G61="商业",项目基本情况!B37,IF(G61="办公",项目基本情况!C37,IF(G61="住宅",项目基本情况!D37,项目基本情况!E37)))</f>
        <v>二级</v>
      </c>
      <c r="I61" s="891">
        <f>SUMIF(修正!A59:A70,H61,修正!F59:F70)</f>
        <v>0.3</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0.2</v>
      </c>
      <c r="D64" s="945">
        <v>0.25</v>
      </c>
      <c r="E64" s="217">
        <f>'数据-汇总表'!E15</f>
        <v>0</v>
      </c>
      <c r="F64" s="886" t="e">
        <f t="shared" si="15"/>
        <v>#DIV/0!</v>
      </c>
      <c r="G64" s="1988" t="s">
        <v>1896</v>
      </c>
      <c r="H64" s="897" t="str">
        <f>项目基本情况!C37</f>
        <v>二级</v>
      </c>
      <c r="I64" s="893">
        <f>SUMIF(修正!A59:A70,H64,修正!G59:G70)</f>
        <v>0.2</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662.27</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2025-12-1</v>
      </c>
      <c r="D67" s="692">
        <f>EDATE(C67,-3)</f>
        <v>45901</v>
      </c>
      <c r="E67" s="692">
        <f>EDATE(D67,-3)</f>
        <v>45809</v>
      </c>
      <c r="F67" s="692">
        <f t="shared" ref="F67:O67" si="18">EDATE(E67,-3)</f>
        <v>45717</v>
      </c>
      <c r="G67" s="692">
        <f t="shared" si="18"/>
        <v>45627</v>
      </c>
      <c r="H67" s="692">
        <f t="shared" si="18"/>
        <v>45536</v>
      </c>
      <c r="I67" s="692">
        <f t="shared" si="18"/>
        <v>45444</v>
      </c>
      <c r="J67" s="692">
        <f t="shared" si="18"/>
        <v>45352</v>
      </c>
      <c r="K67" s="692">
        <f t="shared" si="18"/>
        <v>45261</v>
      </c>
      <c r="L67" s="692">
        <f t="shared" si="18"/>
        <v>45170</v>
      </c>
      <c r="M67" s="692">
        <f t="shared" si="18"/>
        <v>45078</v>
      </c>
      <c r="N67" s="692">
        <f t="shared" si="18"/>
        <v>44986</v>
      </c>
      <c r="O67" s="692">
        <f t="shared" si="18"/>
        <v>44896</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2025-4</v>
      </c>
      <c r="D69" s="1182" t="str">
        <f>YEAR(D67)&amp;"-"&amp;ROUNDUP(MONTH(D67)/3,0)</f>
        <v>2025-3</v>
      </c>
      <c r="E69" s="1182" t="str">
        <f t="shared" ref="E69:O69" si="19">YEAR(E67)&amp;"-"&amp;ROUNDUP(MONTH(E67)/3,0)</f>
        <v>2025-2</v>
      </c>
      <c r="F69" s="1182" t="str">
        <f t="shared" si="19"/>
        <v>2025-1</v>
      </c>
      <c r="G69" s="1182" t="str">
        <f t="shared" si="19"/>
        <v>2024-4</v>
      </c>
      <c r="H69" s="1182" t="str">
        <f t="shared" si="19"/>
        <v>2024-3</v>
      </c>
      <c r="I69" s="1182" t="str">
        <f t="shared" si="19"/>
        <v>2024-2</v>
      </c>
      <c r="J69" s="1182" t="str">
        <f t="shared" si="19"/>
        <v>2024-1</v>
      </c>
      <c r="K69" s="1182" t="str">
        <f t="shared" si="19"/>
        <v>2023-4</v>
      </c>
      <c r="L69" s="1182" t="str">
        <f t="shared" si="19"/>
        <v>2023-3</v>
      </c>
      <c r="M69" s="1182" t="str">
        <f t="shared" si="19"/>
        <v>2023-2</v>
      </c>
      <c r="N69" s="1182" t="str">
        <f t="shared" si="19"/>
        <v>2023-1</v>
      </c>
      <c r="O69" s="1182" t="str">
        <f t="shared" si="19"/>
        <v>2022-4</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13" t="s">
        <v>1770</v>
      </c>
      <c r="D4" s="3714"/>
      <c r="E4" s="3715" t="s">
        <v>1771</v>
      </c>
      <c r="F4" s="3716"/>
      <c r="G4" s="3713" t="s">
        <v>1772</v>
      </c>
      <c r="H4" s="3714"/>
      <c r="I4" s="3713" t="s">
        <v>1773</v>
      </c>
      <c r="J4" s="3714"/>
      <c r="K4" s="559" t="s">
        <v>1774</v>
      </c>
      <c r="L4" s="2714"/>
      <c r="M4" s="2715"/>
      <c r="N4" s="2715"/>
      <c r="O4" s="2715"/>
      <c r="P4" s="3717" t="s">
        <v>1775</v>
      </c>
      <c r="Q4" s="3718"/>
      <c r="R4" s="3700" t="s">
        <v>1771</v>
      </c>
      <c r="S4" s="3701"/>
      <c r="T4" s="3700" t="s">
        <v>1772</v>
      </c>
      <c r="U4" s="3701"/>
      <c r="V4" s="3725" t="s">
        <v>1773</v>
      </c>
      <c r="W4" s="3725"/>
      <c r="X4" s="1355"/>
      <c r="Y4" s="3700" t="s">
        <v>1775</v>
      </c>
      <c r="Z4" s="3701"/>
      <c r="AA4" s="3695" t="s">
        <v>1771</v>
      </c>
      <c r="AB4" s="3696" t="s">
        <v>1772</v>
      </c>
      <c r="AC4" s="3695" t="s">
        <v>1773</v>
      </c>
    </row>
    <row r="5" spans="1:29" ht="15">
      <c r="A5" s="358"/>
      <c r="B5" s="359"/>
      <c r="C5" s="3706" t="s">
        <v>1673</v>
      </c>
      <c r="D5" s="3707"/>
      <c r="E5" s="3704" t="s">
        <v>1674</v>
      </c>
      <c r="F5" s="3705"/>
      <c r="G5" s="3706" t="s">
        <v>1675</v>
      </c>
      <c r="H5" s="3707"/>
      <c r="I5" s="3706" t="s">
        <v>1676</v>
      </c>
      <c r="J5" s="3707"/>
      <c r="K5" s="559"/>
      <c r="L5" s="2714"/>
      <c r="M5" s="2715"/>
      <c r="N5" s="2715"/>
      <c r="O5" s="2715"/>
      <c r="P5" s="3719"/>
      <c r="Q5" s="3720"/>
      <c r="R5" s="3702"/>
      <c r="S5" s="3703"/>
      <c r="T5" s="3702"/>
      <c r="U5" s="3703"/>
      <c r="V5" s="3725"/>
      <c r="W5" s="3725"/>
      <c r="X5" s="1355"/>
      <c r="Y5" s="3702"/>
      <c r="Z5" s="3703"/>
      <c r="AA5" s="3696"/>
      <c r="AB5" s="3696"/>
      <c r="AC5" s="3696"/>
    </row>
    <row r="6" spans="1:29" ht="15.75" thickBot="1">
      <c r="A6" s="360"/>
      <c r="B6" s="361"/>
      <c r="C6" s="3761" t="s">
        <v>1919</v>
      </c>
      <c r="D6" s="3762"/>
      <c r="E6" s="3763" t="s">
        <v>1919</v>
      </c>
      <c r="F6" s="3764"/>
      <c r="G6" s="3761" t="s">
        <v>1919</v>
      </c>
      <c r="H6" s="3762"/>
      <c r="I6" s="3761" t="s">
        <v>1919</v>
      </c>
      <c r="J6" s="3762"/>
      <c r="K6" s="559" t="s">
        <v>1678</v>
      </c>
      <c r="L6" s="2714"/>
      <c r="M6" s="2715"/>
      <c r="N6" s="2715"/>
      <c r="O6" s="2715"/>
      <c r="P6" s="3721"/>
      <c r="Q6" s="3722"/>
      <c r="R6" s="3702"/>
      <c r="S6" s="3703"/>
      <c r="T6" s="3723"/>
      <c r="U6" s="3724"/>
      <c r="V6" s="3725"/>
      <c r="W6" s="3725"/>
      <c r="X6" s="1355"/>
      <c r="Y6" s="3723"/>
      <c r="Z6" s="3724"/>
      <c r="AA6" s="3697"/>
      <c r="AB6" s="3697"/>
      <c r="AC6" s="3697"/>
    </row>
    <row r="7" spans="1:29" s="108" customFormat="1" ht="15.75" thickBot="1">
      <c r="A7" s="362" t="s">
        <v>1679</v>
      </c>
      <c r="B7" s="363"/>
      <c r="C7" s="364">
        <f>'数据-取费表'!B2</f>
        <v>45996</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698" t="s">
        <v>1680</v>
      </c>
      <c r="Q7" s="3726"/>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98" t="s">
        <v>1683</v>
      </c>
      <c r="Q8" s="3699"/>
      <c r="R8" s="701" t="s">
        <v>14</v>
      </c>
      <c r="S8" s="702">
        <f t="shared" si="0"/>
        <v>0</v>
      </c>
      <c r="T8" s="701" t="s">
        <v>14</v>
      </c>
      <c r="U8" s="702">
        <f t="shared" si="1"/>
        <v>0</v>
      </c>
      <c r="V8" s="701" t="s">
        <v>14</v>
      </c>
      <c r="W8" s="702">
        <f t="shared" si="2"/>
        <v>0</v>
      </c>
      <c r="X8" s="703"/>
      <c r="Y8" s="3698" t="s">
        <v>1683</v>
      </c>
      <c r="Z8" s="369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730" t="s">
        <v>1686</v>
      </c>
      <c r="Q9" s="1343" t="str">
        <f t="shared" ref="Q9:Q15" si="6">B9</f>
        <v>用途</v>
      </c>
      <c r="R9" s="701" t="s">
        <v>14</v>
      </c>
      <c r="S9" s="702">
        <f t="shared" si="0"/>
        <v>100</v>
      </c>
      <c r="T9" s="701" t="s">
        <v>14</v>
      </c>
      <c r="U9" s="702">
        <f t="shared" si="1"/>
        <v>100</v>
      </c>
      <c r="V9" s="701" t="s">
        <v>14</v>
      </c>
      <c r="W9" s="702">
        <f t="shared" si="2"/>
        <v>100</v>
      </c>
      <c r="X9" s="703"/>
      <c r="Y9" s="364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130</v>
      </c>
      <c r="G10" s="383"/>
      <c r="H10" s="127">
        <f>ROUND(100/'数据-取费表'!G16,0)</f>
        <v>130</v>
      </c>
      <c r="I10" s="383"/>
      <c r="J10" s="127">
        <f>ROUND(100/'数据-取费表'!G16,0)</f>
        <v>130</v>
      </c>
      <c r="K10" s="620"/>
      <c r="L10" s="2718"/>
      <c r="M10" s="2719"/>
      <c r="N10" s="2719"/>
      <c r="O10" s="2772"/>
      <c r="P10" s="3730"/>
      <c r="Q10" s="1343" t="str">
        <f t="shared" si="6"/>
        <v>土地使用年限（年）</v>
      </c>
      <c r="R10" s="701" t="s">
        <v>14</v>
      </c>
      <c r="S10" s="702">
        <f t="shared" si="0"/>
        <v>130</v>
      </c>
      <c r="T10" s="701" t="s">
        <v>14</v>
      </c>
      <c r="U10" s="702">
        <f t="shared" si="1"/>
        <v>130</v>
      </c>
      <c r="V10" s="701" t="s">
        <v>14</v>
      </c>
      <c r="W10" s="702">
        <f t="shared" si="2"/>
        <v>130</v>
      </c>
      <c r="X10" s="703"/>
      <c r="Y10" s="3642"/>
      <c r="Z10" s="52" t="str">
        <f t="shared" si="7"/>
        <v>土地使用年限（年）</v>
      </c>
      <c r="AA10" s="704">
        <f t="shared" si="3"/>
        <v>0.76923076923076927</v>
      </c>
      <c r="AB10" s="704">
        <f t="shared" si="4"/>
        <v>0.76923076923076927</v>
      </c>
      <c r="AC10" s="704">
        <f t="shared" si="5"/>
        <v>0.76923076923076927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30"/>
      <c r="Q11" s="1343" t="str">
        <f t="shared" si="6"/>
        <v>容积率</v>
      </c>
      <c r="R11" s="701" t="s">
        <v>14</v>
      </c>
      <c r="S11" s="702" t="e">
        <f t="shared" si="0"/>
        <v>#N/A</v>
      </c>
      <c r="T11" s="701" t="s">
        <v>14</v>
      </c>
      <c r="U11" s="702" t="e">
        <f t="shared" si="1"/>
        <v>#N/A</v>
      </c>
      <c r="V11" s="701" t="s">
        <v>14</v>
      </c>
      <c r="W11" s="702" t="e">
        <f t="shared" si="2"/>
        <v>#N/A</v>
      </c>
      <c r="X11" s="703"/>
      <c r="Y11" s="364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30"/>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30"/>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30"/>
      <c r="Q14" s="1343">
        <f t="shared" si="6"/>
        <v>111</v>
      </c>
      <c r="R14" s="701" t="s">
        <v>14</v>
      </c>
      <c r="S14" s="702">
        <f t="shared" si="0"/>
        <v>100</v>
      </c>
      <c r="T14" s="701" t="s">
        <v>14</v>
      </c>
      <c r="U14" s="702">
        <f t="shared" si="1"/>
        <v>100</v>
      </c>
      <c r="V14" s="701" t="s">
        <v>14</v>
      </c>
      <c r="W14" s="702">
        <f t="shared" si="2"/>
        <v>100</v>
      </c>
      <c r="X14" s="703"/>
      <c r="Y14" s="364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32" t="s">
        <v>1691</v>
      </c>
      <c r="Q15" s="1352" t="str">
        <f t="shared" si="6"/>
        <v>产业集聚程度</v>
      </c>
      <c r="R15" s="705" t="s">
        <v>14</v>
      </c>
      <c r="S15" s="706">
        <f t="shared" si="0"/>
        <v>100</v>
      </c>
      <c r="T15" s="705" t="s">
        <v>14</v>
      </c>
      <c r="U15" s="706">
        <f t="shared" si="1"/>
        <v>100</v>
      </c>
      <c r="V15" s="705" t="s">
        <v>14</v>
      </c>
      <c r="W15" s="706">
        <f t="shared" si="2"/>
        <v>100</v>
      </c>
      <c r="X15" s="1355"/>
      <c r="Y15" s="373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33"/>
      <c r="Q16" s="1352"/>
      <c r="R16" s="705"/>
      <c r="S16" s="706"/>
      <c r="T16" s="705"/>
      <c r="U16" s="706"/>
      <c r="V16" s="705"/>
      <c r="W16" s="706"/>
      <c r="X16" s="1355"/>
      <c r="Y16" s="373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33"/>
      <c r="Q17" s="1352" t="str">
        <f>B17</f>
        <v>交通便捷度</v>
      </c>
      <c r="R17" s="705" t="s">
        <v>14</v>
      </c>
      <c r="S17" s="706">
        <f>F17</f>
        <v>100</v>
      </c>
      <c r="T17" s="705" t="s">
        <v>14</v>
      </c>
      <c r="U17" s="706">
        <f>H17</f>
        <v>100</v>
      </c>
      <c r="V17" s="705" t="s">
        <v>14</v>
      </c>
      <c r="W17" s="706">
        <f>J17</f>
        <v>100</v>
      </c>
      <c r="X17" s="1355"/>
      <c r="Y17" s="373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33"/>
      <c r="Q18" s="1352"/>
      <c r="R18" s="705"/>
      <c r="S18" s="706"/>
      <c r="T18" s="705"/>
      <c r="U18" s="706"/>
      <c r="V18" s="705"/>
      <c r="W18" s="706"/>
      <c r="X18" s="1355"/>
      <c r="Y18" s="373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33"/>
      <c r="Q19" s="1352" t="str">
        <f t="shared" ref="Q19:Q33" si="8">B19</f>
        <v>区域土地利用方向</v>
      </c>
      <c r="R19" s="705" t="s">
        <v>14</v>
      </c>
      <c r="S19" s="706">
        <f>F19</f>
        <v>100</v>
      </c>
      <c r="T19" s="705" t="s">
        <v>14</v>
      </c>
      <c r="U19" s="706">
        <f>H19</f>
        <v>100</v>
      </c>
      <c r="V19" s="705" t="s">
        <v>14</v>
      </c>
      <c r="W19" s="706">
        <f>J19</f>
        <v>100</v>
      </c>
      <c r="X19" s="1355"/>
      <c r="Y19" s="373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33"/>
      <c r="Q20" s="1352"/>
      <c r="R20" s="705"/>
      <c r="S20" s="706"/>
      <c r="T20" s="705"/>
      <c r="U20" s="706"/>
      <c r="V20" s="705"/>
      <c r="W20" s="706"/>
      <c r="X20" s="1355"/>
      <c r="Y20" s="373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33"/>
      <c r="Q21" s="1352" t="str">
        <f t="shared" si="8"/>
        <v>环境状况</v>
      </c>
      <c r="R21" s="705" t="s">
        <v>14</v>
      </c>
      <c r="S21" s="706">
        <f>F21</f>
        <v>100</v>
      </c>
      <c r="T21" s="705" t="s">
        <v>14</v>
      </c>
      <c r="U21" s="706">
        <f>H21</f>
        <v>100</v>
      </c>
      <c r="V21" s="705" t="s">
        <v>14</v>
      </c>
      <c r="W21" s="706">
        <f>J21</f>
        <v>100</v>
      </c>
      <c r="X21" s="1355"/>
      <c r="Y21" s="373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33"/>
      <c r="Q22" s="1352"/>
      <c r="R22" s="705"/>
      <c r="S22" s="706"/>
      <c r="T22" s="705"/>
      <c r="U22" s="706"/>
      <c r="V22" s="705"/>
      <c r="W22" s="706"/>
      <c r="X22" s="1355"/>
      <c r="Y22" s="373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33"/>
      <c r="Q23" s="1343" t="str">
        <f t="shared" si="8"/>
        <v>公共配套设施</v>
      </c>
      <c r="R23" s="701" t="s">
        <v>14</v>
      </c>
      <c r="S23" s="702">
        <f>F23</f>
        <v>100</v>
      </c>
      <c r="T23" s="701" t="s">
        <v>14</v>
      </c>
      <c r="U23" s="702">
        <f>H23</f>
        <v>100</v>
      </c>
      <c r="V23" s="701" t="s">
        <v>14</v>
      </c>
      <c r="W23" s="702">
        <f>J23</f>
        <v>100</v>
      </c>
      <c r="X23" s="703"/>
      <c r="Y23" s="373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33"/>
      <c r="Q24" s="1343"/>
      <c r="R24" s="701"/>
      <c r="S24" s="702"/>
      <c r="T24" s="701"/>
      <c r="U24" s="702"/>
      <c r="V24" s="701"/>
      <c r="W24" s="702"/>
      <c r="X24" s="703"/>
      <c r="Y24" s="373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33"/>
      <c r="Q25" s="1343" t="str">
        <f t="shared" ref="Q25" si="9">B25</f>
        <v>基础设施水平</v>
      </c>
      <c r="R25" s="701" t="s">
        <v>14</v>
      </c>
      <c r="S25" s="702">
        <f>F25</f>
        <v>100</v>
      </c>
      <c r="T25" s="701" t="s">
        <v>14</v>
      </c>
      <c r="U25" s="702">
        <f>H25</f>
        <v>100</v>
      </c>
      <c r="V25" s="701" t="s">
        <v>14</v>
      </c>
      <c r="W25" s="702">
        <f>J25</f>
        <v>100</v>
      </c>
      <c r="X25" s="703"/>
      <c r="Y25" s="373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33"/>
      <c r="Q26" s="1343"/>
      <c r="R26" s="701"/>
      <c r="S26" s="702"/>
      <c r="T26" s="701"/>
      <c r="U26" s="702"/>
      <c r="V26" s="701"/>
      <c r="W26" s="702"/>
      <c r="X26" s="703"/>
      <c r="Y26" s="373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3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33"/>
      <c r="Q28" s="1352" t="str">
        <f t="shared" si="8"/>
        <v>毗邻道路的类型与等级</v>
      </c>
      <c r="R28" s="705" t="s">
        <v>14</v>
      </c>
      <c r="S28" s="706">
        <f t="shared" si="10"/>
        <v>100</v>
      </c>
      <c r="T28" s="705" t="s">
        <v>14</v>
      </c>
      <c r="U28" s="706">
        <f t="shared" si="11"/>
        <v>100</v>
      </c>
      <c r="V28" s="705" t="s">
        <v>14</v>
      </c>
      <c r="W28" s="706">
        <f t="shared" si="12"/>
        <v>100</v>
      </c>
      <c r="X28" s="1355"/>
      <c r="Y28" s="373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33"/>
      <c r="Q29" s="1352"/>
      <c r="R29" s="705"/>
      <c r="S29" s="706"/>
      <c r="T29" s="705"/>
      <c r="U29" s="706"/>
      <c r="V29" s="705"/>
      <c r="W29" s="706"/>
      <c r="X29" s="1355"/>
      <c r="Y29" s="373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33"/>
      <c r="Q30" s="1352" t="str">
        <f t="shared" si="8"/>
        <v>土地级别</v>
      </c>
      <c r="R30" s="705" t="s">
        <v>14</v>
      </c>
      <c r="S30" s="706">
        <f t="shared" si="10"/>
        <v>100</v>
      </c>
      <c r="T30" s="705" t="s">
        <v>14</v>
      </c>
      <c r="U30" s="706">
        <f t="shared" si="11"/>
        <v>100</v>
      </c>
      <c r="V30" s="705" t="s">
        <v>14</v>
      </c>
      <c r="W30" s="706">
        <f t="shared" si="12"/>
        <v>100</v>
      </c>
      <c r="X30" s="1355"/>
      <c r="Y30" s="373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33"/>
      <c r="Q31" s="1352">
        <f t="shared" si="8"/>
        <v>111</v>
      </c>
      <c r="R31" s="705" t="s">
        <v>14</v>
      </c>
      <c r="S31" s="706">
        <f t="shared" si="10"/>
        <v>100</v>
      </c>
      <c r="T31" s="705" t="s">
        <v>14</v>
      </c>
      <c r="U31" s="706">
        <f t="shared" si="11"/>
        <v>100</v>
      </c>
      <c r="V31" s="705" t="s">
        <v>14</v>
      </c>
      <c r="W31" s="706">
        <f t="shared" si="12"/>
        <v>100</v>
      </c>
      <c r="X31" s="1355"/>
      <c r="Y31" s="373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56" t="s">
        <v>1696</v>
      </c>
      <c r="Q32" s="1352">
        <f t="shared" si="8"/>
        <v>111</v>
      </c>
      <c r="R32" s="705" t="s">
        <v>14</v>
      </c>
      <c r="S32" s="706">
        <f t="shared" si="10"/>
        <v>100</v>
      </c>
      <c r="T32" s="705" t="s">
        <v>14</v>
      </c>
      <c r="U32" s="706">
        <f t="shared" si="11"/>
        <v>100</v>
      </c>
      <c r="V32" s="705" t="s">
        <v>14</v>
      </c>
      <c r="W32" s="706">
        <f t="shared" si="12"/>
        <v>100</v>
      </c>
      <c r="X32" s="1355"/>
      <c r="Y32" s="373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37"/>
      <c r="Q33" s="1352">
        <f t="shared" si="8"/>
        <v>111</v>
      </c>
      <c r="R33" s="708" t="s">
        <v>14</v>
      </c>
      <c r="S33" s="709">
        <f t="shared" si="10"/>
        <v>100</v>
      </c>
      <c r="T33" s="708" t="s">
        <v>14</v>
      </c>
      <c r="U33" s="709">
        <f t="shared" si="11"/>
        <v>100</v>
      </c>
      <c r="V33" s="708" t="s">
        <v>14</v>
      </c>
      <c r="W33" s="709">
        <f t="shared" si="12"/>
        <v>100</v>
      </c>
      <c r="X33" s="710"/>
      <c r="Y33" s="373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37"/>
      <c r="Q34" s="1352" t="str">
        <f>B34</f>
        <v>宗地面积</v>
      </c>
      <c r="R34" s="705" t="s">
        <v>14</v>
      </c>
      <c r="S34" s="706" t="e">
        <f t="shared" si="10"/>
        <v>#N/A</v>
      </c>
      <c r="T34" s="705" t="s">
        <v>14</v>
      </c>
      <c r="U34" s="706" t="e">
        <f t="shared" si="11"/>
        <v>#N/A</v>
      </c>
      <c r="V34" s="705" t="s">
        <v>14</v>
      </c>
      <c r="W34" s="706" t="e">
        <f t="shared" si="12"/>
        <v>#N/A</v>
      </c>
      <c r="X34" s="1355"/>
      <c r="Y34" s="373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37"/>
      <c r="Q35" s="1352" t="str">
        <f t="shared" ref="Q35:Q40" si="14">B35</f>
        <v>宗地形状</v>
      </c>
      <c r="R35" s="705" t="s">
        <v>14</v>
      </c>
      <c r="S35" s="706">
        <f t="shared" si="10"/>
        <v>100</v>
      </c>
      <c r="T35" s="705" t="s">
        <v>14</v>
      </c>
      <c r="U35" s="706">
        <f t="shared" si="11"/>
        <v>100</v>
      </c>
      <c r="V35" s="705" t="s">
        <v>14</v>
      </c>
      <c r="W35" s="706">
        <f t="shared" si="12"/>
        <v>100</v>
      </c>
      <c r="X35" s="1355"/>
      <c r="Y35" s="373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37"/>
      <c r="Q36" s="1352" t="str">
        <f t="shared" si="14"/>
        <v>宗地开发程度</v>
      </c>
      <c r="R36" s="701" t="s">
        <v>14</v>
      </c>
      <c r="S36" s="702">
        <f t="shared" si="10"/>
        <v>100</v>
      </c>
      <c r="T36" s="701" t="s">
        <v>14</v>
      </c>
      <c r="U36" s="702">
        <f t="shared" si="11"/>
        <v>100</v>
      </c>
      <c r="V36" s="701" t="s">
        <v>14</v>
      </c>
      <c r="W36" s="702">
        <f t="shared" si="12"/>
        <v>100</v>
      </c>
      <c r="X36" s="703"/>
      <c r="Y36" s="373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37" t="s">
        <v>1696</v>
      </c>
      <c r="Q37" s="1352" t="str">
        <f t="shared" si="14"/>
        <v>工程地质条件</v>
      </c>
      <c r="R37" s="705" t="s">
        <v>14</v>
      </c>
      <c r="S37" s="706">
        <f t="shared" si="10"/>
        <v>100</v>
      </c>
      <c r="T37" s="705" t="s">
        <v>14</v>
      </c>
      <c r="U37" s="706">
        <f t="shared" si="11"/>
        <v>100</v>
      </c>
      <c r="V37" s="705" t="s">
        <v>14</v>
      </c>
      <c r="W37" s="706">
        <f t="shared" si="12"/>
        <v>100</v>
      </c>
      <c r="X37" s="1355"/>
      <c r="Y37" s="373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37"/>
      <c r="Q38" s="1352">
        <f t="shared" si="14"/>
        <v>111</v>
      </c>
      <c r="R38" s="705" t="s">
        <v>14</v>
      </c>
      <c r="S38" s="706">
        <f t="shared" si="10"/>
        <v>100</v>
      </c>
      <c r="T38" s="705" t="s">
        <v>14</v>
      </c>
      <c r="U38" s="706">
        <f t="shared" si="11"/>
        <v>100</v>
      </c>
      <c r="V38" s="705" t="s">
        <v>14</v>
      </c>
      <c r="W38" s="706">
        <f t="shared" si="12"/>
        <v>100</v>
      </c>
      <c r="X38" s="1355"/>
      <c r="Y38" s="373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37"/>
      <c r="Q39" s="1352">
        <f t="shared" si="14"/>
        <v>111</v>
      </c>
      <c r="R39" s="705" t="s">
        <v>14</v>
      </c>
      <c r="S39" s="706">
        <f t="shared" si="10"/>
        <v>100</v>
      </c>
      <c r="T39" s="705" t="s">
        <v>14</v>
      </c>
      <c r="U39" s="706">
        <f t="shared" si="11"/>
        <v>100</v>
      </c>
      <c r="V39" s="705" t="s">
        <v>14</v>
      </c>
      <c r="W39" s="706">
        <f t="shared" si="12"/>
        <v>100</v>
      </c>
      <c r="X39" s="1355"/>
      <c r="Y39" s="373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37"/>
      <c r="Q40" s="1352">
        <f t="shared" si="14"/>
        <v>111</v>
      </c>
      <c r="R40" s="708" t="s">
        <v>14</v>
      </c>
      <c r="S40" s="709">
        <f t="shared" si="10"/>
        <v>100</v>
      </c>
      <c r="T40" s="708" t="s">
        <v>14</v>
      </c>
      <c r="U40" s="709">
        <f t="shared" si="11"/>
        <v>100</v>
      </c>
      <c r="V40" s="708" t="s">
        <v>14</v>
      </c>
      <c r="W40" s="709">
        <f t="shared" si="12"/>
        <v>100</v>
      </c>
      <c r="X40" s="710"/>
      <c r="Y40" s="373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730" t="str">
        <f>A41</f>
        <v>成交单价</v>
      </c>
      <c r="Q41" s="3730"/>
      <c r="R41" s="3725">
        <f>E41</f>
        <v>0</v>
      </c>
      <c r="S41" s="3725"/>
      <c r="T41" s="3725">
        <f>G41</f>
        <v>0</v>
      </c>
      <c r="U41" s="3725"/>
      <c r="V41" s="3725">
        <f>I41</f>
        <v>0</v>
      </c>
      <c r="W41" s="372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730" t="str">
        <f>A42</f>
        <v>比较价值（元/平方米）</v>
      </c>
      <c r="Q42" s="3730"/>
      <c r="R42" s="3758" t="e">
        <f>ROUND(PRODUCT(R41,AA7:AA40),0)</f>
        <v>#DIV/0!</v>
      </c>
      <c r="S42" s="3758"/>
      <c r="T42" s="3758" t="e">
        <f>ROUND(PRODUCT(T41,AB7:AB40),0)</f>
        <v>#DIV/0!</v>
      </c>
      <c r="U42" s="3758"/>
      <c r="V42" s="3758" t="e">
        <f>ROUND(PRODUCT(V41,AC7:AC40),0)</f>
        <v>#DIV/0!</v>
      </c>
      <c r="W42" s="375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27" t="str">
        <f>A43</f>
        <v>估价对象XX用房的比较价值（楼面单价，元/平方米）</v>
      </c>
      <c r="Q43" s="3728"/>
      <c r="R43" s="3759" t="e">
        <f>ROUND(IF(D42="简单平均",AVERAGE(R42:W42),R42*F42+T42*H42+V42*J42),0)</f>
        <v>#DIV/0!</v>
      </c>
      <c r="S43" s="3759"/>
      <c r="T43" s="3759"/>
      <c r="U43" s="3759"/>
      <c r="V43" s="3759"/>
      <c r="W43" s="3759"/>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713" t="s">
        <v>1887</v>
      </c>
      <c r="H50" s="3760"/>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662.27</v>
      </c>
      <c r="F51" s="639" t="e">
        <f t="shared" ref="F51:F60" si="15">ROUND(B51*E51/10000,0)</f>
        <v>#DIV/0!</v>
      </c>
      <c r="G51" s="3712"/>
      <c r="H51" s="3730"/>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SUMIF(修正!A59:A70,H52,修正!B59:B70)</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SUMIF(修正!A59:A70,H53,修正!C59:C70)</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SUMIF(修正!A59:A70,H54,修正!D59:D70)</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0.3</v>
      </c>
      <c r="D56" s="945">
        <v>0.25</v>
      </c>
      <c r="E56" s="217">
        <f>'数据-汇总表'!E11</f>
        <v>0</v>
      </c>
      <c r="F56" s="639" t="e">
        <f t="shared" si="15"/>
        <v>#DIV/0!</v>
      </c>
      <c r="G56" s="1987" t="s">
        <v>1896</v>
      </c>
      <c r="H56" s="887" t="str">
        <f>项目基本情况!C37</f>
        <v>二级</v>
      </c>
      <c r="I56" s="773">
        <f>SUMIF(修正!A59:A70,H56,修正!E59:E70)</f>
        <v>0.3</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0.3</v>
      </c>
      <c r="D57" s="945">
        <v>0.25</v>
      </c>
      <c r="E57" s="217">
        <f>'数据-汇总表'!E12</f>
        <v>0</v>
      </c>
      <c r="F57" s="639" t="e">
        <f t="shared" si="15"/>
        <v>#DIV/0!</v>
      </c>
      <c r="G57" s="892" t="s">
        <v>1898</v>
      </c>
      <c r="H57" s="887" t="str">
        <f>IF(G57="商业",项目基本情况!B37,IF(G57="办公",项目基本情况!C37,IF(G57="住宅",项目基本情况!D37,项目基本情况!E37)))</f>
        <v>二级</v>
      </c>
      <c r="I57" s="773">
        <f>SUMIF(修正!A59:A70,H57,修正!F59:F70)</f>
        <v>0.3</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0.2</v>
      </c>
      <c r="D60" s="945">
        <v>0.25</v>
      </c>
      <c r="E60" s="217">
        <f>'数据-汇总表'!E15</f>
        <v>0</v>
      </c>
      <c r="F60" s="639" t="e">
        <f t="shared" si="15"/>
        <v>#DIV/0!</v>
      </c>
      <c r="G60" s="1988" t="s">
        <v>1896</v>
      </c>
      <c r="H60" s="897" t="str">
        <f>项目基本情况!C37</f>
        <v>二级</v>
      </c>
      <c r="I60" s="773">
        <f>SUMIF(修正!A59:A70,H60,修正!G59:G70)</f>
        <v>0.2</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208.73</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2025-12-1</v>
      </c>
      <c r="D63" s="692">
        <f>EDATE(C63,-3)</f>
        <v>45901</v>
      </c>
      <c r="E63" s="692">
        <f>EDATE(D63,-3)</f>
        <v>45809</v>
      </c>
      <c r="F63" s="692">
        <f t="shared" ref="F63:O63" si="18">EDATE(E63,-3)</f>
        <v>45717</v>
      </c>
      <c r="G63" s="692">
        <f t="shared" si="18"/>
        <v>45627</v>
      </c>
      <c r="H63" s="692">
        <f t="shared" si="18"/>
        <v>45536</v>
      </c>
      <c r="I63" s="692">
        <f t="shared" si="18"/>
        <v>45444</v>
      </c>
      <c r="J63" s="692">
        <f t="shared" si="18"/>
        <v>45352</v>
      </c>
      <c r="K63" s="692">
        <f t="shared" si="18"/>
        <v>45261</v>
      </c>
      <c r="L63" s="692">
        <f t="shared" si="18"/>
        <v>45170</v>
      </c>
      <c r="M63" s="692">
        <f t="shared" si="18"/>
        <v>45078</v>
      </c>
      <c r="N63" s="692">
        <f t="shared" si="18"/>
        <v>44986</v>
      </c>
      <c r="O63" s="692">
        <f t="shared" si="18"/>
        <v>44896</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2025-4</v>
      </c>
      <c r="D65" s="1182" t="str">
        <f t="shared" ref="D65:O65" si="19">YEAR(D63)&amp;"-"&amp;ROUNDUP(MONTH(D63)/3,0)</f>
        <v>2025-3</v>
      </c>
      <c r="E65" s="1182" t="str">
        <f t="shared" si="19"/>
        <v>2025-2</v>
      </c>
      <c r="F65" s="1182" t="str">
        <f t="shared" si="19"/>
        <v>2025-1</v>
      </c>
      <c r="G65" s="1182" t="str">
        <f t="shared" si="19"/>
        <v>2024-4</v>
      </c>
      <c r="H65" s="1182" t="str">
        <f t="shared" si="19"/>
        <v>2024-3</v>
      </c>
      <c r="I65" s="1182" t="str">
        <f t="shared" si="19"/>
        <v>2024-2</v>
      </c>
      <c r="J65" s="1182" t="str">
        <f t="shared" si="19"/>
        <v>2024-1</v>
      </c>
      <c r="K65" s="1182" t="str">
        <f t="shared" si="19"/>
        <v>2023-4</v>
      </c>
      <c r="L65" s="1182" t="str">
        <f t="shared" si="19"/>
        <v>2023-3</v>
      </c>
      <c r="M65" s="1182" t="str">
        <f t="shared" si="19"/>
        <v>2023-2</v>
      </c>
      <c r="N65" s="1182" t="str">
        <f t="shared" si="19"/>
        <v>2023-1</v>
      </c>
      <c r="O65" s="1182" t="str">
        <f t="shared" si="19"/>
        <v>2022-4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8" t="s">
        <v>2084</v>
      </c>
      <c r="D1" s="3769"/>
      <c r="E1" s="3769"/>
      <c r="F1" s="3769"/>
      <c r="G1" s="3769"/>
      <c r="H1" s="3769"/>
      <c r="I1" s="3769"/>
      <c r="J1" s="3769"/>
      <c r="K1" s="3769"/>
      <c r="L1" s="3769"/>
      <c r="M1" s="3769"/>
      <c r="N1" s="3769"/>
      <c r="O1" s="3769"/>
      <c r="P1" s="3769"/>
      <c r="Q1" s="3769"/>
      <c r="R1" s="3769"/>
      <c r="S1" s="377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5" t="s">
        <v>27</v>
      </c>
      <c r="D22" s="3766"/>
      <c r="E22" s="3766"/>
      <c r="F22" s="3766"/>
      <c r="G22" s="3766"/>
      <c r="H22" s="3766"/>
      <c r="I22" s="3766"/>
      <c r="J22" s="3766"/>
      <c r="K22" s="3766"/>
      <c r="L22" s="3766"/>
      <c r="M22" s="3766"/>
      <c r="N22" s="3766"/>
      <c r="O22" s="3766"/>
      <c r="P22" s="3766"/>
      <c r="Q22" s="376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14" sqref="L14"/>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1">
        <f ca="1">SUMIF(B6:B13,"&lt;&gt;#ref!",B6:B13)</f>
        <v>1579</v>
      </c>
      <c r="C2" s="2145" t="s">
        <v>2074</v>
      </c>
      <c r="D2" s="2145" t="s">
        <v>2075</v>
      </c>
      <c r="E2" s="2611">
        <f ca="1">SUMIF(E6:E13,"&lt;&gt;#ref!",E6:E13)</f>
        <v>662.27</v>
      </c>
      <c r="F2" s="2792"/>
      <c r="G2" s="2792"/>
      <c r="H2" s="2792"/>
      <c r="I2" s="2792"/>
      <c r="J2" s="2792"/>
      <c r="K2" s="2792"/>
      <c r="L2" s="2792"/>
      <c r="M2" s="2792"/>
      <c r="N2" s="2792"/>
      <c r="O2" s="2792"/>
      <c r="P2" s="2792"/>
    </row>
    <row r="3" spans="1:16" ht="15.75">
      <c r="A3" s="2145" t="s">
        <v>2076</v>
      </c>
      <c r="B3" s="2601">
        <f ca="1">ROUND(B2*10000/E2,0)</f>
        <v>23842</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6"/>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1579</v>
      </c>
      <c r="C6" s="2145" t="s">
        <v>2074</v>
      </c>
      <c r="D6" s="2792"/>
      <c r="E6" s="2611">
        <f ca="1">SUMIF(INDIRECT("'"&amp;A6&amp;"'"&amp;"!C:C"),"建筑面积",INDIRECT("'"&amp;A6&amp;"'"&amp;"!D:D"))</f>
        <v>662.27</v>
      </c>
      <c r="F6" s="2792"/>
      <c r="G6" s="2792"/>
      <c r="H6" s="2792"/>
      <c r="I6" s="2792"/>
      <c r="J6" s="2792"/>
      <c r="K6" s="2792"/>
      <c r="L6" s="2792"/>
      <c r="M6" s="2792"/>
      <c r="N6" s="2792"/>
      <c r="O6" s="2792"/>
      <c r="P6" s="2792"/>
    </row>
    <row r="7" spans="1:16" ht="15.75">
      <c r="A7" s="2608"/>
      <c r="B7" s="2601" t="e">
        <f ca="1">SUMIF(INDIRECT("'"&amp;A7&amp;"'"&amp;"!A:A"),"总价",INDIRECT("'"&amp;A7&amp;"'"&amp;"!B:B"))</f>
        <v>#REF!</v>
      </c>
      <c r="C7" s="2145"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5"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5"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5"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5"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5"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5"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34" sqref="D3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662.27</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1579</v>
      </c>
      <c r="C2" s="1999" t="s">
        <v>1935</v>
      </c>
      <c r="D2" s="2000" t="s">
        <v>1936</v>
      </c>
      <c r="E2" s="3421" t="s">
        <v>21</v>
      </c>
      <c r="F2" s="2000" t="s">
        <v>1937</v>
      </c>
      <c r="G2" s="2001" t="str">
        <f>IF(E2="商业",项目基本情况!B37,IF(E2="办公",项目基本情况!C37,IF(E2="住宅",项目基本情况!D37,IF(E2="工业",项目基本情况!E37,项目基本情况!F37))))</f>
        <v>二级</v>
      </c>
      <c r="H2" s="2000" t="s">
        <v>1938</v>
      </c>
      <c r="I2" s="2001" t="str">
        <f>IF(E2="商业",项目基本情况!B38,IF(E2="办公",项目基本情况!C38,IF(E2="住宅",项目基本情况!D38,IF(E2="工业",项目基本情况!E38,项目基本情况!F38))))</f>
        <v>Ⅱ—18</v>
      </c>
      <c r="J2" s="2002"/>
      <c r="K2" s="1119"/>
      <c r="L2" s="2003" t="s">
        <v>1939</v>
      </c>
      <c r="M2" s="864">
        <f>SUMPRODUCT((区片价!B10:B29=I2)*(区片价!C3:G3=E2)*(区片价!C10:G29))</f>
        <v>27770</v>
      </c>
      <c r="N2" s="866">
        <f>SUMPRODUCT((因素修正幅度!B10:B29=I2)*(因素修正幅度!C3:G3=E2)*(因素修正幅度!C10:G29))</f>
        <v>9.5000000000000001E-2</v>
      </c>
      <c r="O2" s="1119"/>
      <c r="P2" s="1119"/>
      <c r="Q2" s="1119"/>
      <c r="R2" s="1212">
        <v>1</v>
      </c>
      <c r="S2" s="3360">
        <f>ROUND(SUMPRODUCT((B106:B110=R2)*(C105:N105=G2)*(C106:N110)),4)</f>
        <v>1.5206</v>
      </c>
      <c r="T2" s="3360">
        <f t="shared" ref="T2:T16" si="0">ROUND($C$5*$C$22*$C$23*$C$24*S2*$C$28,0)</f>
        <v>35748</v>
      </c>
      <c r="U2" s="1213"/>
      <c r="V2" s="3360">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23842</v>
      </c>
      <c r="C3" s="1999" t="s">
        <v>1941</v>
      </c>
      <c r="D3" s="2000" t="s">
        <v>1942</v>
      </c>
      <c r="E3" s="3419" t="s">
        <v>3409</v>
      </c>
      <c r="F3" s="2004" t="s">
        <v>3438</v>
      </c>
      <c r="G3" s="752">
        <f>IF(F3="宗地容积率",'数据-汇总表'!I4,IF(F3="估价对象容积率",'数据-汇总表'!I6,'数据-汇总表'!I7))</f>
        <v>3.17</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1.2072000000000001</v>
      </c>
      <c r="T3" s="3360">
        <f t="shared" si="0"/>
        <v>28380</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78"/>
      <c r="B4" s="3779"/>
      <c r="C4" s="3779"/>
      <c r="D4" s="3780"/>
      <c r="E4" s="3780"/>
      <c r="F4" s="3780"/>
      <c r="G4" s="3780"/>
      <c r="H4" s="3780"/>
      <c r="I4" s="3780"/>
      <c r="J4" s="378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1.0430999999999999</v>
      </c>
      <c r="T4" s="3360">
        <f t="shared" si="0"/>
        <v>24522</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29159</v>
      </c>
      <c r="D5" s="1339">
        <f>ROUND(C6*C17+C20,0)</f>
        <v>27770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0.94389999999999996</v>
      </c>
      <c r="T5" s="3360">
        <f t="shared" si="0"/>
        <v>22190</v>
      </c>
      <c r="U5" s="1213"/>
      <c r="V5" s="3360">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27770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0.89959999999999996</v>
      </c>
      <c r="T6" s="3360">
        <f t="shared" si="0"/>
        <v>21149</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二级</v>
      </c>
      <c r="Y7" s="1214" t="s">
        <v>1956</v>
      </c>
      <c r="Z7" s="1215">
        <f>G3</f>
        <v>3.17</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75" t="s">
        <v>1960</v>
      </c>
      <c r="X8" s="377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77"/>
      <c r="X9" s="3361" t="s">
        <v>3266</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77"/>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3238</v>
      </c>
      <c r="B12" s="3304" t="s">
        <v>3239</v>
      </c>
      <c r="C12" s="3305">
        <v>1.05</v>
      </c>
      <c r="D12" s="3306" t="s">
        <v>3240</v>
      </c>
      <c r="E12" s="3307" t="s">
        <v>3241</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3242</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3243</v>
      </c>
      <c r="G14" s="3311" t="s">
        <v>3243</v>
      </c>
      <c r="H14" s="3311" t="s">
        <v>3243</v>
      </c>
      <c r="I14" s="3311" t="s">
        <v>3243</v>
      </c>
      <c r="J14" s="3311" t="s">
        <v>3243</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3244</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f>ROUND(G18/I18,2)</f>
        <v>0</v>
      </c>
      <c r="F17" s="3321" t="s">
        <v>3250</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3248</v>
      </c>
      <c r="E18" s="3328"/>
      <c r="F18" s="3323" t="s">
        <v>3251</v>
      </c>
      <c r="G18" s="3327">
        <f>ROUND(1-(1/(POWER(1+G24,E18))),4)</f>
        <v>0</v>
      </c>
      <c r="H18" s="3323" t="s">
        <v>3253</v>
      </c>
      <c r="I18" s="3327">
        <f>ROUND(1-(1/(POWER(1+G24,J24))),4)</f>
        <v>0.93120000000000003</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3249</v>
      </c>
      <c r="E19" s="3337"/>
      <c r="F19" s="3338" t="s">
        <v>3252</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82" t="s">
        <v>3254</v>
      </c>
      <c r="B20" s="167" t="s">
        <v>1994</v>
      </c>
      <c r="C20" s="3324">
        <f>ROUND(IF(F21="与级别开发程度一致",0,(G21-E21)/C21),0)</f>
        <v>0</v>
      </c>
      <c r="D20" s="3340" t="s">
        <v>1998</v>
      </c>
      <c r="E20" s="3341"/>
      <c r="F20" s="3788" t="s">
        <v>1995</v>
      </c>
      <c r="G20" s="3789"/>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26.25" thickBot="1">
      <c r="A21" s="3783"/>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3439</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SUMIF(修正!C20:C53,E3,修正!E20:E53)</f>
        <v>1</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0.97289999999999999</v>
      </c>
      <c r="D23" s="2054" t="s">
        <v>2002</v>
      </c>
      <c r="E23" s="761">
        <v>44197</v>
      </c>
      <c r="F23" s="2054" t="s">
        <v>2003</v>
      </c>
      <c r="G23" s="762">
        <f>'数据-取费表'!B2</f>
        <v>45996</v>
      </c>
      <c r="H23" s="3342" t="s">
        <v>3440</v>
      </c>
      <c r="I23" s="3343" t="str">
        <f>IF(H23="季度增幅（自定义）",SUMIF(N25:N28,E2,O25:O28),"")</f>
        <v/>
      </c>
      <c r="J23" s="3445" t="s">
        <v>3441</v>
      </c>
      <c r="K23" s="1125"/>
      <c r="L23" s="2055" t="s">
        <v>2004</v>
      </c>
      <c r="M23" s="1328">
        <f>ROUND(SUMIF(地价!B2:G2,E2,地价!B16:G16),0)</f>
        <v>350</v>
      </c>
      <c r="N23" s="2056" t="s">
        <v>2005</v>
      </c>
      <c r="O23" s="763">
        <f>ROUNDDOWN(DATEDIF(E23,G23,"M")/3,0)</f>
        <v>19</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0.79179999999999995</v>
      </c>
      <c r="D24" s="2060" t="s">
        <v>2007</v>
      </c>
      <c r="E24" s="1335">
        <f>存贷款利率!E28/100</f>
        <v>4.3499999999999997E-2</v>
      </c>
      <c r="F24" s="2060" t="s">
        <v>1999</v>
      </c>
      <c r="G24" s="768">
        <f>SUMIF(M30:Q30,E2,M33:Q33)</f>
        <v>5.5E-2</v>
      </c>
      <c r="H24" s="2060" t="s">
        <v>2008</v>
      </c>
      <c r="I24" s="769">
        <f>SUMIF('数据-取费表'!C6:C15,E2,'数据-取费表'!F6:F15)/COUNTIF('数据-取费表'!C6:C15,E2)</f>
        <v>24.97</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3333</v>
      </c>
      <c r="C25" s="771">
        <f>IF(B25="容积率修正",IF(G3&lt;10,D26,J26),C27)</f>
        <v>1.0143</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3255</v>
      </c>
      <c r="D26" s="1352">
        <f>IF(E26=G26,F26,IF(G3&lt;10,ROUND(F26+(H26-F26)*(G3-E26)/(G26-E26),4),"——"))</f>
        <v>1.0143</v>
      </c>
      <c r="E26" s="752">
        <f>ROUNDDOWN(G3,1)</f>
        <v>3.1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1.0177</v>
      </c>
      <c r="G26" s="752">
        <f>ROUNDUP(G3,1)</f>
        <v>3.2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1.0127999999999999</v>
      </c>
      <c r="I26" s="3344" t="s">
        <v>3256</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1.0466</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1579</v>
      </c>
      <c r="D30" s="2083"/>
      <c r="E30" s="2046"/>
      <c r="F30" s="2084"/>
      <c r="G30" s="2046"/>
      <c r="H30" s="2046"/>
      <c r="I30" s="2046"/>
      <c r="J30" s="2085"/>
      <c r="K30" s="1119"/>
      <c r="L30" s="3350" t="s">
        <v>1936</v>
      </c>
      <c r="M30" s="3351" t="s">
        <v>1990</v>
      </c>
      <c r="N30" s="3351" t="s">
        <v>1991</v>
      </c>
      <c r="O30" s="3351" t="s">
        <v>1992</v>
      </c>
      <c r="P30" s="3351" t="s">
        <v>1993</v>
      </c>
      <c r="Q30" s="3354"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23845</v>
      </c>
      <c r="D33" s="2098">
        <f>'数据-汇总表'!F19</f>
        <v>662.27</v>
      </c>
      <c r="E33" s="773">
        <f>ROUND(C33*D33/10000,0)</f>
        <v>1579</v>
      </c>
      <c r="F33" s="3345" t="s">
        <v>3258</v>
      </c>
      <c r="G33" s="2099"/>
      <c r="H33" s="2099"/>
      <c r="I33" s="2099"/>
      <c r="J33" s="2100"/>
      <c r="K33" s="1119"/>
      <c r="L33" s="3348" t="s">
        <v>3261</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5961</v>
      </c>
      <c r="D34" s="2103"/>
      <c r="E34" s="773">
        <f>ROUND(IF(B25="楼层修正",SUM(V2:V16)*M40,C34*D34/10000),0)</f>
        <v>0</v>
      </c>
      <c r="F34" s="2104" t="s">
        <v>2032</v>
      </c>
      <c r="G34" s="2105"/>
      <c r="H34" s="2105"/>
      <c r="I34" s="2105"/>
      <c r="J34" s="2106"/>
      <c r="K34" s="1119"/>
      <c r="L34" s="3348" t="s">
        <v>3262</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3263</v>
      </c>
      <c r="L36" s="3446">
        <f ca="1">'数据-取费表'!B40</f>
        <v>3.0599999999999999E-2</v>
      </c>
      <c r="M36" s="3357">
        <f ca="1">ROUND($L$36*(1+M31),3)</f>
        <v>3.7999999999999999E-2</v>
      </c>
      <c r="N36" s="3357">
        <f ca="1">ROUND($L$36*(1+N31),3)</f>
        <v>3.6999999999999998E-2</v>
      </c>
      <c r="O36" s="3357">
        <f ca="1">ROUND($L$36*(1+O31),3)</f>
        <v>3.5000000000000003E-2</v>
      </c>
      <c r="P36" s="3357">
        <f ca="1">ROUND($L$36*(1+P31),3)</f>
        <v>3.4000000000000002E-2</v>
      </c>
      <c r="Q36" s="3357">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6"/>
      <c r="B37" s="2113" t="s">
        <v>2036</v>
      </c>
      <c r="C37" s="175">
        <f>ROUND(D5*C22*C23*C24*C28*F37,0)</f>
        <v>15673</v>
      </c>
      <c r="D37" s="2098"/>
      <c r="E37" s="171">
        <f>ROUND(C37*D37/10000,0)</f>
        <v>0</v>
      </c>
      <c r="F37" s="171">
        <f>SUMIF(修正!A59:A70,G2,修正!B59:B70)</f>
        <v>0.7</v>
      </c>
      <c r="G37" s="171">
        <f>ROUND(IF(E2="工业",C37*$M$42,C37*$M$41),0)</f>
        <v>3918</v>
      </c>
      <c r="H37" s="171">
        <f>D37</f>
        <v>0</v>
      </c>
      <c r="I37" s="171">
        <f>ROUND(G37*H37/10000,0)</f>
        <v>0</v>
      </c>
      <c r="J37" s="3011"/>
      <c r="K37" s="3358" t="s">
        <v>3264</v>
      </c>
      <c r="L37" s="3356">
        <f ca="1">L36+K38</f>
        <v>3.56E-2</v>
      </c>
      <c r="M37" s="3357">
        <f ca="1">ROUND($L$37*(1+M31),3)</f>
        <v>4.4999999999999998E-2</v>
      </c>
      <c r="N37" s="3357">
        <f t="shared" ref="N37:Q37" ca="1" si="3">ROUND($L$37*(1+N31),3)</f>
        <v>4.2999999999999997E-2</v>
      </c>
      <c r="O37" s="3357">
        <f t="shared" ca="1" si="3"/>
        <v>4.1000000000000002E-2</v>
      </c>
      <c r="P37" s="3357">
        <f t="shared" ca="1" si="3"/>
        <v>3.9E-2</v>
      </c>
      <c r="Q37" s="3357">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7"/>
      <c r="B38" s="2041" t="s">
        <v>2037</v>
      </c>
      <c r="C38" s="175">
        <f>ROUND(D5*C22*C23*C24*C28*F38,0)</f>
        <v>8956</v>
      </c>
      <c r="D38" s="2098"/>
      <c r="E38" s="171">
        <f t="shared" ref="E38:E42" si="4">ROUND(C38*D38/10000,0)</f>
        <v>0</v>
      </c>
      <c r="F38" s="171">
        <f>SUMIF(修正!A59:A70,G2,修正!C59:C70)</f>
        <v>0.4</v>
      </c>
      <c r="G38" s="171">
        <f>ROUND(IF(E2="工业",C38*$M$42,C38*$M$41),0)</f>
        <v>2239</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87"/>
      <c r="B39" s="2041" t="s">
        <v>3257</v>
      </c>
      <c r="C39" s="175">
        <f>ROUND(D5*C22*C23*C24*C28*F39,0)</f>
        <v>6717</v>
      </c>
      <c r="D39" s="2098"/>
      <c r="E39" s="171">
        <f t="shared" si="4"/>
        <v>0</v>
      </c>
      <c r="F39" s="171">
        <f>SUMIF(修正!A59:A70,G2,修正!D59:D70)</f>
        <v>0.3</v>
      </c>
      <c r="G39" s="171">
        <f>ROUND(IF(E2="工业",C39*$M$42,C39*$M$41),0)</f>
        <v>1679</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6717</v>
      </c>
      <c r="D40" s="2098"/>
      <c r="E40" s="171">
        <f t="shared" si="4"/>
        <v>0</v>
      </c>
      <c r="F40" s="175">
        <f>SUMIF(修正!A59:A70,G2,修正!E59:E70)</f>
        <v>0.3</v>
      </c>
      <c r="G40" s="171">
        <f>ROUND(IF(E2="工业",C40*$M$42,C40*$M$41),0)</f>
        <v>1679</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SUMIF(修正!A59:A70,G2,修正!F59:F70)</f>
        <v>0.3</v>
      </c>
      <c r="G41" s="171">
        <f>ROUND(IF(E2="工业",C41*$M$42,C41*$M$41),0)</f>
        <v>0</v>
      </c>
      <c r="H41" s="171">
        <f t="shared" si="5"/>
        <v>0</v>
      </c>
      <c r="I41" s="171">
        <f t="shared" si="6"/>
        <v>0</v>
      </c>
      <c r="J41" s="2114"/>
      <c r="L41" s="3359"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SUMIF(修正!A59:A70,G2,修正!G59:G70)</f>
        <v>0.2</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3267</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1.0466</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3442</v>
      </c>
      <c r="D61" s="1065">
        <f t="shared" ref="D61:D69" si="12">SUMIF($J$60:$N$60,C61,J61:N61)</f>
        <v>1.18E-2</v>
      </c>
      <c r="E61" s="744">
        <f>ROUND(SUM(D61:D69),4)</f>
        <v>4.6600000000000003E-2</v>
      </c>
      <c r="F61" s="1814">
        <f>IF(E2="办公",SUMIF(L1:L12,G2,N1:N12),"——")</f>
        <v>9.5000000000000001E-2</v>
      </c>
      <c r="G61" s="1063">
        <f>H61</f>
        <v>1.18E-2</v>
      </c>
      <c r="H61" s="1066">
        <f t="shared" ref="H61:H69" si="13">IFERROR(ROUNDDOWN($F$61*I61/2,4),"——")</f>
        <v>1.18E-2</v>
      </c>
      <c r="I61" s="3366">
        <v>0.25</v>
      </c>
      <c r="J61" s="1064">
        <f t="shared" ref="J61:J69" si="14">K61+$G61</f>
        <v>2.3599999999999999E-2</v>
      </c>
      <c r="K61" s="1064">
        <f t="shared" ref="K61:K69" si="15">$L61+$G61</f>
        <v>1.18E-2</v>
      </c>
      <c r="L61" s="1064">
        <v>0</v>
      </c>
      <c r="M61" s="1064">
        <f t="shared" ref="M61:N69" si="16">L61-$G61</f>
        <v>-1.18E-2</v>
      </c>
      <c r="N61" s="1064">
        <f t="shared" si="16"/>
        <v>-2.3599999999999999E-2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3442</v>
      </c>
      <c r="D62" s="1065">
        <f t="shared" si="12"/>
        <v>1.23E-2</v>
      </c>
      <c r="E62" s="745"/>
      <c r="F62" s="1814"/>
      <c r="G62" s="1063">
        <f t="shared" ref="G62:G69" si="17">H62</f>
        <v>1.23E-2</v>
      </c>
      <c r="H62" s="1066">
        <f t="shared" si="13"/>
        <v>1.23E-2</v>
      </c>
      <c r="I62" s="3366">
        <v>0.26</v>
      </c>
      <c r="J62" s="1064">
        <f t="shared" si="14"/>
        <v>2.46E-2</v>
      </c>
      <c r="K62" s="1064">
        <f t="shared" si="15"/>
        <v>1.23E-2</v>
      </c>
      <c r="L62" s="1064">
        <v>0</v>
      </c>
      <c r="M62" s="1064">
        <f t="shared" si="16"/>
        <v>-1.23E-2</v>
      </c>
      <c r="N62" s="1064">
        <f t="shared" si="16"/>
        <v>-2.46E-2</v>
      </c>
      <c r="AA62" s="1120"/>
      <c r="AB62" s="1120"/>
      <c r="AC62" s="1120"/>
      <c r="AD62" s="1120"/>
      <c r="AE62" s="1120"/>
      <c r="AF62" s="1120"/>
      <c r="AG62" s="1120"/>
      <c r="AH62" s="1120"/>
      <c r="AI62" s="1120"/>
      <c r="AJ62" s="1120"/>
      <c r="AK62" s="1120"/>
    </row>
    <row r="63" spans="1:37" s="1119" customFormat="1" ht="36">
      <c r="A63" s="3368" t="s">
        <v>3267</v>
      </c>
      <c r="B63" s="2134">
        <f>估价对象房地状况!C19</f>
        <v>0</v>
      </c>
      <c r="C63" s="2044" t="s">
        <v>3442</v>
      </c>
      <c r="D63" s="1065">
        <f t="shared" si="12"/>
        <v>5.1999999999999998E-3</v>
      </c>
      <c r="E63" s="745"/>
      <c r="F63" s="1814"/>
      <c r="G63" s="1063">
        <f t="shared" si="17"/>
        <v>5.1999999999999998E-3</v>
      </c>
      <c r="H63" s="1066">
        <f t="shared" si="13"/>
        <v>5.1999999999999998E-3</v>
      </c>
      <c r="I63" s="3366">
        <v>0.11</v>
      </c>
      <c r="J63" s="1064">
        <f t="shared" si="14"/>
        <v>1.04E-2</v>
      </c>
      <c r="K63" s="1064">
        <f t="shared" si="15"/>
        <v>5.1999999999999998E-3</v>
      </c>
      <c r="L63" s="1064">
        <v>0</v>
      </c>
      <c r="M63" s="1064">
        <f t="shared" si="16"/>
        <v>-5.1999999999999998E-3</v>
      </c>
      <c r="N63" s="1064">
        <f t="shared" si="16"/>
        <v>-1.04E-2</v>
      </c>
      <c r="AA63" s="1120"/>
      <c r="AB63" s="1120"/>
      <c r="AC63" s="1120"/>
      <c r="AD63" s="1120"/>
      <c r="AE63" s="1120"/>
      <c r="AF63" s="1120"/>
      <c r="AG63" s="1120"/>
      <c r="AH63" s="1120"/>
      <c r="AI63" s="1120"/>
      <c r="AJ63" s="1120"/>
      <c r="AK63" s="1120"/>
    </row>
    <row r="64" spans="1:37" s="1119" customFormat="1" ht="36.75">
      <c r="A64" s="2130" t="s">
        <v>2054</v>
      </c>
      <c r="B64" s="2135" t="s">
        <v>2055</v>
      </c>
      <c r="C64" s="2044" t="s">
        <v>3442</v>
      </c>
      <c r="D64" s="1065">
        <f t="shared" si="12"/>
        <v>2.3E-3</v>
      </c>
      <c r="E64" s="745"/>
      <c r="F64" s="1814"/>
      <c r="G64" s="1063">
        <f t="shared" si="17"/>
        <v>2.3E-3</v>
      </c>
      <c r="H64" s="1066">
        <f t="shared" si="13"/>
        <v>2.3E-3</v>
      </c>
      <c r="I64" s="3366">
        <v>0.05</v>
      </c>
      <c r="J64" s="1064">
        <f t="shared" si="14"/>
        <v>4.5999999999999999E-3</v>
      </c>
      <c r="K64" s="1064">
        <f t="shared" si="15"/>
        <v>2.3E-3</v>
      </c>
      <c r="L64" s="1064">
        <v>0</v>
      </c>
      <c r="M64" s="1064">
        <f t="shared" si="16"/>
        <v>-2.3E-3</v>
      </c>
      <c r="N64" s="1064">
        <f t="shared" si="16"/>
        <v>-4.5999999999999999E-3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3443</v>
      </c>
      <c r="D65" s="1065">
        <f t="shared" si="12"/>
        <v>-2.3E-3</v>
      </c>
      <c r="E65" s="745"/>
      <c r="F65" s="1814"/>
      <c r="G65" s="1063">
        <f t="shared" si="17"/>
        <v>2.3E-3</v>
      </c>
      <c r="H65" s="1066">
        <f t="shared" si="13"/>
        <v>2.3E-3</v>
      </c>
      <c r="I65" s="3366">
        <v>0.05</v>
      </c>
      <c r="J65" s="1064">
        <f t="shared" si="14"/>
        <v>4.5999999999999999E-3</v>
      </c>
      <c r="K65" s="1064">
        <f t="shared" si="15"/>
        <v>2.3E-3</v>
      </c>
      <c r="L65" s="1064">
        <v>0</v>
      </c>
      <c r="M65" s="1064">
        <f t="shared" si="16"/>
        <v>-2.3E-3</v>
      </c>
      <c r="N65" s="1064">
        <f t="shared" si="16"/>
        <v>-4.5999999999999999E-3</v>
      </c>
      <c r="AA65" s="1120"/>
      <c r="AB65" s="1120"/>
      <c r="AC65" s="1120"/>
      <c r="AD65" s="1120"/>
      <c r="AE65" s="1120"/>
      <c r="AF65" s="1120"/>
      <c r="AG65" s="1120"/>
      <c r="AH65" s="1120"/>
      <c r="AI65" s="1120"/>
      <c r="AJ65" s="1120"/>
      <c r="AK65" s="1120"/>
    </row>
    <row r="66" spans="1:37" s="1119" customFormat="1" ht="24">
      <c r="A66" s="2130" t="s">
        <v>2057</v>
      </c>
      <c r="B66" s="2136" t="s">
        <v>2058</v>
      </c>
      <c r="C66" s="2044" t="s">
        <v>3442</v>
      </c>
      <c r="D66" s="1065">
        <f t="shared" si="12"/>
        <v>2.8E-3</v>
      </c>
      <c r="E66" s="745"/>
      <c r="F66" s="1814"/>
      <c r="G66" s="1063">
        <f t="shared" si="17"/>
        <v>2.8E-3</v>
      </c>
      <c r="H66" s="1066">
        <f t="shared" si="13"/>
        <v>2.8E-3</v>
      </c>
      <c r="I66" s="3366">
        <v>0.06</v>
      </c>
      <c r="J66" s="1064">
        <f t="shared" si="14"/>
        <v>5.5999999999999999E-3</v>
      </c>
      <c r="K66" s="1064">
        <f t="shared" si="15"/>
        <v>2.8E-3</v>
      </c>
      <c r="L66" s="1064">
        <v>0</v>
      </c>
      <c r="M66" s="1064">
        <f t="shared" si="16"/>
        <v>-2.8E-3</v>
      </c>
      <c r="N66" s="1064">
        <f t="shared" si="16"/>
        <v>-5.5999999999999999E-3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3442</v>
      </c>
      <c r="D67" s="1065">
        <f t="shared" si="12"/>
        <v>2.8E-3</v>
      </c>
      <c r="E67" s="745"/>
      <c r="F67" s="1814"/>
      <c r="G67" s="1063">
        <f t="shared" si="17"/>
        <v>2.8E-3</v>
      </c>
      <c r="H67" s="1066">
        <f t="shared" si="13"/>
        <v>2.8E-3</v>
      </c>
      <c r="I67" s="3366">
        <v>0.06</v>
      </c>
      <c r="J67" s="1064">
        <f t="shared" si="14"/>
        <v>5.5999999999999999E-3</v>
      </c>
      <c r="K67" s="1064">
        <f t="shared" si="15"/>
        <v>2.8E-3</v>
      </c>
      <c r="L67" s="1064">
        <v>0</v>
      </c>
      <c r="M67" s="1064">
        <f t="shared" si="16"/>
        <v>-2.8E-3</v>
      </c>
      <c r="N67" s="1064">
        <f t="shared" si="16"/>
        <v>-5.5999999999999999E-3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3444</v>
      </c>
      <c r="D68" s="1065">
        <f t="shared" si="12"/>
        <v>8.3999999999999995E-3</v>
      </c>
      <c r="E68" s="745"/>
      <c r="F68" s="1814"/>
      <c r="G68" s="1063">
        <f t="shared" si="17"/>
        <v>4.1999999999999997E-3</v>
      </c>
      <c r="H68" s="1066">
        <f t="shared" si="13"/>
        <v>4.1999999999999997E-3</v>
      </c>
      <c r="I68" s="3366">
        <v>0.09</v>
      </c>
      <c r="J68" s="1064">
        <f t="shared" si="14"/>
        <v>8.3999999999999995E-3</v>
      </c>
      <c r="K68" s="1064">
        <f t="shared" si="15"/>
        <v>4.1999999999999997E-3</v>
      </c>
      <c r="L68" s="1064">
        <v>0</v>
      </c>
      <c r="M68" s="1064">
        <f t="shared" si="16"/>
        <v>-4.1999999999999997E-3</v>
      </c>
      <c r="N68" s="1064">
        <f t="shared" si="16"/>
        <v>-8.3999999999999995E-3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3442</v>
      </c>
      <c r="D69" s="1065">
        <f t="shared" si="12"/>
        <v>3.3E-3</v>
      </c>
      <c r="E69" s="746"/>
      <c r="F69" s="1814"/>
      <c r="G69" s="1063">
        <f t="shared" si="17"/>
        <v>3.3E-3</v>
      </c>
      <c r="H69" s="1066">
        <f t="shared" si="13"/>
        <v>3.3E-3</v>
      </c>
      <c r="I69" s="3367">
        <v>7.0000000000000007E-2</v>
      </c>
      <c r="J69" s="1064">
        <f t="shared" si="14"/>
        <v>6.6E-3</v>
      </c>
      <c r="K69" s="1064">
        <f t="shared" si="15"/>
        <v>3.3E-3</v>
      </c>
      <c r="L69" s="1064">
        <v>0</v>
      </c>
      <c r="M69" s="1064">
        <f t="shared" si="16"/>
        <v>-3.3E-3</v>
      </c>
      <c r="N69" s="1064">
        <f t="shared" si="16"/>
        <v>-6.6E-3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6">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6">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8" t="s">
        <v>3267</v>
      </c>
      <c r="B74" s="2134">
        <f>估价对象房地状况!C19</f>
        <v>0</v>
      </c>
      <c r="C74" s="2044"/>
      <c r="D74" s="1065">
        <f t="shared" si="18"/>
        <v>0</v>
      </c>
      <c r="E74" s="747"/>
      <c r="F74" s="1814"/>
      <c r="G74" s="1063"/>
      <c r="H74" s="1066" t="str">
        <f t="shared" si="19"/>
        <v>——</v>
      </c>
      <c r="I74" s="3366">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6">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6">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6">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6">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6">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7">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6">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6">
        <v>0.3</v>
      </c>
      <c r="J84" s="1064">
        <f t="shared" si="25"/>
        <v>0</v>
      </c>
      <c r="K84" s="1064">
        <f t="shared" si="26"/>
        <v>0</v>
      </c>
      <c r="L84" s="1064">
        <v>0</v>
      </c>
      <c r="M84" s="1064">
        <f t="shared" si="27"/>
        <v>0</v>
      </c>
      <c r="N84" s="1064">
        <f t="shared" si="27"/>
        <v>0</v>
      </c>
      <c r="Z84" s="1998"/>
      <c r="AA84" s="2053"/>
      <c r="AG84" s="1121"/>
      <c r="AK84" s="2053"/>
    </row>
    <row r="85" spans="1:37" ht="36">
      <c r="A85" s="3368" t="s">
        <v>3268</v>
      </c>
      <c r="B85" s="2134">
        <f>估价对象房地状况!G17</f>
        <v>0</v>
      </c>
      <c r="C85" s="2044"/>
      <c r="D85" s="1065">
        <f t="shared" si="23"/>
        <v>0</v>
      </c>
      <c r="E85" s="747"/>
      <c r="F85" s="1814"/>
      <c r="G85" s="1063"/>
      <c r="H85" s="1066" t="str">
        <f t="shared" si="24"/>
        <v>——</v>
      </c>
      <c r="I85" s="3366">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6">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6">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6">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6">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7">
        <v>0.05</v>
      </c>
      <c r="J90" s="1064">
        <f t="shared" si="25"/>
        <v>0</v>
      </c>
      <c r="K90" s="1064">
        <f t="shared" si="26"/>
        <v>0</v>
      </c>
      <c r="L90" s="1064">
        <v>0</v>
      </c>
      <c r="M90" s="1064">
        <f t="shared" si="27"/>
        <v>0</v>
      </c>
      <c r="N90" s="1064">
        <f t="shared" si="27"/>
        <v>0</v>
      </c>
    </row>
    <row r="91" spans="1:37" ht="15">
      <c r="A91" s="3376" t="s">
        <v>2612</v>
      </c>
      <c r="B91" s="3377">
        <f>1+E93</f>
        <v>1</v>
      </c>
      <c r="C91" s="3370"/>
      <c r="D91" s="3371"/>
      <c r="E91" s="1814"/>
      <c r="F91" s="1814"/>
      <c r="G91" s="3372"/>
      <c r="H91" s="3373"/>
      <c r="I91" s="3374"/>
      <c r="J91" s="3375"/>
      <c r="K91" s="3375"/>
      <c r="L91" s="3375"/>
      <c r="M91" s="3375"/>
      <c r="N91" s="3375"/>
    </row>
    <row r="92" spans="1:37" ht="24.75">
      <c r="A92" s="3378" t="s">
        <v>3269</v>
      </c>
      <c r="B92" s="3365"/>
      <c r="C92" s="3365" t="s">
        <v>3278</v>
      </c>
      <c r="D92" s="3365" t="s">
        <v>3279</v>
      </c>
      <c r="E92" s="3347" t="s">
        <v>3280</v>
      </c>
      <c r="F92" s="3380" t="s">
        <v>3281</v>
      </c>
      <c r="G92" s="3365" t="s">
        <v>3282</v>
      </c>
      <c r="H92" s="3387" t="s">
        <v>3285</v>
      </c>
      <c r="I92" s="3365" t="s">
        <v>3286</v>
      </c>
      <c r="J92" s="3388" t="s">
        <v>3287</v>
      </c>
      <c r="K92" s="3388" t="s">
        <v>3288</v>
      </c>
      <c r="L92" s="3388" t="s">
        <v>3289</v>
      </c>
      <c r="M92" s="3388" t="s">
        <v>3290</v>
      </c>
      <c r="N92" s="3388" t="s">
        <v>3291</v>
      </c>
    </row>
    <row r="93" spans="1:37" ht="24">
      <c r="A93" s="3368" t="s">
        <v>3270</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3271</v>
      </c>
      <c r="B94" s="3369" t="str">
        <f>估价对象房地状况!C18</f>
        <v>估价对象周边道路状况、公共交通通达情况、停车便捷程度，综合评价交通便捷度较好</v>
      </c>
      <c r="C94" s="2044"/>
      <c r="D94" s="3365">
        <f t="shared" ref="D94:D101" si="31">SUMIF($J$60:$N$60,C94,J94:N94)</f>
        <v>0</v>
      </c>
      <c r="E94" s="3382"/>
      <c r="F94" s="1814"/>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3267</v>
      </c>
      <c r="B95" s="3369">
        <f>估价对象房地状况!C19</f>
        <v>0</v>
      </c>
      <c r="C95" s="2044"/>
      <c r="D95" s="3365">
        <f t="shared" si="31"/>
        <v>0</v>
      </c>
      <c r="E95" s="3382"/>
      <c r="F95" s="1814"/>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3272</v>
      </c>
      <c r="B96" s="3384" t="s">
        <v>3283</v>
      </c>
      <c r="C96" s="2044"/>
      <c r="D96" s="3365">
        <f t="shared" si="31"/>
        <v>0</v>
      </c>
      <c r="E96" s="3382"/>
      <c r="F96" s="1814"/>
      <c r="G96" s="3372"/>
      <c r="H96" s="3420" t="str">
        <f t="shared" si="32"/>
        <v>——</v>
      </c>
      <c r="I96" s="3366">
        <v>0.05</v>
      </c>
      <c r="J96" s="3344">
        <f t="shared" si="28"/>
        <v>0</v>
      </c>
      <c r="K96" s="3344">
        <f t="shared" si="29"/>
        <v>0</v>
      </c>
      <c r="L96" s="3344">
        <v>0</v>
      </c>
      <c r="M96" s="3344">
        <f t="shared" si="30"/>
        <v>0</v>
      </c>
      <c r="N96" s="3344">
        <f t="shared" si="30"/>
        <v>0</v>
      </c>
    </row>
    <row r="97" spans="1:14" ht="24">
      <c r="A97" s="3378" t="s">
        <v>3273</v>
      </c>
      <c r="B97" s="3369">
        <f>估价对象房地状况!C24</f>
        <v>0</v>
      </c>
      <c r="C97" s="2044"/>
      <c r="D97" s="3365">
        <f t="shared" si="31"/>
        <v>0</v>
      </c>
      <c r="E97" s="3382"/>
      <c r="F97" s="1814"/>
      <c r="G97" s="3372"/>
      <c r="H97" s="3420" t="str">
        <f t="shared" si="32"/>
        <v>——</v>
      </c>
      <c r="I97" s="3366">
        <v>0.05</v>
      </c>
      <c r="J97" s="3344">
        <f t="shared" si="28"/>
        <v>0</v>
      </c>
      <c r="K97" s="3344">
        <f t="shared" si="29"/>
        <v>0</v>
      </c>
      <c r="L97" s="3344">
        <v>0</v>
      </c>
      <c r="M97" s="3344">
        <f t="shared" si="30"/>
        <v>0</v>
      </c>
      <c r="N97" s="3344">
        <f t="shared" si="30"/>
        <v>0</v>
      </c>
    </row>
    <row r="98" spans="1:14" ht="24">
      <c r="A98" s="3378" t="s">
        <v>3274</v>
      </c>
      <c r="B98" s="3385" t="s">
        <v>3284</v>
      </c>
      <c r="C98" s="2044"/>
      <c r="D98" s="3365">
        <f t="shared" si="31"/>
        <v>0</v>
      </c>
      <c r="E98" s="3382"/>
      <c r="F98" s="1814"/>
      <c r="G98" s="3372"/>
      <c r="H98" s="3420" t="str">
        <f t="shared" si="32"/>
        <v>——</v>
      </c>
      <c r="I98" s="3366">
        <v>0.06</v>
      </c>
      <c r="J98" s="3344">
        <f t="shared" si="28"/>
        <v>0</v>
      </c>
      <c r="K98" s="3344">
        <f t="shared" si="29"/>
        <v>0</v>
      </c>
      <c r="L98" s="3344">
        <v>0</v>
      </c>
      <c r="M98" s="3344">
        <f t="shared" si="30"/>
        <v>0</v>
      </c>
      <c r="N98" s="3344">
        <f t="shared" si="30"/>
        <v>0</v>
      </c>
    </row>
    <row r="99" spans="1:14" ht="25.5">
      <c r="A99" s="3378" t="s">
        <v>3275</v>
      </c>
      <c r="B99" s="3369" t="str">
        <f>估价对象房地状况!C21</f>
        <v>估价对象所在区域公共配套设施齐备情况</v>
      </c>
      <c r="C99" s="2044"/>
      <c r="D99" s="3365">
        <f t="shared" si="31"/>
        <v>0</v>
      </c>
      <c r="E99" s="3382"/>
      <c r="F99" s="1814"/>
      <c r="G99" s="3372"/>
      <c r="H99" s="3420" t="str">
        <f t="shared" si="32"/>
        <v>——</v>
      </c>
      <c r="I99" s="3366">
        <v>0.06</v>
      </c>
      <c r="J99" s="3344">
        <f t="shared" si="28"/>
        <v>0</v>
      </c>
      <c r="K99" s="3344">
        <f t="shared" si="29"/>
        <v>0</v>
      </c>
      <c r="L99" s="3344">
        <v>0</v>
      </c>
      <c r="M99" s="3344">
        <f t="shared" si="30"/>
        <v>0</v>
      </c>
      <c r="N99" s="3344">
        <f t="shared" si="30"/>
        <v>0</v>
      </c>
    </row>
    <row r="100" spans="1:14" ht="25.5">
      <c r="A100" s="3378" t="s">
        <v>3276</v>
      </c>
      <c r="B100" s="3369" t="str">
        <f>估价对象房地状况!C22</f>
        <v>估价对象所在区域基础设施水平</v>
      </c>
      <c r="C100" s="2044"/>
      <c r="D100" s="3365">
        <f t="shared" si="31"/>
        <v>0</v>
      </c>
      <c r="E100" s="3382"/>
      <c r="F100" s="1814"/>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3277</v>
      </c>
      <c r="B101" s="3386" t="str">
        <f>估价对象房地状况!C20</f>
        <v>区域自然环境：；人文环境；综合评价环境状况一般</v>
      </c>
      <c r="C101" s="2044"/>
      <c r="D101" s="3365">
        <f t="shared" si="31"/>
        <v>0</v>
      </c>
      <c r="E101" s="3383"/>
      <c r="F101" s="1814"/>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84" t="s">
        <v>3292</v>
      </c>
      <c r="B103" s="3784"/>
      <c r="C103" s="3784"/>
      <c r="D103" s="3784"/>
      <c r="E103" s="3784"/>
      <c r="F103" s="3784"/>
      <c r="G103" s="3784"/>
      <c r="H103" s="3784"/>
      <c r="I103" s="3784"/>
      <c r="J103" s="3784"/>
      <c r="K103" s="3389"/>
      <c r="L103" s="3389"/>
      <c r="M103" s="3389"/>
      <c r="N103" s="3389"/>
    </row>
    <row r="104" spans="1:14">
      <c r="A104" s="3785" t="s">
        <v>3293</v>
      </c>
      <c r="B104" s="3785" t="s">
        <v>3294</v>
      </c>
      <c r="C104" s="3390" t="s">
        <v>3295</v>
      </c>
      <c r="D104" s="3391"/>
      <c r="E104" s="3391"/>
      <c r="F104" s="3391"/>
      <c r="G104" s="3391"/>
      <c r="H104" s="3391"/>
      <c r="I104" s="3391"/>
      <c r="J104" s="3392"/>
      <c r="K104" s="3393"/>
      <c r="L104" s="3393"/>
      <c r="M104" s="3393"/>
      <c r="N104" s="3393"/>
    </row>
    <row r="105" spans="1:14">
      <c r="A105" s="3785"/>
      <c r="B105" s="3785"/>
      <c r="C105" s="3394" t="s">
        <v>3296</v>
      </c>
      <c r="D105" s="3394" t="s">
        <v>3297</v>
      </c>
      <c r="E105" s="3394" t="s">
        <v>3298</v>
      </c>
      <c r="F105" s="3394" t="s">
        <v>3299</v>
      </c>
      <c r="G105" s="3394" t="s">
        <v>3300</v>
      </c>
      <c r="H105" s="3394" t="s">
        <v>3301</v>
      </c>
      <c r="I105" s="3394" t="s">
        <v>3302</v>
      </c>
      <c r="J105" s="3394" t="s">
        <v>3303</v>
      </c>
      <c r="K105" s="3394" t="s">
        <v>3304</v>
      </c>
      <c r="L105" s="3394" t="s">
        <v>3305</v>
      </c>
      <c r="M105" s="3394" t="s">
        <v>3306</v>
      </c>
      <c r="N105" s="3394" t="s">
        <v>3307</v>
      </c>
    </row>
    <row r="106" spans="1:14">
      <c r="A106" s="3771" t="s">
        <v>3308</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72"/>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72"/>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72"/>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72"/>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72"/>
      <c r="B111" s="3394" t="s">
        <v>3266</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73"/>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74" t="s">
        <v>3309</v>
      </c>
      <c r="B113" s="3774"/>
      <c r="C113" s="3774"/>
      <c r="D113" s="3774"/>
      <c r="E113" s="3774"/>
      <c r="F113" s="3774"/>
      <c r="G113" s="3774"/>
      <c r="H113" s="3774"/>
      <c r="I113" s="3774"/>
      <c r="J113" s="3774"/>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3310</v>
      </c>
      <c r="B116" s="3415">
        <f>G3</f>
        <v>3.17</v>
      </c>
      <c r="C116" s="3399" t="s">
        <v>3311</v>
      </c>
      <c r="D116" s="3400">
        <f>SUMPRODUCT((A118:A122=F116)*(B117:M117=H116)*B118:M122)</f>
        <v>0.95750000000000002</v>
      </c>
      <c r="E116" s="2000" t="s">
        <v>3312</v>
      </c>
      <c r="F116" s="3401" t="str">
        <f>E2</f>
        <v>办公</v>
      </c>
      <c r="G116" s="2000" t="s">
        <v>3313</v>
      </c>
      <c r="H116" s="3401" t="str">
        <f>G2</f>
        <v>二级</v>
      </c>
      <c r="I116" s="2000"/>
      <c r="J116" s="3402"/>
      <c r="K116" s="3402"/>
      <c r="L116" s="3402"/>
      <c r="M116" s="3402"/>
      <c r="N116" s="3397"/>
    </row>
    <row r="117" spans="1:14">
      <c r="A117" s="3403"/>
      <c r="B117" s="3404" t="s">
        <v>3314</v>
      </c>
      <c r="C117" s="3404" t="s">
        <v>3315</v>
      </c>
      <c r="D117" s="3404" t="s">
        <v>3316</v>
      </c>
      <c r="E117" s="3405" t="s">
        <v>3317</v>
      </c>
      <c r="F117" s="3405" t="s">
        <v>3318</v>
      </c>
      <c r="G117" s="3405" t="s">
        <v>3319</v>
      </c>
      <c r="H117" s="3406" t="s">
        <v>3320</v>
      </c>
      <c r="I117" s="3406" t="s">
        <v>3321</v>
      </c>
      <c r="J117" s="3407" t="s">
        <v>3322</v>
      </c>
      <c r="K117" s="3407" t="s">
        <v>3323</v>
      </c>
      <c r="L117" s="3407" t="s">
        <v>3324</v>
      </c>
      <c r="M117" s="3408" t="s">
        <v>3325</v>
      </c>
      <c r="N117" s="3397"/>
    </row>
    <row r="118" spans="1:14">
      <c r="A118" s="3409" t="s">
        <v>3326</v>
      </c>
      <c r="B118" s="3387">
        <f>ROUND(0.9968-0.011*B116,4)</f>
        <v>0.96189999999999998</v>
      </c>
      <c r="C118" s="3387">
        <f>B118</f>
        <v>0.96189999999999998</v>
      </c>
      <c r="D118" s="3387">
        <f>ROUND(0.949-0.014*B116,4)</f>
        <v>0.90459999999999996</v>
      </c>
      <c r="E118" s="3387">
        <f>D118</f>
        <v>0.90459999999999996</v>
      </c>
      <c r="F118" s="3387">
        <f>E118</f>
        <v>0.90459999999999996</v>
      </c>
      <c r="G118" s="3387">
        <f>F118</f>
        <v>0.90459999999999996</v>
      </c>
      <c r="H118" s="3387">
        <f>G118</f>
        <v>0.90459999999999996</v>
      </c>
      <c r="I118" s="3387">
        <f>ROUND(0.8486-0.018*B116,4)</f>
        <v>0.79149999999999998</v>
      </c>
      <c r="J118" s="3387">
        <f t="shared" ref="J118:M122" si="36">I118</f>
        <v>0.79149999999999998</v>
      </c>
      <c r="K118" s="3387">
        <f t="shared" si="36"/>
        <v>0.79149999999999998</v>
      </c>
      <c r="L118" s="3387">
        <f t="shared" si="36"/>
        <v>0.79149999999999998</v>
      </c>
      <c r="M118" s="3410">
        <f t="shared" si="36"/>
        <v>0.79149999999999998</v>
      </c>
      <c r="N118" s="3397"/>
    </row>
    <row r="119" spans="1:14">
      <c r="A119" s="3409" t="s">
        <v>3327</v>
      </c>
      <c r="B119" s="3387">
        <f>ROUND(0.993-0.0112*B116,4)</f>
        <v>0.95750000000000002</v>
      </c>
      <c r="C119" s="3387">
        <f>B119</f>
        <v>0.95750000000000002</v>
      </c>
      <c r="D119" s="3387">
        <f>ROUND(0.9415-0.0142*B116,4)</f>
        <v>0.89649999999999996</v>
      </c>
      <c r="E119" s="3387">
        <f t="shared" ref="E119:H120" si="37">D119</f>
        <v>0.89649999999999996</v>
      </c>
      <c r="F119" s="3387">
        <f t="shared" si="37"/>
        <v>0.89649999999999996</v>
      </c>
      <c r="G119" s="3387">
        <f t="shared" si="37"/>
        <v>0.89649999999999996</v>
      </c>
      <c r="H119" s="3387">
        <f t="shared" si="37"/>
        <v>0.89649999999999996</v>
      </c>
      <c r="I119" s="3387">
        <f>ROUND(0.838-0.0182*B116,4)</f>
        <v>0.78029999999999999</v>
      </c>
      <c r="J119" s="3387">
        <f t="shared" si="36"/>
        <v>0.78029999999999999</v>
      </c>
      <c r="K119" s="3387">
        <f t="shared" si="36"/>
        <v>0.78029999999999999</v>
      </c>
      <c r="L119" s="3387">
        <f t="shared" si="36"/>
        <v>0.78029999999999999</v>
      </c>
      <c r="M119" s="3410">
        <f t="shared" si="36"/>
        <v>0.78029999999999999</v>
      </c>
      <c r="N119" s="3397"/>
    </row>
    <row r="120" spans="1:14">
      <c r="A120" s="3409" t="s">
        <v>3328</v>
      </c>
      <c r="B120" s="3387">
        <f>ROUND(0.9448-0.0115*B116,4)</f>
        <v>0.9083</v>
      </c>
      <c r="C120" s="3387">
        <f>B120</f>
        <v>0.9083</v>
      </c>
      <c r="D120" s="3387">
        <f>ROUND(0.937-0.0145*B116,4)</f>
        <v>0.89100000000000001</v>
      </c>
      <c r="E120" s="3387">
        <f t="shared" si="37"/>
        <v>0.89100000000000001</v>
      </c>
      <c r="F120" s="3387">
        <f t="shared" si="37"/>
        <v>0.89100000000000001</v>
      </c>
      <c r="G120" s="3387">
        <f t="shared" si="37"/>
        <v>0.89100000000000001</v>
      </c>
      <c r="H120" s="3387">
        <f t="shared" si="37"/>
        <v>0.89100000000000001</v>
      </c>
      <c r="I120" s="3387">
        <f>ROUND(0.7965-0.0185*B116,4)</f>
        <v>0.7379</v>
      </c>
      <c r="J120" s="3387">
        <f t="shared" si="36"/>
        <v>0.7379</v>
      </c>
      <c r="K120" s="3387">
        <f t="shared" si="36"/>
        <v>0.7379</v>
      </c>
      <c r="L120" s="3387">
        <f t="shared" si="36"/>
        <v>0.7379</v>
      </c>
      <c r="M120" s="3410">
        <f t="shared" si="36"/>
        <v>0.7379</v>
      </c>
      <c r="N120" s="3397"/>
    </row>
    <row r="121" spans="1:14" ht="13.5" thickBot="1">
      <c r="A121" s="3411" t="s">
        <v>3329</v>
      </c>
      <c r="B121" s="3412">
        <f>ROUND(0.7836-0.012*B116,4)</f>
        <v>0.74560000000000004</v>
      </c>
      <c r="C121" s="3412">
        <f>B121</f>
        <v>0.74560000000000004</v>
      </c>
      <c r="D121" s="3412">
        <f>ROUND(0.753-0.015*B116,4)</f>
        <v>0.70550000000000002</v>
      </c>
      <c r="E121" s="3412">
        <f>D121</f>
        <v>0.70550000000000002</v>
      </c>
      <c r="F121" s="3412">
        <f>E121</f>
        <v>0.70550000000000002</v>
      </c>
      <c r="G121" s="3412">
        <f>ROUND(0.6612-0.018*B116,4)</f>
        <v>0.60409999999999997</v>
      </c>
      <c r="H121" s="3412">
        <f>G121</f>
        <v>0.60409999999999997</v>
      </c>
      <c r="I121" s="3412">
        <f>ROUND(0.5905-0.019*B116,4)</f>
        <v>0.53029999999999999</v>
      </c>
      <c r="J121" s="3412">
        <f t="shared" si="36"/>
        <v>0.53029999999999999</v>
      </c>
      <c r="K121" s="3412">
        <f t="shared" si="36"/>
        <v>0.53029999999999999</v>
      </c>
      <c r="L121" s="3412">
        <f t="shared" si="36"/>
        <v>0.53029999999999999</v>
      </c>
      <c r="M121" s="3413">
        <f t="shared" si="36"/>
        <v>0.53029999999999999</v>
      </c>
      <c r="N121" s="3397"/>
    </row>
    <row r="122" spans="1:14">
      <c r="A122" s="3414" t="s">
        <v>2612</v>
      </c>
      <c r="B122" s="3387">
        <f>ROUND(0.9404-0.0106*B116,4)</f>
        <v>0.90680000000000005</v>
      </c>
      <c r="C122" s="3387">
        <f>B122</f>
        <v>0.90680000000000005</v>
      </c>
      <c r="D122" s="3387">
        <f>ROUND(0.8955-0.0135*B116,4)</f>
        <v>0.85270000000000001</v>
      </c>
      <c r="E122" s="3387">
        <f t="shared" ref="E122:H122" si="38">D122</f>
        <v>0.85270000000000001</v>
      </c>
      <c r="F122" s="3387">
        <f t="shared" si="38"/>
        <v>0.85270000000000001</v>
      </c>
      <c r="G122" s="3387">
        <f t="shared" si="38"/>
        <v>0.85270000000000001</v>
      </c>
      <c r="H122" s="3387">
        <f t="shared" si="38"/>
        <v>0.85270000000000001</v>
      </c>
      <c r="I122" s="3387">
        <f>ROUND(0.7632-0.0166*B116,4)</f>
        <v>0.71060000000000001</v>
      </c>
      <c r="J122" s="3387">
        <f t="shared" si="36"/>
        <v>0.71060000000000001</v>
      </c>
      <c r="K122" s="3387">
        <f t="shared" si="36"/>
        <v>0.71060000000000001</v>
      </c>
      <c r="L122" s="3387">
        <f t="shared" si="36"/>
        <v>0.71060000000000001</v>
      </c>
      <c r="M122" s="3410">
        <f t="shared" si="36"/>
        <v>0.71060000000000001</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800" t="s">
        <v>2607</v>
      </c>
      <c r="B20" s="3790" t="s">
        <v>2628</v>
      </c>
      <c r="C20" s="3476" t="s">
        <v>2439</v>
      </c>
      <c r="D20" s="3476"/>
      <c r="E20" s="3104">
        <v>1</v>
      </c>
      <c r="F20" s="3105" t="s">
        <v>2440</v>
      </c>
      <c r="G20" s="3105"/>
    </row>
    <row r="21" spans="1:13" ht="19.5" customHeight="1">
      <c r="A21" s="3801"/>
      <c r="B21" s="3791"/>
      <c r="C21" s="3466" t="s">
        <v>2441</v>
      </c>
      <c r="D21" s="3466"/>
      <c r="E21" s="3108">
        <v>1</v>
      </c>
      <c r="F21" s="3105" t="s">
        <v>2442</v>
      </c>
      <c r="G21" s="3105"/>
    </row>
    <row r="22" spans="1:13" ht="19.5" customHeight="1">
      <c r="A22" s="3801"/>
      <c r="B22" s="3791"/>
      <c r="C22" s="3466" t="s">
        <v>2443</v>
      </c>
      <c r="D22" s="3466"/>
      <c r="E22" s="3108">
        <v>0.9</v>
      </c>
      <c r="F22" s="3105" t="s">
        <v>2444</v>
      </c>
      <c r="G22" s="3105"/>
    </row>
    <row r="23" spans="1:13" ht="19.5" customHeight="1">
      <c r="A23" s="3801"/>
      <c r="B23" s="3791"/>
      <c r="C23" s="3466" t="s">
        <v>2445</v>
      </c>
      <c r="D23" s="3466"/>
      <c r="E23" s="3108">
        <v>0.9</v>
      </c>
      <c r="F23" s="3105" t="s">
        <v>2446</v>
      </c>
      <c r="G23" s="3105"/>
    </row>
    <row r="24" spans="1:13" ht="19.5" customHeight="1">
      <c r="A24" s="3801"/>
      <c r="B24" s="3791"/>
      <c r="C24" s="3466" t="s">
        <v>2447</v>
      </c>
      <c r="D24" s="3466"/>
      <c r="E24" s="3108">
        <v>0.8</v>
      </c>
      <c r="F24" s="3105" t="s">
        <v>2448</v>
      </c>
      <c r="G24" s="3105"/>
    </row>
    <row r="25" spans="1:13" ht="19.5" customHeight="1">
      <c r="A25" s="3801"/>
      <c r="B25" s="3791"/>
      <c r="C25" s="3466" t="s">
        <v>2449</v>
      </c>
      <c r="D25" s="3466"/>
      <c r="E25" s="3108">
        <v>0.8</v>
      </c>
      <c r="F25" s="3105"/>
      <c r="G25" s="3105"/>
    </row>
    <row r="26" spans="1:13" ht="19.5" customHeight="1">
      <c r="A26" s="3801"/>
      <c r="B26" s="3791"/>
      <c r="C26" s="3469" t="s">
        <v>3407</v>
      </c>
      <c r="D26" s="3469"/>
      <c r="E26" s="3470">
        <v>0.43</v>
      </c>
      <c r="F26" s="3105"/>
      <c r="G26" s="3105"/>
    </row>
    <row r="27" spans="1:13" ht="19.5" customHeight="1" thickBot="1">
      <c r="A27" s="3802"/>
      <c r="B27" s="3792"/>
      <c r="C27" s="3471" t="s">
        <v>3408</v>
      </c>
      <c r="D27" s="3471"/>
      <c r="E27" s="3472">
        <f>E26*0.9</f>
        <v>0.38700000000000001</v>
      </c>
      <c r="F27" s="3105" t="s">
        <v>2450</v>
      </c>
      <c r="G27" s="3105"/>
    </row>
    <row r="28" spans="1:13" ht="19.5" customHeight="1" thickBot="1">
      <c r="A28" s="3468" t="s">
        <v>2629</v>
      </c>
      <c r="B28" s="3467" t="s">
        <v>2628</v>
      </c>
      <c r="C28" s="3473" t="s">
        <v>2630</v>
      </c>
      <c r="D28" s="3474"/>
      <c r="E28" s="3475">
        <v>1</v>
      </c>
      <c r="F28" s="3105" t="s">
        <v>2451</v>
      </c>
      <c r="G28" s="3105"/>
    </row>
    <row r="29" spans="1:13" ht="19.5" customHeight="1">
      <c r="A29" s="3793" t="s">
        <v>2631</v>
      </c>
      <c r="B29" s="3796" t="s">
        <v>2612</v>
      </c>
      <c r="C29" s="3102" t="s">
        <v>2452</v>
      </c>
      <c r="D29" s="3103"/>
      <c r="E29" s="3104">
        <v>1</v>
      </c>
      <c r="F29" s="3105" t="s">
        <v>2453</v>
      </c>
      <c r="G29" s="3105"/>
    </row>
    <row r="30" spans="1:13" ht="19.5" customHeight="1">
      <c r="A30" s="3794"/>
      <c r="B30" s="3797"/>
      <c r="C30" s="3106" t="s">
        <v>2454</v>
      </c>
      <c r="D30" s="3107"/>
      <c r="E30" s="3108">
        <v>1</v>
      </c>
      <c r="F30" s="3105" t="s">
        <v>2455</v>
      </c>
      <c r="G30" s="3105"/>
    </row>
    <row r="31" spans="1:13" ht="19.5" customHeight="1">
      <c r="A31" s="3794"/>
      <c r="B31" s="3797"/>
      <c r="C31" s="3106" t="s">
        <v>2456</v>
      </c>
      <c r="D31" s="3107"/>
      <c r="E31" s="3108">
        <v>0.8</v>
      </c>
      <c r="F31" s="3105" t="s">
        <v>2457</v>
      </c>
      <c r="G31" s="3105"/>
    </row>
    <row r="32" spans="1:13" ht="19.5" customHeight="1">
      <c r="A32" s="3794"/>
      <c r="B32" s="3797"/>
      <c r="C32" s="3106" t="s">
        <v>2458</v>
      </c>
      <c r="D32" s="3107"/>
      <c r="E32" s="3108">
        <v>0.8</v>
      </c>
      <c r="F32" s="3105" t="s">
        <v>2459</v>
      </c>
      <c r="G32" s="3105"/>
    </row>
    <row r="33" spans="1:7" ht="19.5" customHeight="1">
      <c r="A33" s="3794"/>
      <c r="B33" s="3797"/>
      <c r="C33" s="3106" t="s">
        <v>2460</v>
      </c>
      <c r="D33" s="3107"/>
      <c r="E33" s="3108">
        <v>0.8</v>
      </c>
      <c r="F33" s="3105" t="s">
        <v>2461</v>
      </c>
      <c r="G33" s="3105"/>
    </row>
    <row r="34" spans="1:7" ht="19.5" customHeight="1">
      <c r="A34" s="3794"/>
      <c r="B34" s="3797"/>
      <c r="C34" s="3106" t="s">
        <v>2462</v>
      </c>
      <c r="D34" s="3107"/>
      <c r="E34" s="3108">
        <v>0.7</v>
      </c>
      <c r="F34" s="3105" t="s">
        <v>2463</v>
      </c>
      <c r="G34" s="3105"/>
    </row>
    <row r="35" spans="1:7" ht="19.5" customHeight="1">
      <c r="A35" s="3794"/>
      <c r="B35" s="3797"/>
      <c r="C35" s="3106" t="s">
        <v>2464</v>
      </c>
      <c r="D35" s="3107"/>
      <c r="E35" s="3108">
        <v>0.8</v>
      </c>
      <c r="F35" s="3105" t="s">
        <v>2465</v>
      </c>
      <c r="G35" s="3105"/>
    </row>
    <row r="36" spans="1:7" ht="19.5" customHeight="1">
      <c r="A36" s="3794"/>
      <c r="B36" s="3797"/>
      <c r="C36" s="3106" t="s">
        <v>2466</v>
      </c>
      <c r="D36" s="3107"/>
      <c r="E36" s="3108">
        <v>0.6</v>
      </c>
      <c r="F36" s="3105" t="s">
        <v>2467</v>
      </c>
      <c r="G36" s="3105"/>
    </row>
    <row r="37" spans="1:7" ht="19.5" customHeight="1">
      <c r="A37" s="3794"/>
      <c r="B37" s="3797"/>
      <c r="C37" s="3106" t="s">
        <v>2468</v>
      </c>
      <c r="D37" s="3107"/>
      <c r="E37" s="3108">
        <v>0.2</v>
      </c>
      <c r="F37" s="3105" t="s">
        <v>2469</v>
      </c>
      <c r="G37" s="3105"/>
    </row>
    <row r="38" spans="1:7" ht="19.5" customHeight="1">
      <c r="A38" s="3794"/>
      <c r="B38" s="3797"/>
      <c r="C38" s="3106" t="s">
        <v>2470</v>
      </c>
      <c r="D38" s="3107"/>
      <c r="E38" s="3108">
        <v>0.2</v>
      </c>
      <c r="F38" s="3105" t="s">
        <v>2471</v>
      </c>
      <c r="G38" s="3105"/>
    </row>
    <row r="39" spans="1:7" ht="19.5" customHeight="1">
      <c r="A39" s="3794"/>
      <c r="B39" s="3798" t="s">
        <v>2632</v>
      </c>
      <c r="C39" s="3106" t="s">
        <v>2472</v>
      </c>
      <c r="D39" s="3107"/>
      <c r="E39" s="3108">
        <v>0.6</v>
      </c>
      <c r="F39" s="3105" t="s">
        <v>2473</v>
      </c>
      <c r="G39" s="3105"/>
    </row>
    <row r="40" spans="1:7" ht="19.5" customHeight="1">
      <c r="A40" s="3794"/>
      <c r="B40" s="3797"/>
      <c r="C40" s="3106" t="s">
        <v>2474</v>
      </c>
      <c r="D40" s="3107"/>
      <c r="E40" s="3108">
        <v>0.6</v>
      </c>
      <c r="F40" s="3105" t="s">
        <v>2475</v>
      </c>
      <c r="G40" s="3105"/>
    </row>
    <row r="41" spans="1:7" ht="19.5" customHeight="1" thickBot="1">
      <c r="A41" s="3795"/>
      <c r="B41" s="3799"/>
      <c r="C41" s="3109" t="s">
        <v>2476</v>
      </c>
      <c r="D41" s="3110"/>
      <c r="E41" s="3111">
        <v>0.6</v>
      </c>
      <c r="F41" s="3105" t="s">
        <v>2477</v>
      </c>
      <c r="G41" s="3105"/>
    </row>
    <row r="42" spans="1:7" ht="19.5" customHeight="1" thickBot="1">
      <c r="A42" s="3112" t="s">
        <v>2609</v>
      </c>
      <c r="B42" s="3113" t="s">
        <v>2609</v>
      </c>
      <c r="C42" s="3114" t="s">
        <v>2633</v>
      </c>
      <c r="D42" s="3115"/>
      <c r="E42" s="3116">
        <v>1</v>
      </c>
      <c r="F42" s="3105" t="s">
        <v>2478</v>
      </c>
      <c r="G42" s="3105"/>
    </row>
    <row r="43" spans="1:7" ht="19.5" customHeight="1">
      <c r="A43" s="3800" t="s">
        <v>2610</v>
      </c>
      <c r="B43" s="3796" t="s">
        <v>2634</v>
      </c>
      <c r="C43" s="3102" t="s">
        <v>2479</v>
      </c>
      <c r="D43" s="3103"/>
      <c r="E43" s="3104">
        <v>1</v>
      </c>
      <c r="F43" s="3105" t="s">
        <v>2480</v>
      </c>
      <c r="G43" s="3105"/>
    </row>
    <row r="44" spans="1:7" ht="19.5" customHeight="1">
      <c r="A44" s="3801"/>
      <c r="B44" s="3797"/>
      <c r="C44" s="3106" t="s">
        <v>2481</v>
      </c>
      <c r="D44" s="3107"/>
      <c r="E44" s="3108">
        <v>1</v>
      </c>
      <c r="F44" s="3105" t="s">
        <v>2482</v>
      </c>
      <c r="G44" s="3105"/>
    </row>
    <row r="45" spans="1:7" ht="19.5" customHeight="1">
      <c r="A45" s="3801"/>
      <c r="B45" s="3803"/>
      <c r="C45" s="3106" t="s">
        <v>2483</v>
      </c>
      <c r="D45" s="3107"/>
      <c r="E45" s="3108">
        <v>1.5</v>
      </c>
      <c r="F45" s="3105" t="s">
        <v>2484</v>
      </c>
      <c r="G45" s="3105"/>
    </row>
    <row r="46" spans="1:7" ht="19.5" customHeight="1">
      <c r="A46" s="3801"/>
      <c r="B46" s="3117" t="s">
        <v>2635</v>
      </c>
      <c r="C46" s="3106" t="s">
        <v>2636</v>
      </c>
      <c r="D46" s="3107"/>
      <c r="E46" s="3108">
        <v>2</v>
      </c>
      <c r="F46" s="3105" t="s">
        <v>2485</v>
      </c>
      <c r="G46" s="3105"/>
    </row>
    <row r="47" spans="1:7" ht="19.5" customHeight="1">
      <c r="A47" s="3801"/>
      <c r="B47" s="3798" t="s">
        <v>2637</v>
      </c>
      <c r="C47" s="3106" t="s">
        <v>2486</v>
      </c>
      <c r="D47" s="3107"/>
      <c r="E47" s="3108">
        <v>1</v>
      </c>
      <c r="F47" s="3105" t="s">
        <v>2487</v>
      </c>
      <c r="G47" s="3105"/>
    </row>
    <row r="48" spans="1:7" ht="19.5" customHeight="1">
      <c r="A48" s="3801"/>
      <c r="B48" s="3797"/>
      <c r="C48" s="3106" t="s">
        <v>2488</v>
      </c>
      <c r="D48" s="3107"/>
      <c r="E48" s="3108">
        <v>1</v>
      </c>
      <c r="F48" s="3105" t="s">
        <v>2489</v>
      </c>
      <c r="G48" s="3105"/>
    </row>
    <row r="49" spans="1:7" ht="19.5" customHeight="1">
      <c r="A49" s="3801"/>
      <c r="B49" s="3797"/>
      <c r="C49" s="3106" t="s">
        <v>2490</v>
      </c>
      <c r="D49" s="3107"/>
      <c r="E49" s="3108">
        <v>1</v>
      </c>
      <c r="F49" s="3105" t="s">
        <v>2491</v>
      </c>
      <c r="G49" s="3105"/>
    </row>
    <row r="50" spans="1:7" ht="19.5" customHeight="1">
      <c r="A50" s="3801"/>
      <c r="B50" s="3797"/>
      <c r="C50" s="3106" t="s">
        <v>2492</v>
      </c>
      <c r="D50" s="3107"/>
      <c r="E50" s="3108">
        <v>1</v>
      </c>
      <c r="F50" s="3105" t="s">
        <v>2493</v>
      </c>
      <c r="G50" s="3105"/>
    </row>
    <row r="51" spans="1:7" ht="19.5" customHeight="1">
      <c r="A51" s="3801"/>
      <c r="B51" s="3797"/>
      <c r="C51" s="3106" t="s">
        <v>2494</v>
      </c>
      <c r="D51" s="3107"/>
      <c r="E51" s="3108">
        <v>1</v>
      </c>
      <c r="F51" s="3105" t="s">
        <v>2495</v>
      </c>
      <c r="G51" s="3105"/>
    </row>
    <row r="52" spans="1:7" ht="19.5" customHeight="1">
      <c r="A52" s="3801"/>
      <c r="B52" s="3797"/>
      <c r="C52" s="3106" t="s">
        <v>2496</v>
      </c>
      <c r="D52" s="3107"/>
      <c r="E52" s="3108">
        <v>1</v>
      </c>
      <c r="F52" s="3105" t="s">
        <v>2497</v>
      </c>
      <c r="G52" s="3105"/>
    </row>
    <row r="53" spans="1:7" ht="19.5" customHeight="1" thickBot="1">
      <c r="A53" s="3802"/>
      <c r="B53" s="3799"/>
      <c r="C53" s="3109" t="s">
        <v>2498</v>
      </c>
      <c r="D53" s="3110"/>
      <c r="E53" s="3111">
        <v>1</v>
      </c>
      <c r="F53" s="3105" t="s">
        <v>2499</v>
      </c>
      <c r="G53" s="3105"/>
    </row>
    <row r="54" spans="1:7" ht="19.5" customHeight="1">
      <c r="A54" s="3118"/>
      <c r="B54" s="3118"/>
      <c r="C54" s="3118"/>
      <c r="D54" s="3118"/>
      <c r="E54" s="3118"/>
      <c r="F54" s="3118"/>
      <c r="G54" s="3118"/>
    </row>
    <row r="56" spans="1:7" ht="19.5" customHeight="1">
      <c r="A56" s="3119"/>
      <c r="B56" s="3091" t="s">
        <v>2638</v>
      </c>
      <c r="C56" s="3091" t="s">
        <v>2638</v>
      </c>
      <c r="D56" s="3091" t="s">
        <v>2638</v>
      </c>
      <c r="E56" s="3094" t="s">
        <v>2638</v>
      </c>
      <c r="F56" s="3094" t="s">
        <v>2639</v>
      </c>
      <c r="G56" s="3094" t="s">
        <v>2640</v>
      </c>
    </row>
    <row r="57" spans="1:7" ht="19.5" customHeight="1">
      <c r="A57" s="3120"/>
      <c r="B57" s="3094" t="s">
        <v>2607</v>
      </c>
      <c r="C57" s="3094" t="s">
        <v>2607</v>
      </c>
      <c r="D57" s="3094" t="s">
        <v>2607</v>
      </c>
      <c r="E57" s="3091" t="s">
        <v>2608</v>
      </c>
      <c r="F57" s="3091" t="s">
        <v>2610</v>
      </c>
      <c r="G57" s="3091" t="s">
        <v>2641</v>
      </c>
    </row>
    <row r="58" spans="1:7" ht="19.5" customHeight="1">
      <c r="A58" s="3121"/>
      <c r="B58" s="3091">
        <v>1</v>
      </c>
      <c r="C58" s="3091">
        <v>2</v>
      </c>
      <c r="D58" s="3091">
        <v>3</v>
      </c>
      <c r="E58" s="3122" t="s">
        <v>2642</v>
      </c>
      <c r="F58" s="3122" t="s">
        <v>2642</v>
      </c>
      <c r="G58" s="3122" t="s">
        <v>2642</v>
      </c>
    </row>
    <row r="59" spans="1:7" ht="19.5" customHeight="1">
      <c r="A59" s="3123" t="s">
        <v>2595</v>
      </c>
      <c r="B59" s="3091">
        <v>0.7</v>
      </c>
      <c r="C59" s="3091">
        <v>0.4</v>
      </c>
      <c r="D59" s="3091">
        <v>0.3</v>
      </c>
      <c r="E59" s="3122">
        <v>0.3</v>
      </c>
      <c r="F59" s="3091">
        <v>0.3</v>
      </c>
      <c r="G59" s="3091">
        <v>0.2</v>
      </c>
    </row>
    <row r="60" spans="1:7" ht="19.5" customHeight="1">
      <c r="A60" s="3123" t="s">
        <v>2596</v>
      </c>
      <c r="B60" s="3091">
        <v>0.7</v>
      </c>
      <c r="C60" s="3091">
        <v>0.4</v>
      </c>
      <c r="D60" s="3091">
        <v>0.3</v>
      </c>
      <c r="E60" s="3091">
        <v>0.3</v>
      </c>
      <c r="F60" s="3091">
        <v>0.3</v>
      </c>
      <c r="G60" s="3091">
        <v>0.2</v>
      </c>
    </row>
    <row r="61" spans="1:7" ht="19.5" customHeight="1">
      <c r="A61" s="3123" t="s">
        <v>2597</v>
      </c>
      <c r="B61" s="3091">
        <v>0.6</v>
      </c>
      <c r="C61" s="3091">
        <v>0.3</v>
      </c>
      <c r="D61" s="3091">
        <v>0.25</v>
      </c>
      <c r="E61" s="3091">
        <v>0.25</v>
      </c>
      <c r="F61" s="3091">
        <v>0.25</v>
      </c>
      <c r="G61" s="3091">
        <v>0.15</v>
      </c>
    </row>
    <row r="62" spans="1:7" ht="19.5" customHeight="1">
      <c r="A62" s="3123" t="s">
        <v>2598</v>
      </c>
      <c r="B62" s="3091">
        <v>0.6</v>
      </c>
      <c r="C62" s="3091">
        <v>0.3</v>
      </c>
      <c r="D62" s="3091">
        <v>0.25</v>
      </c>
      <c r="E62" s="3091">
        <v>0.25</v>
      </c>
      <c r="F62" s="3091">
        <v>0.25</v>
      </c>
      <c r="G62" s="3091">
        <v>0.15</v>
      </c>
    </row>
    <row r="63" spans="1:7" ht="19.5" customHeight="1">
      <c r="A63" s="3123" t="s">
        <v>2599</v>
      </c>
      <c r="B63" s="3091">
        <v>0.6</v>
      </c>
      <c r="C63" s="3091">
        <v>0.3</v>
      </c>
      <c r="D63" s="3091">
        <v>0.25</v>
      </c>
      <c r="E63" s="3091">
        <v>0.25</v>
      </c>
      <c r="F63" s="3091">
        <v>0.25</v>
      </c>
      <c r="G63" s="3091">
        <v>0.15</v>
      </c>
    </row>
    <row r="64" spans="1:7" ht="19.5" customHeight="1">
      <c r="A64" s="3123" t="s">
        <v>2600</v>
      </c>
      <c r="B64" s="3091">
        <v>0.6</v>
      </c>
      <c r="C64" s="3091">
        <v>0.3</v>
      </c>
      <c r="D64" s="3091">
        <v>0.25</v>
      </c>
      <c r="E64" s="3091">
        <v>0.25</v>
      </c>
      <c r="F64" s="3091">
        <v>0.25</v>
      </c>
      <c r="G64" s="3091">
        <v>0.15</v>
      </c>
    </row>
    <row r="65" spans="1:7" ht="19.5" customHeight="1">
      <c r="A65" s="3123" t="s">
        <v>2601</v>
      </c>
      <c r="B65" s="3091">
        <v>0.6</v>
      </c>
      <c r="C65" s="3091">
        <v>0.3</v>
      </c>
      <c r="D65" s="3091">
        <v>0.25</v>
      </c>
      <c r="E65" s="3091">
        <v>0.25</v>
      </c>
      <c r="F65" s="3091">
        <v>0.25</v>
      </c>
      <c r="G65" s="3091">
        <v>0.15</v>
      </c>
    </row>
    <row r="66" spans="1:7" ht="19.5" customHeight="1">
      <c r="A66" s="3123" t="s">
        <v>2602</v>
      </c>
      <c r="B66" s="3091">
        <v>0.5</v>
      </c>
      <c r="C66" s="3091">
        <v>0.2</v>
      </c>
      <c r="D66" s="3091">
        <v>0.2</v>
      </c>
      <c r="E66" s="3091">
        <v>0.2</v>
      </c>
      <c r="F66" s="3091">
        <v>0.2</v>
      </c>
      <c r="G66" s="3091">
        <v>0.1</v>
      </c>
    </row>
    <row r="67" spans="1:7" ht="19.5" customHeight="1">
      <c r="A67" s="3123" t="s">
        <v>2603</v>
      </c>
      <c r="B67" s="3091">
        <v>0.5</v>
      </c>
      <c r="C67" s="3091">
        <v>0.2</v>
      </c>
      <c r="D67" s="3091">
        <v>0.2</v>
      </c>
      <c r="E67" s="3091">
        <v>0.2</v>
      </c>
      <c r="F67" s="3091">
        <v>0.2</v>
      </c>
      <c r="G67" s="3091">
        <v>0.1</v>
      </c>
    </row>
    <row r="68" spans="1:7" ht="19.5" customHeight="1">
      <c r="A68" s="3123" t="s">
        <v>2604</v>
      </c>
      <c r="B68" s="3091">
        <v>0.5</v>
      </c>
      <c r="C68" s="3091">
        <v>0.2</v>
      </c>
      <c r="D68" s="3091">
        <v>0.2</v>
      </c>
      <c r="E68" s="3091">
        <v>0.2</v>
      </c>
      <c r="F68" s="3091">
        <v>0.2</v>
      </c>
      <c r="G68" s="3091">
        <v>0.1</v>
      </c>
    </row>
    <row r="69" spans="1:7" ht="19.5" customHeight="1">
      <c r="A69" s="3123" t="s">
        <v>2605</v>
      </c>
      <c r="B69" s="3091">
        <v>0.5</v>
      </c>
      <c r="C69" s="3091">
        <v>0.2</v>
      </c>
      <c r="D69" s="3091">
        <v>0.2</v>
      </c>
      <c r="E69" s="3091">
        <v>0.2</v>
      </c>
      <c r="F69" s="3091">
        <v>0.2</v>
      </c>
      <c r="G69" s="3091">
        <v>0.1</v>
      </c>
    </row>
    <row r="70" spans="1:7" ht="19.5" customHeight="1">
      <c r="A70" s="3123" t="s">
        <v>2606</v>
      </c>
      <c r="B70" s="3091">
        <v>0.5</v>
      </c>
      <c r="C70" s="3091">
        <v>0.2</v>
      </c>
      <c r="D70" s="3091">
        <v>0.2</v>
      </c>
      <c r="E70" s="3091">
        <v>0.2</v>
      </c>
      <c r="F70" s="3091">
        <v>0.2</v>
      </c>
      <c r="G70" s="3091">
        <v>0.1</v>
      </c>
    </row>
    <row r="72" spans="1:7" ht="19.5" customHeight="1">
      <c r="A72" s="3124"/>
      <c r="B72" s="3125"/>
      <c r="C72" s="3125"/>
      <c r="D72" s="3125" t="s">
        <v>2643</v>
      </c>
      <c r="E72" s="3125"/>
      <c r="F72" s="3125"/>
    </row>
    <row r="73" spans="1:7" ht="19.5" customHeight="1">
      <c r="A73" s="3117" t="s">
        <v>2644</v>
      </c>
      <c r="B73" s="3117" t="s">
        <v>2645</v>
      </c>
      <c r="C73" s="3117" t="s">
        <v>2646</v>
      </c>
      <c r="D73" s="3117" t="s">
        <v>2647</v>
      </c>
      <c r="E73" s="3117" t="s">
        <v>2648</v>
      </c>
      <c r="F73" s="3117" t="s">
        <v>2649</v>
      </c>
    </row>
    <row r="74" spans="1:7" ht="13.5">
      <c r="A74" s="3117"/>
      <c r="B74" s="3117"/>
      <c r="C74" s="3117" t="s">
        <v>2650</v>
      </c>
      <c r="D74" s="3117"/>
      <c r="E74" s="3117" t="s">
        <v>2621</v>
      </c>
      <c r="F74" s="3117" t="s">
        <v>2621</v>
      </c>
    </row>
    <row r="75" spans="1:7" ht="13.5">
      <c r="A75" s="3117">
        <v>1</v>
      </c>
      <c r="B75" s="3798" t="s">
        <v>2651</v>
      </c>
      <c r="C75" s="3091" t="s">
        <v>2652</v>
      </c>
      <c r="D75" s="3091" t="s">
        <v>2653</v>
      </c>
      <c r="E75" s="3117">
        <v>0.2</v>
      </c>
      <c r="F75" s="3117">
        <v>25</v>
      </c>
    </row>
    <row r="76" spans="1:7" ht="24">
      <c r="A76" s="3117">
        <v>2</v>
      </c>
      <c r="B76" s="3797"/>
      <c r="C76" s="3091" t="s">
        <v>2654</v>
      </c>
      <c r="D76" s="3091" t="s">
        <v>2655</v>
      </c>
      <c r="E76" s="3117">
        <v>0.2</v>
      </c>
      <c r="F76" s="3117">
        <v>25</v>
      </c>
    </row>
    <row r="77" spans="1:7" ht="24">
      <c r="A77" s="3117">
        <v>3</v>
      </c>
      <c r="B77" s="3797"/>
      <c r="C77" s="3091" t="s">
        <v>2656</v>
      </c>
      <c r="D77" s="3091" t="s">
        <v>2657</v>
      </c>
      <c r="E77" s="3117">
        <v>0.2</v>
      </c>
      <c r="F77" s="3117">
        <v>25</v>
      </c>
    </row>
    <row r="78" spans="1:7" ht="13.5">
      <c r="A78" s="3117">
        <v>4</v>
      </c>
      <c r="B78" s="3797"/>
      <c r="C78" s="3091" t="s">
        <v>2658</v>
      </c>
      <c r="D78" s="3091" t="s">
        <v>2659</v>
      </c>
      <c r="E78" s="3117">
        <v>0.15</v>
      </c>
      <c r="F78" s="3117">
        <v>20</v>
      </c>
    </row>
    <row r="79" spans="1:7" ht="24">
      <c r="A79" s="3117">
        <v>5</v>
      </c>
      <c r="B79" s="3797"/>
      <c r="C79" s="3091" t="s">
        <v>2660</v>
      </c>
      <c r="D79" s="3091" t="s">
        <v>2661</v>
      </c>
      <c r="E79" s="3117">
        <v>0.15</v>
      </c>
      <c r="F79" s="3117">
        <v>20</v>
      </c>
    </row>
    <row r="80" spans="1:7" ht="24">
      <c r="A80" s="3117">
        <v>6</v>
      </c>
      <c r="B80" s="3797"/>
      <c r="C80" s="3091" t="s">
        <v>2662</v>
      </c>
      <c r="D80" s="3091" t="s">
        <v>2663</v>
      </c>
      <c r="E80" s="3117">
        <v>0.15</v>
      </c>
      <c r="F80" s="3117">
        <v>20</v>
      </c>
    </row>
    <row r="81" spans="1:6" ht="24">
      <c r="A81" s="3117">
        <v>7</v>
      </c>
      <c r="B81" s="3797"/>
      <c r="C81" s="3091" t="s">
        <v>2664</v>
      </c>
      <c r="D81" s="3091" t="s">
        <v>2665</v>
      </c>
      <c r="E81" s="3117">
        <v>0.15</v>
      </c>
      <c r="F81" s="3117">
        <v>20</v>
      </c>
    </row>
    <row r="82" spans="1:6" ht="24">
      <c r="A82" s="3117">
        <v>8</v>
      </c>
      <c r="B82" s="3797"/>
      <c r="C82" s="3091" t="s">
        <v>2666</v>
      </c>
      <c r="D82" s="3091" t="s">
        <v>2667</v>
      </c>
      <c r="E82" s="3117">
        <v>0.1</v>
      </c>
      <c r="F82" s="3117">
        <v>15</v>
      </c>
    </row>
    <row r="83" spans="1:6" ht="24">
      <c r="A83" s="3117">
        <v>9</v>
      </c>
      <c r="B83" s="3797"/>
      <c r="C83" s="3091" t="s">
        <v>2668</v>
      </c>
      <c r="D83" s="3091" t="s">
        <v>2669</v>
      </c>
      <c r="E83" s="3117">
        <v>0.1</v>
      </c>
      <c r="F83" s="3117">
        <v>15</v>
      </c>
    </row>
    <row r="84" spans="1:6" ht="24">
      <c r="A84" s="3117">
        <v>10</v>
      </c>
      <c r="B84" s="3797"/>
      <c r="C84" s="3091" t="s">
        <v>2670</v>
      </c>
      <c r="D84" s="3091" t="s">
        <v>2671</v>
      </c>
      <c r="E84" s="3117">
        <v>0.1</v>
      </c>
      <c r="F84" s="3117">
        <v>15</v>
      </c>
    </row>
    <row r="85" spans="1:6" ht="24">
      <c r="A85" s="3117">
        <v>11</v>
      </c>
      <c r="B85" s="3797"/>
      <c r="C85" s="3091" t="s">
        <v>2672</v>
      </c>
      <c r="D85" s="3091" t="s">
        <v>2673</v>
      </c>
      <c r="E85" s="3117">
        <v>0.1</v>
      </c>
      <c r="F85" s="3117">
        <v>15</v>
      </c>
    </row>
    <row r="86" spans="1:6" ht="24">
      <c r="A86" s="3117">
        <v>12</v>
      </c>
      <c r="B86" s="3797"/>
      <c r="C86" s="3091" t="s">
        <v>2674</v>
      </c>
      <c r="D86" s="3091" t="s">
        <v>2675</v>
      </c>
      <c r="E86" s="3117">
        <v>0.1</v>
      </c>
      <c r="F86" s="3117">
        <v>15</v>
      </c>
    </row>
    <row r="87" spans="1:6" ht="13.5">
      <c r="A87" s="3117">
        <v>13</v>
      </c>
      <c r="B87" s="3797"/>
      <c r="C87" s="3091" t="s">
        <v>2676</v>
      </c>
      <c r="D87" s="3091" t="s">
        <v>2677</v>
      </c>
      <c r="E87" s="3117">
        <v>0.1</v>
      </c>
      <c r="F87" s="3117">
        <v>15</v>
      </c>
    </row>
    <row r="88" spans="1:6" ht="13.5">
      <c r="A88" s="3117">
        <v>14</v>
      </c>
      <c r="B88" s="3797"/>
      <c r="C88" s="3091" t="s">
        <v>2678</v>
      </c>
      <c r="D88" s="3091" t="s">
        <v>2679</v>
      </c>
      <c r="E88" s="3117">
        <v>0.1</v>
      </c>
      <c r="F88" s="3117">
        <v>15</v>
      </c>
    </row>
    <row r="89" spans="1:6" ht="13.5">
      <c r="A89" s="3117">
        <v>15</v>
      </c>
      <c r="B89" s="3797"/>
      <c r="C89" s="3091" t="s">
        <v>2680</v>
      </c>
      <c r="D89" s="3091" t="s">
        <v>2681</v>
      </c>
      <c r="E89" s="3117">
        <v>0.1</v>
      </c>
      <c r="F89" s="3117">
        <v>15</v>
      </c>
    </row>
    <row r="90" spans="1:6" ht="24">
      <c r="A90" s="3117">
        <v>16</v>
      </c>
      <c r="B90" s="3797"/>
      <c r="C90" s="3091" t="s">
        <v>2682</v>
      </c>
      <c r="D90" s="3091" t="s">
        <v>2683</v>
      </c>
      <c r="E90" s="3117">
        <v>0.1</v>
      </c>
      <c r="F90" s="3117">
        <v>15</v>
      </c>
    </row>
    <row r="91" spans="1:6" ht="24">
      <c r="A91" s="3117">
        <v>17</v>
      </c>
      <c r="B91" s="3803"/>
      <c r="C91" s="3091" t="s">
        <v>2684</v>
      </c>
      <c r="D91" s="3091" t="s">
        <v>2685</v>
      </c>
      <c r="E91" s="3117">
        <v>0.1</v>
      </c>
      <c r="F91" s="3117">
        <v>15</v>
      </c>
    </row>
    <row r="92" spans="1:6" ht="13.5">
      <c r="A92" s="3117">
        <v>18</v>
      </c>
      <c r="B92" s="3798" t="s">
        <v>2686</v>
      </c>
      <c r="C92" s="3091" t="s">
        <v>2687</v>
      </c>
      <c r="D92" s="3091" t="s">
        <v>2688</v>
      </c>
      <c r="E92" s="3117">
        <v>0.2</v>
      </c>
      <c r="F92" s="3117">
        <v>25</v>
      </c>
    </row>
    <row r="93" spans="1:6" ht="24">
      <c r="A93" s="3117">
        <v>19</v>
      </c>
      <c r="B93" s="3797"/>
      <c r="C93" s="3091" t="s">
        <v>2689</v>
      </c>
      <c r="D93" s="3091" t="s">
        <v>2690</v>
      </c>
      <c r="E93" s="3117">
        <v>0.2</v>
      </c>
      <c r="F93" s="3117">
        <v>25</v>
      </c>
    </row>
    <row r="94" spans="1:6" ht="13.5">
      <c r="A94" s="3117">
        <v>20</v>
      </c>
      <c r="B94" s="3797"/>
      <c r="C94" s="3091" t="s">
        <v>2691</v>
      </c>
      <c r="D94" s="3091" t="s">
        <v>2692</v>
      </c>
      <c r="E94" s="3117">
        <v>0.15</v>
      </c>
      <c r="F94" s="3117">
        <v>20</v>
      </c>
    </row>
    <row r="95" spans="1:6" ht="13.5">
      <c r="A95" s="3117">
        <v>21</v>
      </c>
      <c r="B95" s="3797"/>
      <c r="C95" s="3091" t="s">
        <v>2693</v>
      </c>
      <c r="D95" s="3091" t="s">
        <v>2694</v>
      </c>
      <c r="E95" s="3117">
        <v>0.15</v>
      </c>
      <c r="F95" s="3117">
        <v>20</v>
      </c>
    </row>
    <row r="96" spans="1:6" ht="13.5">
      <c r="A96" s="3117">
        <v>22</v>
      </c>
      <c r="B96" s="3797"/>
      <c r="C96" s="3091" t="s">
        <v>2695</v>
      </c>
      <c r="D96" s="3091" t="s">
        <v>2696</v>
      </c>
      <c r="E96" s="3117">
        <v>0.15</v>
      </c>
      <c r="F96" s="3117">
        <v>20</v>
      </c>
    </row>
    <row r="97" spans="1:6" ht="36">
      <c r="A97" s="3117">
        <v>23</v>
      </c>
      <c r="B97" s="3797"/>
      <c r="C97" s="3091" t="s">
        <v>2697</v>
      </c>
      <c r="D97" s="3091" t="s">
        <v>2698</v>
      </c>
      <c r="E97" s="3117">
        <v>0.15</v>
      </c>
      <c r="F97" s="3117">
        <v>20</v>
      </c>
    </row>
    <row r="98" spans="1:6" ht="13.5">
      <c r="A98" s="3117">
        <v>24</v>
      </c>
      <c r="B98" s="3797"/>
      <c r="C98" s="3091" t="s">
        <v>2699</v>
      </c>
      <c r="D98" s="3091" t="s">
        <v>2700</v>
      </c>
      <c r="E98" s="3117">
        <v>0.1</v>
      </c>
      <c r="F98" s="3117">
        <v>15</v>
      </c>
    </row>
    <row r="99" spans="1:6" ht="13.5">
      <c r="A99" s="3117">
        <v>25</v>
      </c>
      <c r="B99" s="3797"/>
      <c r="C99" s="3091" t="s">
        <v>2701</v>
      </c>
      <c r="D99" s="3091" t="s">
        <v>2702</v>
      </c>
      <c r="E99" s="3117">
        <v>0.1</v>
      </c>
      <c r="F99" s="3117">
        <v>15</v>
      </c>
    </row>
    <row r="100" spans="1:6" ht="24">
      <c r="A100" s="3117">
        <v>26</v>
      </c>
      <c r="B100" s="3797"/>
      <c r="C100" s="3091" t="s">
        <v>2703</v>
      </c>
      <c r="D100" s="3091" t="s">
        <v>2704</v>
      </c>
      <c r="E100" s="3117">
        <v>0.1</v>
      </c>
      <c r="F100" s="3117">
        <v>15</v>
      </c>
    </row>
    <row r="101" spans="1:6" ht="24">
      <c r="A101" s="3117">
        <v>27</v>
      </c>
      <c r="B101" s="3797"/>
      <c r="C101" s="3091" t="s">
        <v>2705</v>
      </c>
      <c r="D101" s="3091" t="s">
        <v>2706</v>
      </c>
      <c r="E101" s="3117">
        <v>0.1</v>
      </c>
      <c r="F101" s="3117">
        <v>15</v>
      </c>
    </row>
    <row r="102" spans="1:6" ht="13.5">
      <c r="A102" s="3117">
        <v>28</v>
      </c>
      <c r="B102" s="3797"/>
      <c r="C102" s="3091" t="s">
        <v>2707</v>
      </c>
      <c r="D102" s="3091" t="s">
        <v>2708</v>
      </c>
      <c r="E102" s="3117">
        <v>0.1</v>
      </c>
      <c r="F102" s="3117">
        <v>15</v>
      </c>
    </row>
    <row r="103" spans="1:6" ht="13.5">
      <c r="A103" s="3117">
        <v>29</v>
      </c>
      <c r="B103" s="3797"/>
      <c r="C103" s="3091" t="s">
        <v>2709</v>
      </c>
      <c r="D103" s="3091" t="s">
        <v>2710</v>
      </c>
      <c r="E103" s="3117">
        <v>0.1</v>
      </c>
      <c r="F103" s="3117">
        <v>15</v>
      </c>
    </row>
    <row r="104" spans="1:6" ht="13.5">
      <c r="A104" s="3117">
        <v>30</v>
      </c>
      <c r="B104" s="3797"/>
      <c r="C104" s="3091" t="s">
        <v>2711</v>
      </c>
      <c r="D104" s="3091" t="s">
        <v>2712</v>
      </c>
      <c r="E104" s="3117">
        <v>0.1</v>
      </c>
      <c r="F104" s="3117">
        <v>15</v>
      </c>
    </row>
    <row r="105" spans="1:6" ht="24">
      <c r="A105" s="3117">
        <v>31</v>
      </c>
      <c r="B105" s="3797"/>
      <c r="C105" s="3091" t="s">
        <v>2713</v>
      </c>
      <c r="D105" s="3091" t="s">
        <v>2714</v>
      </c>
      <c r="E105" s="3117">
        <v>0.1</v>
      </c>
      <c r="F105" s="3117">
        <v>15</v>
      </c>
    </row>
    <row r="106" spans="1:6" ht="24">
      <c r="A106" s="3117">
        <v>32</v>
      </c>
      <c r="B106" s="3797"/>
      <c r="C106" s="3091" t="s">
        <v>2715</v>
      </c>
      <c r="D106" s="3091" t="s">
        <v>2716</v>
      </c>
      <c r="E106" s="3117">
        <v>0.1</v>
      </c>
      <c r="F106" s="3117">
        <v>15</v>
      </c>
    </row>
    <row r="107" spans="1:6" ht="24">
      <c r="A107" s="3117">
        <v>33</v>
      </c>
      <c r="B107" s="3797"/>
      <c r="C107" s="3091" t="s">
        <v>2717</v>
      </c>
      <c r="D107" s="3091" t="s">
        <v>2718</v>
      </c>
      <c r="E107" s="3117">
        <v>0.1</v>
      </c>
      <c r="F107" s="3117">
        <v>15</v>
      </c>
    </row>
    <row r="108" spans="1:6" ht="24">
      <c r="A108" s="3117">
        <v>34</v>
      </c>
      <c r="B108" s="3803"/>
      <c r="C108" s="3091" t="s">
        <v>2719</v>
      </c>
      <c r="D108" s="3091" t="s">
        <v>2720</v>
      </c>
      <c r="E108" s="3117">
        <v>0.1</v>
      </c>
      <c r="F108" s="3117">
        <v>15</v>
      </c>
    </row>
    <row r="109" spans="1:6" ht="24">
      <c r="A109" s="3117">
        <v>35</v>
      </c>
      <c r="B109" s="3798" t="s">
        <v>2721</v>
      </c>
      <c r="C109" s="3117" t="s">
        <v>2722</v>
      </c>
      <c r="D109" s="3091" t="s">
        <v>2723</v>
      </c>
      <c r="E109" s="3117">
        <v>0.15</v>
      </c>
      <c r="F109" s="3117">
        <v>20</v>
      </c>
    </row>
    <row r="110" spans="1:6" ht="13.5">
      <c r="A110" s="3117">
        <v>36</v>
      </c>
      <c r="B110" s="3797"/>
      <c r="C110" s="3117" t="s">
        <v>2724</v>
      </c>
      <c r="D110" s="3091" t="s">
        <v>2725</v>
      </c>
      <c r="E110" s="3117">
        <v>0.15</v>
      </c>
      <c r="F110" s="3117">
        <v>20</v>
      </c>
    </row>
    <row r="111" spans="1:6" ht="13.5">
      <c r="A111" s="3117">
        <v>37</v>
      </c>
      <c r="B111" s="3797"/>
      <c r="C111" s="3117" t="s">
        <v>2726</v>
      </c>
      <c r="D111" s="3091" t="s">
        <v>2727</v>
      </c>
      <c r="E111" s="3117">
        <v>0.15</v>
      </c>
      <c r="F111" s="3117">
        <v>20</v>
      </c>
    </row>
    <row r="112" spans="1:6" ht="13.5">
      <c r="A112" s="3117">
        <v>38</v>
      </c>
      <c r="B112" s="3797"/>
      <c r="C112" s="3117" t="s">
        <v>2728</v>
      </c>
      <c r="D112" s="3091" t="s">
        <v>2729</v>
      </c>
      <c r="E112" s="3117">
        <v>0.1</v>
      </c>
      <c r="F112" s="3117">
        <v>15</v>
      </c>
    </row>
    <row r="113" spans="1:6" ht="24">
      <c r="A113" s="3117">
        <v>39</v>
      </c>
      <c r="B113" s="3797"/>
      <c r="C113" s="3117" t="s">
        <v>2730</v>
      </c>
      <c r="D113" s="3091" t="s">
        <v>2731</v>
      </c>
      <c r="E113" s="3117">
        <v>0.1</v>
      </c>
      <c r="F113" s="3117">
        <v>15</v>
      </c>
    </row>
    <row r="114" spans="1:6" ht="24">
      <c r="A114" s="3117">
        <v>40</v>
      </c>
      <c r="B114" s="3803"/>
      <c r="C114" s="3117" t="s">
        <v>2732</v>
      </c>
      <c r="D114" s="3091" t="s">
        <v>2733</v>
      </c>
      <c r="E114" s="3117">
        <v>0.1</v>
      </c>
      <c r="F114" s="3117">
        <v>15</v>
      </c>
    </row>
    <row r="115" spans="1:6" ht="13.5">
      <c r="A115" s="3117">
        <v>41</v>
      </c>
      <c r="B115" s="3791" t="s">
        <v>2734</v>
      </c>
      <c r="C115" s="3117" t="s">
        <v>2735</v>
      </c>
      <c r="D115" s="3091" t="s">
        <v>2736</v>
      </c>
      <c r="E115" s="3117">
        <v>0.1</v>
      </c>
      <c r="F115" s="3117">
        <v>15</v>
      </c>
    </row>
    <row r="116" spans="1:6" ht="13.5">
      <c r="A116" s="3117">
        <v>42</v>
      </c>
      <c r="B116" s="3791"/>
      <c r="C116" s="3117" t="s">
        <v>2737</v>
      </c>
      <c r="D116" s="3091" t="s">
        <v>2738</v>
      </c>
      <c r="E116" s="3117">
        <v>0.1</v>
      </c>
      <c r="F116" s="3117">
        <v>15</v>
      </c>
    </row>
    <row r="117" spans="1:6" ht="24">
      <c r="A117" s="3117">
        <v>43</v>
      </c>
      <c r="B117" s="3791"/>
      <c r="C117" s="3117" t="s">
        <v>2739</v>
      </c>
      <c r="D117" s="3091" t="s">
        <v>2740</v>
      </c>
      <c r="E117" s="3117">
        <v>0.1</v>
      </c>
      <c r="F117" s="3117">
        <v>15</v>
      </c>
    </row>
    <row r="118" spans="1:6" ht="13.5">
      <c r="A118" s="3117">
        <v>44</v>
      </c>
      <c r="B118" s="3798" t="s">
        <v>2741</v>
      </c>
      <c r="C118" s="3117" t="s">
        <v>2742</v>
      </c>
      <c r="D118" s="3091" t="s">
        <v>2743</v>
      </c>
      <c r="E118" s="3117">
        <v>0.1</v>
      </c>
      <c r="F118" s="3117">
        <v>15</v>
      </c>
    </row>
    <row r="119" spans="1:6" ht="24">
      <c r="A119" s="3117">
        <v>45</v>
      </c>
      <c r="B119" s="3803"/>
      <c r="C119" s="3091" t="s">
        <v>2744</v>
      </c>
      <c r="D119" s="3091" t="s">
        <v>2745</v>
      </c>
      <c r="E119" s="3117">
        <v>0.1</v>
      </c>
      <c r="F119" s="3117">
        <v>15</v>
      </c>
    </row>
    <row r="120" spans="1:6" ht="24">
      <c r="A120" s="3117">
        <v>46</v>
      </c>
      <c r="B120" s="3798" t="s">
        <v>2746</v>
      </c>
      <c r="C120" s="3117" t="s">
        <v>2747</v>
      </c>
      <c r="D120" s="3091" t="s">
        <v>2748</v>
      </c>
      <c r="E120" s="3117">
        <v>0.1</v>
      </c>
      <c r="F120" s="3117">
        <v>15</v>
      </c>
    </row>
    <row r="121" spans="1:6" ht="24">
      <c r="A121" s="3117">
        <v>47</v>
      </c>
      <c r="B121" s="3803"/>
      <c r="C121" s="3117" t="s">
        <v>2749</v>
      </c>
      <c r="D121" s="3091" t="s">
        <v>2750</v>
      </c>
      <c r="E121" s="3117">
        <v>0.1</v>
      </c>
      <c r="F121" s="3117">
        <v>15</v>
      </c>
    </row>
    <row r="122" spans="1:6" ht="13.5">
      <c r="A122" s="3117">
        <v>48</v>
      </c>
      <c r="B122" s="3798" t="s">
        <v>2751</v>
      </c>
      <c r="C122" s="3117" t="s">
        <v>2752</v>
      </c>
      <c r="D122" s="3091" t="s">
        <v>2753</v>
      </c>
      <c r="E122" s="3117">
        <v>0.1</v>
      </c>
      <c r="F122" s="3117">
        <v>15</v>
      </c>
    </row>
    <row r="123" spans="1:6" ht="13.5">
      <c r="A123" s="3117">
        <v>49</v>
      </c>
      <c r="B123" s="3803"/>
      <c r="C123" s="3117" t="s">
        <v>2754</v>
      </c>
      <c r="D123" s="3091" t="s">
        <v>2755</v>
      </c>
      <c r="E123" s="3117">
        <v>0.1</v>
      </c>
      <c r="F123" s="3117">
        <v>15</v>
      </c>
    </row>
    <row r="124" spans="1:6" ht="24">
      <c r="A124" s="3117">
        <v>50</v>
      </c>
      <c r="B124" s="3791" t="s">
        <v>2756</v>
      </c>
      <c r="C124" s="3117" t="s">
        <v>2757</v>
      </c>
      <c r="D124" s="3091" t="s">
        <v>2758</v>
      </c>
      <c r="E124" s="3117">
        <v>0.1</v>
      </c>
      <c r="F124" s="3117">
        <v>15</v>
      </c>
    </row>
    <row r="125" spans="1:6" ht="24">
      <c r="A125" s="3117">
        <v>51</v>
      </c>
      <c r="B125" s="3791"/>
      <c r="C125" s="3117" t="s">
        <v>2759</v>
      </c>
      <c r="D125" s="3091" t="s">
        <v>2760</v>
      </c>
      <c r="E125" s="3117">
        <v>0.1</v>
      </c>
      <c r="F125" s="3117">
        <v>15</v>
      </c>
    </row>
    <row r="126" spans="1:6" ht="24">
      <c r="A126" s="3117">
        <v>52</v>
      </c>
      <c r="B126" s="3791" t="s">
        <v>2761</v>
      </c>
      <c r="C126" s="3117" t="s">
        <v>2762</v>
      </c>
      <c r="D126" s="3091" t="s">
        <v>2763</v>
      </c>
      <c r="E126" s="3117">
        <v>0.1</v>
      </c>
      <c r="F126" s="3117">
        <v>15</v>
      </c>
    </row>
    <row r="127" spans="1:6" ht="24">
      <c r="A127" s="3117">
        <v>53</v>
      </c>
      <c r="B127" s="3791"/>
      <c r="C127" s="3117" t="s">
        <v>2764</v>
      </c>
      <c r="D127" s="3091" t="s">
        <v>2765</v>
      </c>
      <c r="E127" s="3117">
        <v>0.1</v>
      </c>
      <c r="F127" s="3117">
        <v>15</v>
      </c>
    </row>
    <row r="128" spans="1:6" ht="13.5">
      <c r="A128" s="3117">
        <v>54</v>
      </c>
      <c r="B128" s="3117" t="s">
        <v>2766</v>
      </c>
      <c r="C128" s="3117" t="s">
        <v>2767</v>
      </c>
      <c r="D128" s="3091" t="s">
        <v>2768</v>
      </c>
      <c r="E128" s="3117">
        <v>0.1</v>
      </c>
      <c r="F128" s="3117">
        <v>15</v>
      </c>
    </row>
    <row r="129" spans="1:6" ht="13.5">
      <c r="A129" s="3117">
        <v>55</v>
      </c>
      <c r="B129" s="3791" t="s">
        <v>2769</v>
      </c>
      <c r="C129" s="3117" t="s">
        <v>2770</v>
      </c>
      <c r="D129" s="3091" t="s">
        <v>2771</v>
      </c>
      <c r="E129" s="3117">
        <v>0.1</v>
      </c>
      <c r="F129" s="3117">
        <v>15</v>
      </c>
    </row>
    <row r="130" spans="1:6" ht="13.5">
      <c r="A130" s="3117">
        <v>56</v>
      </c>
      <c r="B130" s="3791"/>
      <c r="C130" s="3117" t="s">
        <v>2772</v>
      </c>
      <c r="D130" s="3091" t="s">
        <v>2773</v>
      </c>
      <c r="E130" s="3117">
        <v>0.1</v>
      </c>
      <c r="F130" s="3117">
        <v>15</v>
      </c>
    </row>
    <row r="131" spans="1:6" ht="24">
      <c r="A131" s="3117">
        <v>57</v>
      </c>
      <c r="B131" s="3791"/>
      <c r="C131" s="3117" t="s">
        <v>2774</v>
      </c>
      <c r="D131" s="3091" t="s">
        <v>2775</v>
      </c>
      <c r="E131" s="3117">
        <v>0.1</v>
      </c>
      <c r="F131" s="3117">
        <v>15</v>
      </c>
    </row>
    <row r="132" spans="1:6" ht="24">
      <c r="A132" s="3117">
        <v>58</v>
      </c>
      <c r="B132" s="3791" t="s">
        <v>2776</v>
      </c>
      <c r="C132" s="3117" t="s">
        <v>2777</v>
      </c>
      <c r="D132" s="3091" t="s">
        <v>2778</v>
      </c>
      <c r="E132" s="3117">
        <v>0.1</v>
      </c>
      <c r="F132" s="3117">
        <v>15</v>
      </c>
    </row>
    <row r="133" spans="1:6" ht="13.5">
      <c r="A133" s="3117">
        <v>59</v>
      </c>
      <c r="B133" s="3791"/>
      <c r="C133" s="3117" t="s">
        <v>2779</v>
      </c>
      <c r="D133" s="3091" t="s">
        <v>2780</v>
      </c>
      <c r="E133" s="3117">
        <v>0.1</v>
      </c>
      <c r="F133" s="3117">
        <v>15</v>
      </c>
    </row>
    <row r="134" spans="1:6" ht="13.5">
      <c r="A134" s="3117">
        <v>60</v>
      </c>
      <c r="B134" s="3798" t="s">
        <v>2781</v>
      </c>
      <c r="C134" s="3117" t="s">
        <v>2782</v>
      </c>
      <c r="D134" s="3091" t="s">
        <v>2783</v>
      </c>
      <c r="E134" s="3117">
        <v>0.1</v>
      </c>
      <c r="F134" s="3117">
        <v>15</v>
      </c>
    </row>
    <row r="135" spans="1:6" ht="13.5">
      <c r="A135" s="3117">
        <v>61</v>
      </c>
      <c r="B135" s="3803"/>
      <c r="C135" s="3117" t="s">
        <v>2784</v>
      </c>
      <c r="D135" s="3091" t="s">
        <v>2785</v>
      </c>
      <c r="E135" s="3117">
        <v>0.1</v>
      </c>
      <c r="F135" s="3117">
        <v>15</v>
      </c>
    </row>
    <row r="136" spans="1:6" ht="24">
      <c r="A136" s="3117">
        <v>62</v>
      </c>
      <c r="B136" s="3117" t="s">
        <v>2786</v>
      </c>
      <c r="C136" s="3117" t="s">
        <v>2787</v>
      </c>
      <c r="D136" s="3091" t="s">
        <v>2788</v>
      </c>
      <c r="E136" s="3117">
        <v>0.1</v>
      </c>
      <c r="F136" s="3117">
        <v>15</v>
      </c>
    </row>
    <row r="137" spans="1:6" ht="13.5">
      <c r="A137" s="3117">
        <v>63</v>
      </c>
      <c r="B137" s="3791" t="s">
        <v>2789</v>
      </c>
      <c r="C137" s="3117" t="s">
        <v>2790</v>
      </c>
      <c r="D137" s="3091" t="s">
        <v>2791</v>
      </c>
      <c r="E137" s="3117">
        <v>0.1</v>
      </c>
      <c r="F137" s="3117">
        <v>15</v>
      </c>
    </row>
    <row r="138" spans="1:6" ht="13.5">
      <c r="A138" s="3117">
        <v>64</v>
      </c>
      <c r="B138" s="3791"/>
      <c r="C138" s="3117" t="s">
        <v>2792</v>
      </c>
      <c r="D138" s="3091" t="s">
        <v>2793</v>
      </c>
      <c r="E138" s="3117">
        <v>0.1</v>
      </c>
      <c r="F138" s="3117">
        <v>15</v>
      </c>
    </row>
    <row r="139" spans="1:6" ht="13.5">
      <c r="A139" s="3117">
        <v>65</v>
      </c>
      <c r="B139" s="3117" t="s">
        <v>2794</v>
      </c>
      <c r="C139" s="3117" t="s">
        <v>2795</v>
      </c>
      <c r="D139" s="3091" t="s">
        <v>2796</v>
      </c>
      <c r="E139" s="3117">
        <v>0.1</v>
      </c>
      <c r="F139" s="3117">
        <v>15</v>
      </c>
    </row>
    <row r="140" spans="1:6" ht="13.5">
      <c r="A140" s="3117"/>
      <c r="B140" s="3117"/>
      <c r="C140" s="3117"/>
      <c r="D140" s="3117"/>
      <c r="E140" s="3117" t="s">
        <v>2797</v>
      </c>
      <c r="F140" s="3117"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2798</v>
      </c>
      <c r="B1" s="3126"/>
      <c r="C1" s="3126"/>
      <c r="D1" s="3126"/>
      <c r="E1" s="3126"/>
      <c r="F1" s="3126"/>
      <c r="G1" s="3126"/>
      <c r="H1" s="3126"/>
      <c r="I1" s="3126"/>
      <c r="J1" s="3126"/>
      <c r="K1" s="3126"/>
      <c r="L1" s="3126"/>
      <c r="M1" s="3126"/>
      <c r="N1" s="749"/>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50">
        <f>SUMPRODUCT((A95:A184=ROUNDDOWN(基准地价修正!G3,1))*(B94:M94=基准地价修正!G2)*(B95:M184))</f>
        <v>1.0177</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50">
        <f>SUMPRODUCT((A371:A460=ROUNDDOWN(基准地价修正!G3,1))*(B370:M370=基准地价修正!G2)*(B371:M460))</f>
        <v>0.96389999999999998</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27485</v>
      </c>
      <c r="C2" s="2" t="s">
        <v>106</v>
      </c>
      <c r="D2" s="199"/>
      <c r="E2" s="199"/>
      <c r="F2" s="199"/>
      <c r="G2" s="199"/>
    </row>
    <row r="3" spans="1:7" s="200" customFormat="1" ht="18" customHeight="1" thickBot="1">
      <c r="A3" s="203" t="s">
        <v>58</v>
      </c>
      <c r="B3" s="204">
        <f ca="1">ROUND(B2*10000/'数据-汇总表'!E3,0)</f>
        <v>415012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13</v>
      </c>
      <c r="D10" s="845">
        <f>'数据-汇总表'!E6</f>
        <v>662.27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13</v>
      </c>
      <c r="D19" s="849">
        <f>'数据-汇总表'!E3</f>
        <v>662.27</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963</v>
      </c>
      <c r="D22" s="235">
        <f ca="1">C26</f>
        <v>5.0000000000000001E-4</v>
      </c>
      <c r="E22" s="236" t="s">
        <v>99</v>
      </c>
      <c r="F22" s="237">
        <f ca="1">'数据-取费表'!B40</f>
        <v>3.0599999999999999E-2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953</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3155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27246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264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232</v>
      </c>
      <c r="D34" s="217"/>
      <c r="E34" s="220"/>
      <c r="F34" s="257">
        <f>IF('数据-取费表'!B24=0,1,'数据-取费表'!N16)</f>
        <v>1</v>
      </c>
      <c r="G34" s="219" t="s">
        <v>89</v>
      </c>
    </row>
    <row r="35" spans="1:7" ht="13.5" customHeight="1">
      <c r="A35" s="780" t="s">
        <v>351</v>
      </c>
      <c r="B35" s="215" t="s">
        <v>33</v>
      </c>
      <c r="C35" s="220">
        <f>ROUND(C34*F35,0)</f>
        <v>12</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13</v>
      </c>
      <c r="D37" s="217">
        <f>'数据-汇总表'!E3</f>
        <v>662.27</v>
      </c>
      <c r="E37" s="249">
        <f>'数据-取费表'!B35</f>
        <v>200</v>
      </c>
      <c r="F37" s="259"/>
      <c r="G37" s="261" t="s">
        <v>92</v>
      </c>
    </row>
    <row r="38" spans="1:7" ht="13.5" customHeight="1">
      <c r="A38" s="780" t="s">
        <v>354</v>
      </c>
      <c r="B38" s="215" t="s">
        <v>36</v>
      </c>
      <c r="C38" s="220">
        <f>ROUND(C34*F38,0)</f>
        <v>7</v>
      </c>
      <c r="D38" s="220"/>
      <c r="E38" s="220"/>
      <c r="F38" s="259">
        <f>'数据-取费表'!B36</f>
        <v>0.03</v>
      </c>
      <c r="G38" s="219" t="s">
        <v>90</v>
      </c>
    </row>
    <row r="39" spans="1:7" s="214" customFormat="1" ht="13.5" customHeight="1">
      <c r="A39" s="777" t="s">
        <v>338</v>
      </c>
      <c r="B39" s="210" t="s">
        <v>77</v>
      </c>
      <c r="C39" s="232">
        <f>ROUND(C33*F20,0)</f>
        <v>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6</v>
      </c>
      <c r="D42" s="238"/>
      <c r="E42" s="238"/>
      <c r="F42" s="239"/>
      <c r="G42" s="3666" t="s">
        <v>94</v>
      </c>
    </row>
    <row r="43" spans="1:7" ht="13.5" customHeight="1">
      <c r="A43" s="780" t="s">
        <v>347</v>
      </c>
      <c r="B43" s="215" t="s">
        <v>426</v>
      </c>
      <c r="C43" s="238">
        <f ca="1">ROUND(IF('数据-取费表'!B22&lt;=1,C39*F22*'数据-取费表'!B21/2,C39*(POWER((1+F22),'数据-取费表'!B21/2)-1)),0)</f>
        <v>0</v>
      </c>
      <c r="D43" s="238"/>
      <c r="E43" s="238"/>
      <c r="F43" s="239"/>
      <c r="G43" s="3667"/>
    </row>
    <row r="44" spans="1:7" ht="13.5" customHeight="1">
      <c r="A44" s="780" t="s">
        <v>348</v>
      </c>
      <c r="B44" s="215" t="s">
        <v>428</v>
      </c>
      <c r="C44" s="238">
        <f ca="1">ROUND(IF('数据-取费表'!B22&lt;=1,C40*F22*'数据-取费表'!B21/2,C40*(POWER((1+F22),'数据-取费表'!B21/2)-1)),4)</f>
        <v>5.0000000000000001E-4</v>
      </c>
      <c r="D44" s="238"/>
      <c r="E44" s="238"/>
      <c r="F44" s="239"/>
      <c r="G44" s="3668"/>
    </row>
    <row r="45" spans="1:7" s="214" customFormat="1" ht="13.5" customHeight="1">
      <c r="A45" s="777" t="s">
        <v>341</v>
      </c>
      <c r="B45" s="244" t="s">
        <v>85</v>
      </c>
      <c r="C45" s="245">
        <f>C46</f>
        <v>40</v>
      </c>
      <c r="D45" s="235">
        <f>C47</f>
        <v>3.0000000000000001E-3</v>
      </c>
      <c r="E45" s="236" t="s">
        <v>102</v>
      </c>
      <c r="F45" s="246"/>
      <c r="G45" s="247" t="s">
        <v>434</v>
      </c>
    </row>
    <row r="46" spans="1:7" s="214" customFormat="1" ht="13.5" customHeight="1">
      <c r="A46" s="780" t="s">
        <v>349</v>
      </c>
      <c r="B46" s="248" t="s">
        <v>427</v>
      </c>
      <c r="C46" s="249">
        <f>ROUND((C33+C39)*F27,0)</f>
        <v>40</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341</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239</v>
      </c>
      <c r="D51" s="232"/>
      <c r="E51" s="232"/>
      <c r="F51" s="264"/>
      <c r="G51" s="234" t="s">
        <v>37</v>
      </c>
    </row>
    <row r="52" spans="1:7" s="208" customFormat="1" ht="16.5" thickBot="1">
      <c r="A52" s="265" t="s">
        <v>38</v>
      </c>
      <c r="B52" s="266"/>
      <c r="C52" s="267">
        <f ca="1">C31+C51</f>
        <v>27485</v>
      </c>
      <c r="D52" s="266"/>
      <c r="E52" s="266"/>
      <c r="F52" s="266"/>
      <c r="G52" s="268"/>
    </row>
    <row r="55" spans="1:7" ht="15">
      <c r="B55" s="270" t="s">
        <v>39</v>
      </c>
      <c r="C55" s="271"/>
    </row>
    <row r="56" spans="1:7">
      <c r="B56" s="273" t="s">
        <v>40</v>
      </c>
      <c r="C56" s="274">
        <f ca="1">ROUND(C51/C52,3)</f>
        <v>8.9999999999999993E-3</v>
      </c>
    </row>
    <row r="57" spans="1:7">
      <c r="B57" s="273" t="s">
        <v>41</v>
      </c>
      <c r="C57" s="275">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8"/>
      <c r="C2" s="3488"/>
      <c r="D2" s="3488"/>
      <c r="E2" s="3488"/>
    </row>
    <row r="3" spans="1:5" ht="18">
      <c r="A3" s="3489" t="str">
        <f>IF(项目基本情况!B9="房地产市场价值","估价结果一览表（市场价值不需“结果表-1”）","估价结果一览表")</f>
        <v>估价结果一览表</v>
      </c>
      <c r="B3" s="3489"/>
      <c r="C3" s="3489"/>
      <c r="D3" s="3489"/>
      <c r="E3" s="3489"/>
    </row>
    <row r="4" spans="1:5" ht="19.5" thickBot="1">
      <c r="A4" s="1493"/>
      <c r="B4" s="3487" t="s">
        <v>917</v>
      </c>
      <c r="C4" s="3487"/>
      <c r="D4" s="3487"/>
      <c r="E4" s="1493"/>
    </row>
    <row r="5" spans="1:5" ht="16.5" thickTop="1">
      <c r="A5" s="1491"/>
      <c r="B5" s="3485" t="s">
        <v>909</v>
      </c>
      <c r="C5" s="1494" t="s">
        <v>910</v>
      </c>
      <c r="D5" s="850">
        <f ca="1">结果表!H101</f>
        <v>1972</v>
      </c>
      <c r="E5" s="1491"/>
    </row>
    <row r="6" spans="1:5" ht="15.75">
      <c r="A6" s="1491"/>
      <c r="B6" s="3485"/>
      <c r="C6" s="1494" t="s">
        <v>911</v>
      </c>
      <c r="D6" s="850" t="str">
        <f ca="1">NUMBERSTRING(INT(D5*10000),2)&amp;"元整"</f>
        <v>壹仟玖佰柒拾贰万元整</v>
      </c>
      <c r="E6" s="1491"/>
    </row>
    <row r="7" spans="1:5" ht="15.75">
      <c r="A7" s="1491"/>
      <c r="B7" s="3490"/>
      <c r="C7" s="1495" t="s">
        <v>912</v>
      </c>
      <c r="D7" s="851">
        <f ca="1">结果表!H102</f>
        <v>29769</v>
      </c>
      <c r="E7" s="1491"/>
    </row>
    <row r="8" spans="1:5" ht="15.75">
      <c r="A8" s="1491"/>
      <c r="B8" s="3491" t="str">
        <f>结果表!E103</f>
        <v>2.估价师知悉的法定优先受偿款</v>
      </c>
      <c r="C8" s="1496" t="s">
        <v>913</v>
      </c>
      <c r="D8" s="851">
        <f>结果表!H103</f>
        <v>0</v>
      </c>
      <c r="E8" s="1491"/>
    </row>
    <row r="9" spans="1:5" ht="15.75">
      <c r="A9" s="1491"/>
      <c r="B9" s="349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4" t="str">
        <f>结果表!E107</f>
        <v>3.房地产抵押价值</v>
      </c>
      <c r="C13" s="1499" t="s">
        <v>910</v>
      </c>
      <c r="D13" s="853">
        <f ca="1">结果表!H107</f>
        <v>1972</v>
      </c>
      <c r="E13" s="1491"/>
    </row>
    <row r="14" spans="1:5" ht="15.75">
      <c r="A14" s="1491"/>
      <c r="B14" s="3485"/>
      <c r="C14" s="1494" t="s">
        <v>911</v>
      </c>
      <c r="D14" s="850" t="str">
        <f ca="1">NUMBERSTRING(INT(D13*10000),2)&amp;"元整"</f>
        <v>壹仟玖佰柒拾贰万元整</v>
      </c>
      <c r="E14" s="1491"/>
    </row>
    <row r="15" spans="1:5" ht="15">
      <c r="A15" s="1491"/>
      <c r="B15" s="3490"/>
      <c r="C15" s="1495" t="s">
        <v>921</v>
      </c>
      <c r="D15" s="859">
        <f ca="1">结果表!H108</f>
        <v>29769</v>
      </c>
      <c r="E15" s="1491"/>
    </row>
    <row r="16" spans="1:5" ht="15">
      <c r="A16" s="1491"/>
      <c r="B16" s="3491" t="str">
        <f>结果表!E109</f>
        <v>——</v>
      </c>
      <c r="C16" s="1499" t="s">
        <v>922</v>
      </c>
      <c r="D16" s="1500" t="str">
        <f>结果表!H109</f>
        <v>——</v>
      </c>
      <c r="E16" s="1491"/>
    </row>
    <row r="17" spans="1:5" ht="15.75">
      <c r="A17" s="1491"/>
      <c r="B17" s="3492"/>
      <c r="C17" s="1494" t="s">
        <v>923</v>
      </c>
      <c r="D17" s="850" t="e">
        <f>NUMBERSTRING(INT(D16*10000),2)&amp;"元整"</f>
        <v>#VALUE!</v>
      </c>
      <c r="E17" s="1491"/>
    </row>
    <row r="18" spans="1:5" ht="15">
      <c r="A18" s="1491"/>
      <c r="B18" s="3493"/>
      <c r="C18" s="1495" t="s">
        <v>912</v>
      </c>
      <c r="D18" s="859" t="str">
        <f>结果表!H110</f>
        <v>——</v>
      </c>
      <c r="E18" s="1491"/>
    </row>
    <row r="19" spans="1:5" ht="15.75">
      <c r="A19" s="1491"/>
      <c r="B19" s="3484" t="str">
        <f>结果表!E111</f>
        <v>——</v>
      </c>
      <c r="C19" s="1499" t="s">
        <v>910</v>
      </c>
      <c r="D19" s="851" t="str">
        <f>结果表!H111</f>
        <v>——</v>
      </c>
      <c r="E19" s="1491"/>
    </row>
    <row r="20" spans="1:5" ht="15.75">
      <c r="A20" s="1491"/>
      <c r="B20" s="3485"/>
      <c r="C20" s="1494" t="s">
        <v>923</v>
      </c>
      <c r="D20" s="850" t="e">
        <f>NUMBERSTRING(INT(D19*10000),2)&amp;"元整"</f>
        <v>#VALUE!</v>
      </c>
      <c r="E20" s="1491"/>
    </row>
    <row r="21" spans="1:5" ht="15.75" thickBot="1">
      <c r="A21" s="1491"/>
      <c r="B21" s="348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04" t="s">
        <v>3181</v>
      </c>
      <c r="B1" s="3804"/>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05" t="s">
        <v>3232</v>
      </c>
      <c r="B1" s="3805"/>
      <c r="C1" s="3805"/>
      <c r="D1" s="3805"/>
      <c r="E1" s="3805"/>
      <c r="F1" s="3806"/>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3220">
        <f>基准地价修正!G23</f>
        <v>45996</v>
      </c>
      <c r="B1" s="3209" t="s">
        <v>3376</v>
      </c>
      <c r="C1" s="3210"/>
      <c r="D1" s="3210"/>
      <c r="E1" s="3210"/>
      <c r="F1" s="3210"/>
      <c r="G1" s="3210"/>
      <c r="H1" s="3210"/>
      <c r="I1" s="3210"/>
      <c r="J1" s="3164"/>
      <c r="K1" s="3210" t="s">
        <v>454</v>
      </c>
      <c r="L1" s="3210"/>
      <c r="M1" s="3210"/>
      <c r="N1" s="3210"/>
      <c r="O1" s="3210"/>
      <c r="P1" s="3210"/>
      <c r="Q1" s="3164"/>
      <c r="R1" s="3807" t="s">
        <v>456</v>
      </c>
      <c r="S1" s="3808"/>
      <c r="T1" s="3808"/>
      <c r="U1" s="3808"/>
      <c r="V1" s="3808"/>
      <c r="W1" s="3808"/>
      <c r="X1" s="3164"/>
      <c r="Y1" s="3807" t="s">
        <v>457</v>
      </c>
      <c r="Z1" s="3808"/>
      <c r="AA1" s="3808"/>
      <c r="AB1" s="3808"/>
      <c r="AC1" s="3808"/>
      <c r="AD1" s="3808"/>
    </row>
    <row r="2" spans="1:44"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c r="AF2" t="s">
        <v>3401</v>
      </c>
      <c r="AG2" t="s">
        <v>673</v>
      </c>
      <c r="AH2" t="s">
        <v>21</v>
      </c>
      <c r="AI2" t="s">
        <v>3402</v>
      </c>
      <c r="AJ2" t="s">
        <v>3</v>
      </c>
      <c r="AK2" t="s">
        <v>3403</v>
      </c>
      <c r="AM2" t="s">
        <v>3401</v>
      </c>
      <c r="AN2" t="s">
        <v>673</v>
      </c>
      <c r="AO2" t="s">
        <v>21</v>
      </c>
      <c r="AP2" t="s">
        <v>3402</v>
      </c>
      <c r="AQ2" t="s">
        <v>3</v>
      </c>
      <c r="AR2" t="s">
        <v>3403</v>
      </c>
    </row>
    <row r="3" spans="1:44" s="3160" customFormat="1" ht="12.75">
      <c r="A3" s="3148" t="s">
        <v>2819</v>
      </c>
      <c r="B3" s="3149"/>
      <c r="C3" s="3150"/>
      <c r="D3" s="3150">
        <f>ROUND(AVERAGEIF(D4:D24,"&lt;&gt;0"),2)</f>
        <v>0.33</v>
      </c>
      <c r="E3" s="3150">
        <f t="shared" ref="E3:H3" si="0">ROUND(AVERAGEIF(E4:E24,"&lt;&gt;0"),2)</f>
        <v>0.14000000000000001</v>
      </c>
      <c r="F3" s="3150">
        <f t="shared" si="0"/>
        <v>-0.16</v>
      </c>
      <c r="G3" s="3150">
        <f t="shared" si="0"/>
        <v>0.39</v>
      </c>
      <c r="H3" s="3150">
        <f t="shared" si="0"/>
        <v>0.47</v>
      </c>
      <c r="I3" s="3150">
        <f>F3</f>
        <v>-0.16</v>
      </c>
      <c r="J3" s="3151"/>
      <c r="K3" s="3152">
        <f>ROUND(AVERAGEIF(K4:K24,"&lt;&gt;0"),4)</f>
        <v>3.3E-3</v>
      </c>
      <c r="L3" s="3153">
        <f t="shared" ref="L3:O3" si="1">ROUND(AVERAGEIF(L4:L24,"&lt;&gt;0"),4)</f>
        <v>1.4E-3</v>
      </c>
      <c r="M3" s="3153">
        <f t="shared" si="1"/>
        <v>-1.6000000000000001E-3</v>
      </c>
      <c r="N3" s="3153">
        <f t="shared" si="1"/>
        <v>3.8999999999999998E-3</v>
      </c>
      <c r="O3" s="3153">
        <f t="shared" si="1"/>
        <v>4.7000000000000002E-3</v>
      </c>
      <c r="P3" s="3153">
        <f>M3</f>
        <v>-1.6000000000000001E-3</v>
      </c>
      <c r="Q3" s="3151"/>
      <c r="R3" s="3154">
        <f>ROUND(SUMPRODUCT(PRODUCT(1+K4:K24)),4)</f>
        <v>1.0631999999999999</v>
      </c>
      <c r="S3" s="3155">
        <f t="shared" ref="S3:V3" si="2">ROUND(SUMPRODUCT(PRODUCT(1+L4:L24)),4)</f>
        <v>1.0268999999999999</v>
      </c>
      <c r="T3" s="3155">
        <f t="shared" si="2"/>
        <v>0.97040000000000004</v>
      </c>
      <c r="U3" s="3155">
        <f t="shared" si="2"/>
        <v>1.0765</v>
      </c>
      <c r="V3" s="3155">
        <f t="shared" si="2"/>
        <v>1.0933999999999999</v>
      </c>
      <c r="W3" s="3154">
        <f>T3</f>
        <v>0.97040000000000004</v>
      </c>
      <c r="X3" s="3151"/>
      <c r="Y3" s="3156">
        <f>ROUND(AVERAGEIF(Y11:Y24,"&lt;&gt;0"),4)</f>
        <v>8.3999999999999995E-3</v>
      </c>
      <c r="Z3" s="3157">
        <f t="shared" ref="Z3:AC3" si="3">ROUND(AVERAGEIF(Z11:Z24,"&lt;&gt;0"),4)</f>
        <v>3.5000000000000001E-3</v>
      </c>
      <c r="AA3" s="3158">
        <f t="shared" si="3"/>
        <v>8.0000000000000004E-4</v>
      </c>
      <c r="AB3" s="3156">
        <f t="shared" si="3"/>
        <v>9.1000000000000004E-3</v>
      </c>
      <c r="AC3" s="3159">
        <f t="shared" si="3"/>
        <v>6.1000000000000004E-3</v>
      </c>
      <c r="AD3" s="3156">
        <f>AA3</f>
        <v>8.0000000000000004E-4</v>
      </c>
    </row>
    <row r="4" spans="1:44"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44" s="3184" customFormat="1">
      <c r="A5" s="2205" t="s">
        <v>3400</v>
      </c>
      <c r="B5" s="3176">
        <v>2025</v>
      </c>
      <c r="C5" s="3177">
        <v>4</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 t="shared" ref="P5:P11" si="10">M5</f>
        <v>0</v>
      </c>
      <c r="Q5" s="3180"/>
      <c r="R5" s="3182">
        <f>ROUND(IF(项目基本情况!$B$8="出让",SUMPRODUCT(PRODUCT(1+K5:$K$24)),SUMPRODUCT(PRODUCT(1+K5:$K$23))),4)</f>
        <v>1.0529999999999999</v>
      </c>
      <c r="S5" s="3182">
        <f>ROUND(IF(项目基本情况!$B$8="出让",SUMPRODUCT(PRODUCT(1+L5:$L$24)),SUMPRODUCT(PRODUCT(1+L5:$L$23))),4)</f>
        <v>1.0251999999999999</v>
      </c>
      <c r="T5" s="3182">
        <f>ROUND(IF(项目基本情况!$B$8="出让",SUMPRODUCT(PRODUCT(1+M5:$M$24)),SUMPRODUCT(PRODUCT(1+M5:$M$23))),4)</f>
        <v>0.97289999999999999</v>
      </c>
      <c r="U5" s="3182">
        <f>ROUND(IF(项目基本情况!$B$8="出让",SUMPRODUCT(PRODUCT(1+N5:$N$24)),SUMPRODUCT(PRODUCT(1+N5:$N$23))),4)</f>
        <v>1.0647</v>
      </c>
      <c r="V5" s="3182">
        <f>ROUND(IF(项目基本情况!$B$8="出让",SUMPRODUCT(PRODUCT(1+O5:$O$24)),SUMPRODUCT(PRODUCT(1+O5:$O$23))),4)</f>
        <v>1.0894999999999999</v>
      </c>
      <c r="W5" s="3182">
        <f t="shared" ref="W5:W11" si="11">T5</f>
        <v>0.97289999999999999</v>
      </c>
      <c r="X5" s="3180"/>
      <c r="Y5" s="3183">
        <f t="shared" ref="Y5:Y11" si="12">IF(D5=0,0,ROUND(AVERAGE(D5:D18)/100,4))</f>
        <v>0</v>
      </c>
      <c r="Z5" s="3183">
        <f t="shared" ref="Z5" si="13">IF(E5=0,0,ROUND(AVERAGE(E5:E18)/100,4))</f>
        <v>0</v>
      </c>
      <c r="AA5" s="3183">
        <f t="shared" ref="AA5" si="14">IF(F5=0,0,ROUND(AVERAGE(F5:F18)/100,4))</f>
        <v>0</v>
      </c>
      <c r="AB5" s="3183">
        <f t="shared" ref="AB5" si="15">IF(G5=0,0,ROUND(AVERAGE(G5:G18)/100,4))</f>
        <v>0</v>
      </c>
      <c r="AC5" s="3183">
        <f t="shared" ref="AC5" si="16">IF(H5=0,0,ROUND(AVERAGE(H5:H18)/100,4))</f>
        <v>0</v>
      </c>
      <c r="AD5" s="3183">
        <f t="shared" ref="AD5" si="17">AA5</f>
        <v>0</v>
      </c>
      <c r="AF5" s="3457">
        <f>$AF$24*R5</f>
        <v>105.3</v>
      </c>
      <c r="AG5" s="3457">
        <f t="shared" ref="AG5:AK5" si="18">$AF$24*S5</f>
        <v>102.51999999999998</v>
      </c>
      <c r="AH5" s="3457">
        <f t="shared" si="18"/>
        <v>97.289999999999992</v>
      </c>
      <c r="AI5" s="3457">
        <f t="shared" si="18"/>
        <v>106.47</v>
      </c>
      <c r="AJ5" s="3457">
        <f t="shared" si="18"/>
        <v>108.94999999999999</v>
      </c>
      <c r="AK5" s="3457">
        <f t="shared" si="18"/>
        <v>97.289999999999992</v>
      </c>
      <c r="AM5" s="3463">
        <v>100</v>
      </c>
      <c r="AN5" s="3463">
        <v>100</v>
      </c>
      <c r="AO5" s="3463">
        <v>100</v>
      </c>
      <c r="AP5" s="3463">
        <v>100</v>
      </c>
      <c r="AQ5" s="3463">
        <v>100</v>
      </c>
      <c r="AR5" s="3463">
        <v>100</v>
      </c>
    </row>
    <row r="6" spans="1:44" s="3194" customFormat="1" ht="12.75">
      <c r="A6" s="3185" t="s">
        <v>3414</v>
      </c>
      <c r="B6" s="3186">
        <v>2025</v>
      </c>
      <c r="C6" s="3187">
        <v>3</v>
      </c>
      <c r="D6" s="3188">
        <v>-0.45</v>
      </c>
      <c r="E6" s="3188">
        <v>-0.22</v>
      </c>
      <c r="F6" s="3188">
        <v>-0.82</v>
      </c>
      <c r="G6" s="3188">
        <v>-0.39</v>
      </c>
      <c r="H6" s="3189">
        <v>0.04</v>
      </c>
      <c r="I6" s="3190">
        <f t="shared" ref="I6" si="19">F6</f>
        <v>-0.82</v>
      </c>
      <c r="J6" s="3191"/>
      <c r="K6" s="3192">
        <f t="shared" ref="K6" si="20">D6/100</f>
        <v>-4.5000000000000005E-3</v>
      </c>
      <c r="L6" s="3193">
        <f t="shared" ref="L6" si="21">E6/100</f>
        <v>-2.2000000000000001E-3</v>
      </c>
      <c r="M6" s="3193">
        <f t="shared" ref="M6" si="22">F6/100</f>
        <v>-8.199999999999999E-3</v>
      </c>
      <c r="N6" s="3193">
        <f t="shared" ref="N6" si="23">G6/100</f>
        <v>-3.9000000000000003E-3</v>
      </c>
      <c r="O6" s="3193">
        <f t="shared" ref="O6" si="24">H6/100</f>
        <v>4.0000000000000002E-4</v>
      </c>
      <c r="P6" s="3193">
        <f t="shared" si="10"/>
        <v>-8.199999999999999E-3</v>
      </c>
      <c r="Q6" s="3191"/>
      <c r="R6" s="3191">
        <f>ROUND(IF(项目基本情况!$B$8="出让",SUMPRODUCT(PRODUCT(1+K6:$K$24)),SUMPRODUCT(PRODUCT(1+K6:$K$23))),4)</f>
        <v>1.0529999999999999</v>
      </c>
      <c r="S6" s="3191">
        <f>ROUND(IF(项目基本情况!$B$8="出让",SUMPRODUCT(PRODUCT(1+L6:$L$24)),SUMPRODUCT(PRODUCT(1+L6:$L$23))),4)</f>
        <v>1.0251999999999999</v>
      </c>
      <c r="T6" s="3191">
        <f>ROUND(IF(项目基本情况!$B$8="出让",SUMPRODUCT(PRODUCT(1+M6:$M$24)),SUMPRODUCT(PRODUCT(1+M6:$M$23))),4)</f>
        <v>0.97289999999999999</v>
      </c>
      <c r="U6" s="3191">
        <f>ROUND(IF(项目基本情况!$B$8="出让",SUMPRODUCT(PRODUCT(1+N6:$N$24)),SUMPRODUCT(PRODUCT(1+N6:$N$23))),4)</f>
        <v>1.0647</v>
      </c>
      <c r="V6" s="3191">
        <f>ROUND(IF(项目基本情况!$B$8="出让",SUMPRODUCT(PRODUCT(1+O6:$O$24)),SUMPRODUCT(PRODUCT(1+O6:$O$23))),4)</f>
        <v>1.0894999999999999</v>
      </c>
      <c r="W6" s="3191">
        <f t="shared" si="11"/>
        <v>0.97289999999999999</v>
      </c>
      <c r="X6" s="3191"/>
      <c r="Y6" s="3193">
        <f t="shared" si="12"/>
        <v>1.4E-3</v>
      </c>
      <c r="Z6" s="3193">
        <f t="shared" ref="Z6" si="25">IF(E6=0,0,ROUND(AVERAGE(E6:E19)/100,4))</f>
        <v>5.0000000000000001E-4</v>
      </c>
      <c r="AA6" s="3193">
        <f t="shared" ref="AA6" si="26">IF(F6=0,0,ROUND(AVERAGE(F6:F19)/100,4))</f>
        <v>-2.7000000000000001E-3</v>
      </c>
      <c r="AB6" s="3193">
        <f t="shared" ref="AB6" si="27">IF(G6=0,0,ROUND(AVERAGE(G6:G19)/100,4))</f>
        <v>2E-3</v>
      </c>
      <c r="AC6" s="3193">
        <f t="shared" ref="AC6" si="28">IF(H6=0,0,ROUND(AVERAGE(H6:H19)/100,4))</f>
        <v>4.1999999999999997E-3</v>
      </c>
      <c r="AD6" s="3193">
        <f t="shared" ref="AD6" si="29">AA6</f>
        <v>-2.7000000000000001E-3</v>
      </c>
      <c r="AF6" s="3458">
        <f t="shared" ref="AF6:AF23" si="30">$AF$24*R6</f>
        <v>105.3</v>
      </c>
      <c r="AG6" s="3458">
        <f t="shared" ref="AG6:AG23" si="31">$AF$24*S6</f>
        <v>102.51999999999998</v>
      </c>
      <c r="AH6" s="3458">
        <f t="shared" ref="AH6:AH23" si="32">$AF$24*T6</f>
        <v>97.289999999999992</v>
      </c>
      <c r="AI6" s="3458">
        <f t="shared" ref="AI6:AI23" si="33">$AF$24*U6</f>
        <v>106.47</v>
      </c>
      <c r="AJ6" s="3458">
        <f t="shared" ref="AJ6:AJ23" si="34">$AF$24*V6</f>
        <v>108.94999999999999</v>
      </c>
      <c r="AK6" s="3458">
        <f t="shared" ref="AK6:AK23" si="35">$AF$24*W6</f>
        <v>97.289999999999992</v>
      </c>
      <c r="AM6" s="3458">
        <f>AM5/(1+D5/100)</f>
        <v>100</v>
      </c>
      <c r="AN6" s="3458">
        <f t="shared" ref="AN6:AR6" si="36">AN5/(1+E5/100)</f>
        <v>100</v>
      </c>
      <c r="AO6" s="3458">
        <f t="shared" si="36"/>
        <v>100</v>
      </c>
      <c r="AP6" s="3458">
        <f t="shared" si="36"/>
        <v>100</v>
      </c>
      <c r="AQ6" s="3458">
        <f t="shared" si="36"/>
        <v>100</v>
      </c>
      <c r="AR6" s="3458">
        <f t="shared" si="36"/>
        <v>100</v>
      </c>
    </row>
    <row r="7" spans="1:44" s="3184" customFormat="1" ht="12.75">
      <c r="A7" s="2205" t="s">
        <v>3415</v>
      </c>
      <c r="B7" s="3176">
        <v>2025</v>
      </c>
      <c r="C7" s="3177">
        <v>2</v>
      </c>
      <c r="D7" s="3178">
        <v>0.05</v>
      </c>
      <c r="E7" s="3178">
        <v>-0.62</v>
      </c>
      <c r="F7" s="3178">
        <v>-1.05</v>
      </c>
      <c r="G7" s="3178">
        <v>0.09</v>
      </c>
      <c r="H7" s="3178">
        <v>0.17</v>
      </c>
      <c r="I7" s="3179">
        <f t="shared" ref="I7" si="37">F7</f>
        <v>-1.05</v>
      </c>
      <c r="J7" s="3180"/>
      <c r="K7" s="3181">
        <f t="shared" ref="K7" si="38">D7/100</f>
        <v>5.0000000000000001E-4</v>
      </c>
      <c r="L7" s="3171">
        <f t="shared" ref="L7" si="39">E7/100</f>
        <v>-6.1999999999999998E-3</v>
      </c>
      <c r="M7" s="3171">
        <f t="shared" ref="M7" si="40">F7/100</f>
        <v>-1.0500000000000001E-2</v>
      </c>
      <c r="N7" s="3171">
        <f t="shared" ref="N7" si="41">G7/100</f>
        <v>8.9999999999999998E-4</v>
      </c>
      <c r="O7" s="3171">
        <f t="shared" ref="O7" si="42">H7/100</f>
        <v>1.7000000000000001E-3</v>
      </c>
      <c r="P7" s="3171">
        <f t="shared" si="10"/>
        <v>-1.0500000000000001E-2</v>
      </c>
      <c r="Q7" s="3180"/>
      <c r="R7" s="3182">
        <f>ROUND(IF(项目基本情况!$B$8="出让",SUMPRODUCT(PRODUCT(1+K7:$K$24)),SUMPRODUCT(PRODUCT(1+K7:$K$23))),4)</f>
        <v>1.0577000000000001</v>
      </c>
      <c r="S7" s="3182">
        <f>ROUND(IF(项目基本情况!$B$8="出让",SUMPRODUCT(PRODUCT(1+L7:$L$24)),SUMPRODUCT(PRODUCT(1+L7:$L$23))),4)</f>
        <v>1.0275000000000001</v>
      </c>
      <c r="T7" s="3182">
        <f>ROUND(IF(项目基本情况!$B$8="出让",SUMPRODUCT(PRODUCT(1+M7:$M$24)),SUMPRODUCT(PRODUCT(1+M7:$M$23))),4)</f>
        <v>0.98089999999999999</v>
      </c>
      <c r="U7" s="3182">
        <f>ROUND(IF(项目基本情况!$B$8="出让",SUMPRODUCT(PRODUCT(1+N7:$N$24)),SUMPRODUCT(PRODUCT(1+N7:$N$23))),4)</f>
        <v>1.0689</v>
      </c>
      <c r="V7" s="3182">
        <f>ROUND(IF(项目基本情况!$B$8="出让",SUMPRODUCT(PRODUCT(1+O7:$O$24)),SUMPRODUCT(PRODUCT(1+O7:$O$23))),4)</f>
        <v>1.0891</v>
      </c>
      <c r="W7" s="3182">
        <f t="shared" si="11"/>
        <v>0.98089999999999999</v>
      </c>
      <c r="X7" s="3180"/>
      <c r="Y7" s="3183">
        <f t="shared" si="12"/>
        <v>2.3E-3</v>
      </c>
      <c r="Z7" s="3183">
        <f t="shared" ref="Z7" si="43">IF(E7=0,0,ROUND(AVERAGE(E7:E20)/100,4))</f>
        <v>1E-3</v>
      </c>
      <c r="AA7" s="3183">
        <f t="shared" ref="AA7" si="44">IF(F7=0,0,ROUND(AVERAGE(F7:F20)/100,4))</f>
        <v>-1.9E-3</v>
      </c>
      <c r="AB7" s="3183">
        <f t="shared" ref="AB7" si="45">IF(G7=0,0,ROUND(AVERAGE(G7:G20)/100,4))</f>
        <v>2.8999999999999998E-3</v>
      </c>
      <c r="AC7" s="3183">
        <f t="shared" ref="AC7" si="46">IF(H7=0,0,ROUND(AVERAGE(H7:H20)/100,4))</f>
        <v>4.7000000000000002E-3</v>
      </c>
      <c r="AD7" s="3183">
        <f t="shared" ref="AD7" si="47">AA7</f>
        <v>-1.9E-3</v>
      </c>
      <c r="AF7" s="3457">
        <f t="shared" si="30"/>
        <v>105.77000000000001</v>
      </c>
      <c r="AG7" s="3457">
        <f t="shared" si="31"/>
        <v>102.75000000000001</v>
      </c>
      <c r="AH7" s="3457">
        <f t="shared" si="32"/>
        <v>98.09</v>
      </c>
      <c r="AI7" s="3457">
        <f t="shared" si="33"/>
        <v>106.89</v>
      </c>
      <c r="AJ7" s="3457">
        <f t="shared" si="34"/>
        <v>108.91</v>
      </c>
      <c r="AK7" s="3457">
        <f t="shared" si="35"/>
        <v>98.09</v>
      </c>
      <c r="AM7" s="3457">
        <f t="shared" ref="AM7:AM24" si="48">AM6/(1+D6/100)</f>
        <v>100.45203415369161</v>
      </c>
      <c r="AN7" s="3457">
        <f t="shared" ref="AN7:AN24" si="49">AN6/(1+E6/100)</f>
        <v>100.22048506714772</v>
      </c>
      <c r="AO7" s="3457">
        <f t="shared" ref="AO7:AO24" si="50">AO6/(1+F6/100)</f>
        <v>100.8267795926598</v>
      </c>
      <c r="AP7" s="3457">
        <f t="shared" ref="AP7:AP24" si="51">AP6/(1+G6/100)</f>
        <v>100.39152695512499</v>
      </c>
      <c r="AQ7" s="3457">
        <f t="shared" ref="AQ7:AQ24" si="52">AQ6/(1+H6/100)</f>
        <v>99.960015993602568</v>
      </c>
      <c r="AR7" s="3457">
        <f t="shared" ref="AR7:AR24" si="53">AR6/(1+I6/100)</f>
        <v>100.8267795926598</v>
      </c>
    </row>
    <row r="8" spans="1:44" s="3184" customFormat="1" ht="12.75">
      <c r="A8" s="2205" t="s">
        <v>3406</v>
      </c>
      <c r="B8" s="3176">
        <v>2025</v>
      </c>
      <c r="C8" s="3177">
        <v>1</v>
      </c>
      <c r="D8" s="3178">
        <v>0.56999999999999995</v>
      </c>
      <c r="E8" s="3178">
        <v>-0.56999999999999995</v>
      </c>
      <c r="F8" s="3178">
        <v>-0.9</v>
      </c>
      <c r="G8" s="3178">
        <v>1.1200000000000001</v>
      </c>
      <c r="H8" s="3178">
        <v>0.42</v>
      </c>
      <c r="I8" s="3179">
        <f t="shared" ref="I8" si="54">F8</f>
        <v>-0.9</v>
      </c>
      <c r="J8" s="3180"/>
      <c r="K8" s="3181">
        <f t="shared" ref="K8" si="55">D8/100</f>
        <v>5.6999999999999993E-3</v>
      </c>
      <c r="L8" s="3171">
        <f t="shared" ref="L8" si="56">E8/100</f>
        <v>-5.6999999999999993E-3</v>
      </c>
      <c r="M8" s="3171">
        <f t="shared" ref="M8" si="57">F8/100</f>
        <v>-9.0000000000000011E-3</v>
      </c>
      <c r="N8" s="3171">
        <f t="shared" ref="N8" si="58">G8/100</f>
        <v>1.1200000000000002E-2</v>
      </c>
      <c r="O8" s="3171">
        <f t="shared" ref="O8" si="59">H8/100</f>
        <v>4.1999999999999997E-3</v>
      </c>
      <c r="P8" s="3171">
        <f t="shared" si="10"/>
        <v>-9.0000000000000011E-3</v>
      </c>
      <c r="Q8" s="3180"/>
      <c r="R8" s="3182">
        <f>ROUND(IF(项目基本情况!$B$8="出让",SUMPRODUCT(PRODUCT(1+K8:$K$24)),SUMPRODUCT(PRODUCT(1+K8:$K$23))),4)</f>
        <v>1.0571999999999999</v>
      </c>
      <c r="S8" s="3182">
        <f>ROUND(IF(项目基本情况!$B$8="出让",SUMPRODUCT(PRODUCT(1+L8:$L$24)),SUMPRODUCT(PRODUCT(1+L8:$L$23))),4)</f>
        <v>1.0339</v>
      </c>
      <c r="T8" s="3182">
        <f>ROUND(IF(项目基本情况!$B$8="出让",SUMPRODUCT(PRODUCT(1+M8:$M$24)),SUMPRODUCT(PRODUCT(1+M8:$M$23))),4)</f>
        <v>0.99129999999999996</v>
      </c>
      <c r="U8" s="3182">
        <f>ROUND(IF(项目基本情况!$B$8="出让",SUMPRODUCT(PRODUCT(1+N8:$N$24)),SUMPRODUCT(PRODUCT(1+N8:$N$23))),4)</f>
        <v>1.0679000000000001</v>
      </c>
      <c r="V8" s="3182">
        <f>ROUND(IF(项目基本情况!$B$8="出让",SUMPRODUCT(PRODUCT(1+O8:$O$24)),SUMPRODUCT(PRODUCT(1+O8:$O$23))),4)</f>
        <v>1.0871999999999999</v>
      </c>
      <c r="W8" s="3182">
        <f t="shared" si="11"/>
        <v>0.99129999999999996</v>
      </c>
      <c r="X8" s="3180"/>
      <c r="Y8" s="3183">
        <f t="shared" si="12"/>
        <v>3.0000000000000001E-3</v>
      </c>
      <c r="Z8" s="3183">
        <f t="shared" ref="Z8" si="60">IF(E8=0,0,ROUND(AVERAGE(E8:E21)/100,4))</f>
        <v>1.6000000000000001E-3</v>
      </c>
      <c r="AA8" s="3183">
        <f t="shared" ref="AA8" si="61">IF(F8=0,0,ROUND(AVERAGE(F8:F21)/100,4))</f>
        <v>-1.1000000000000001E-3</v>
      </c>
      <c r="AB8" s="3183">
        <f t="shared" ref="AB8" si="62">IF(G8=0,0,ROUND(AVERAGE(G8:G21)/100,4))</f>
        <v>3.7000000000000002E-3</v>
      </c>
      <c r="AC8" s="3183">
        <f t="shared" ref="AC8" si="63">IF(H8=0,0,ROUND(AVERAGE(H8:H21)/100,4))</f>
        <v>4.8999999999999998E-3</v>
      </c>
      <c r="AD8" s="3183">
        <f t="shared" ref="AD8" si="64">AA8</f>
        <v>-1.1000000000000001E-3</v>
      </c>
      <c r="AF8" s="3457">
        <f t="shared" si="30"/>
        <v>105.72</v>
      </c>
      <c r="AG8" s="3457">
        <f t="shared" si="31"/>
        <v>103.39</v>
      </c>
      <c r="AH8" s="3457">
        <f t="shared" si="32"/>
        <v>99.13</v>
      </c>
      <c r="AI8" s="3457">
        <f t="shared" si="33"/>
        <v>106.79</v>
      </c>
      <c r="AJ8" s="3457">
        <f t="shared" si="34"/>
        <v>108.72</v>
      </c>
      <c r="AK8" s="3457">
        <f t="shared" si="35"/>
        <v>99.13</v>
      </c>
      <c r="AM8" s="3457">
        <f t="shared" si="48"/>
        <v>100.40183323707308</v>
      </c>
      <c r="AN8" s="3457">
        <f t="shared" si="49"/>
        <v>100.84572858437082</v>
      </c>
      <c r="AO8" s="3457">
        <f t="shared" si="50"/>
        <v>101.89669488899423</v>
      </c>
      <c r="AP8" s="3457">
        <f t="shared" si="51"/>
        <v>100.3012558248826</v>
      </c>
      <c r="AQ8" s="3457">
        <f t="shared" si="52"/>
        <v>99.790372360589558</v>
      </c>
      <c r="AR8" s="3457">
        <f t="shared" si="53"/>
        <v>101.89669488899423</v>
      </c>
    </row>
    <row r="9" spans="1:44" s="3184" customFormat="1" ht="12.75">
      <c r="A9" s="2205" t="s">
        <v>3405</v>
      </c>
      <c r="B9" s="3176">
        <v>2024</v>
      </c>
      <c r="C9" s="3177">
        <v>4</v>
      </c>
      <c r="D9" s="3178">
        <v>-1.02</v>
      </c>
      <c r="E9" s="3178">
        <v>-0.48</v>
      </c>
      <c r="F9" s="3178">
        <v>-0.75</v>
      </c>
      <c r="G9" s="3178">
        <v>-1.05</v>
      </c>
      <c r="H9" s="3178">
        <v>0.08</v>
      </c>
      <c r="I9" s="3179">
        <f t="shared" ref="I9" si="65">F9</f>
        <v>-0.75</v>
      </c>
      <c r="J9" s="3180"/>
      <c r="K9" s="3181">
        <f t="shared" ref="K9" si="66">D9/100</f>
        <v>-1.0200000000000001E-2</v>
      </c>
      <c r="L9" s="3171">
        <f t="shared" ref="L9" si="67">E9/100</f>
        <v>-4.7999999999999996E-3</v>
      </c>
      <c r="M9" s="3171">
        <f t="shared" ref="M9" si="68">F9/100</f>
        <v>-7.4999999999999997E-3</v>
      </c>
      <c r="N9" s="3171">
        <f t="shared" ref="N9" si="69">G9/100</f>
        <v>-1.0500000000000001E-2</v>
      </c>
      <c r="O9" s="3171">
        <f t="shared" ref="O9" si="70">H9/100</f>
        <v>8.0000000000000004E-4</v>
      </c>
      <c r="P9" s="3171">
        <f t="shared" si="10"/>
        <v>-7.4999999999999997E-3</v>
      </c>
      <c r="Q9" s="3180"/>
      <c r="R9" s="3182">
        <f>ROUND(IF(项目基本情况!$B$8="出让",SUMPRODUCT(PRODUCT(1+K9:$K$24)),SUMPRODUCT(PRODUCT(1+K9:$K$23))),4)</f>
        <v>1.0511999999999999</v>
      </c>
      <c r="S9" s="3182">
        <f>ROUND(IF(项目基本情况!$B$8="出让",SUMPRODUCT(PRODUCT(1+L9:$L$24)),SUMPRODUCT(PRODUCT(1+L9:$L$23))),4)</f>
        <v>1.0398000000000001</v>
      </c>
      <c r="T9" s="3182">
        <f>ROUND(IF(项目基本情况!$B$8="出让",SUMPRODUCT(PRODUCT(1+M9:$M$24)),SUMPRODUCT(PRODUCT(1+M9:$M$23))),4)</f>
        <v>1.0003</v>
      </c>
      <c r="U9" s="3182">
        <f>ROUND(IF(项目基本情况!$B$8="出让",SUMPRODUCT(PRODUCT(1+N9:$N$24)),SUMPRODUCT(PRODUCT(1+N9:$N$23))),4)</f>
        <v>1.0561</v>
      </c>
      <c r="V9" s="3182">
        <f>ROUND(IF(项目基本情况!$B$8="出让",SUMPRODUCT(PRODUCT(1+O9:$O$24)),SUMPRODUCT(PRODUCT(1+O9:$O$23))),4)</f>
        <v>1.0827</v>
      </c>
      <c r="W9" s="3182">
        <f t="shared" si="11"/>
        <v>1.0003</v>
      </c>
      <c r="X9" s="3180"/>
      <c r="Y9" s="3183">
        <f t="shared" si="12"/>
        <v>2.8999999999999998E-3</v>
      </c>
      <c r="Z9" s="3183">
        <f t="shared" ref="Z9" si="71">IF(E9=0,0,ROUND(AVERAGE(E9:E22)/100,4))</f>
        <v>2.3E-3</v>
      </c>
      <c r="AA9" s="3183">
        <f t="shared" ref="AA9" si="72">IF(F9=0,0,ROUND(AVERAGE(F9:F22)/100,4))</f>
        <v>-2.9999999999999997E-4</v>
      </c>
      <c r="AB9" s="3183">
        <f t="shared" ref="AB9" si="73">IF(G9=0,0,ROUND(AVERAGE(G9:G22)/100,4))</f>
        <v>3.3E-3</v>
      </c>
      <c r="AC9" s="3183">
        <f t="shared" ref="AC9" si="74">IF(H9=0,0,ROUND(AVERAGE(H9:H22)/100,4))</f>
        <v>5.0000000000000001E-3</v>
      </c>
      <c r="AD9" s="3183">
        <f t="shared" ref="AD9" si="75">AA9</f>
        <v>-2.9999999999999997E-4</v>
      </c>
      <c r="AF9" s="3457">
        <f t="shared" si="30"/>
        <v>105.11999999999999</v>
      </c>
      <c r="AG9" s="3457">
        <f t="shared" si="31"/>
        <v>103.98</v>
      </c>
      <c r="AH9" s="3457">
        <f t="shared" si="32"/>
        <v>100.03</v>
      </c>
      <c r="AI9" s="3457">
        <f t="shared" si="33"/>
        <v>105.61</v>
      </c>
      <c r="AJ9" s="3457">
        <f t="shared" si="34"/>
        <v>108.27</v>
      </c>
      <c r="AK9" s="3457">
        <f t="shared" si="35"/>
        <v>100.03</v>
      </c>
      <c r="AM9" s="3457">
        <f t="shared" si="48"/>
        <v>99.832786354850427</v>
      </c>
      <c r="AN9" s="3457">
        <f t="shared" si="49"/>
        <v>101.42384449800947</v>
      </c>
      <c r="AO9" s="3457">
        <f t="shared" si="50"/>
        <v>102.82209373258752</v>
      </c>
      <c r="AP9" s="3457">
        <f t="shared" si="51"/>
        <v>99.190324193910797</v>
      </c>
      <c r="AQ9" s="3457">
        <f t="shared" si="52"/>
        <v>99.373005736496282</v>
      </c>
      <c r="AR9" s="3457">
        <f t="shared" si="53"/>
        <v>102.82209373258752</v>
      </c>
    </row>
    <row r="10" spans="1:44" s="3184" customFormat="1" ht="12.75">
      <c r="A10" s="2205" t="s">
        <v>3380</v>
      </c>
      <c r="B10" s="3176">
        <v>2024</v>
      </c>
      <c r="C10" s="3177">
        <v>3</v>
      </c>
      <c r="D10" s="3178">
        <v>-1.19</v>
      </c>
      <c r="E10" s="3178">
        <v>-0.47</v>
      </c>
      <c r="F10" s="3178">
        <v>-0.28999999999999998</v>
      </c>
      <c r="G10" s="3178">
        <v>-0.74</v>
      </c>
      <c r="H10" s="3178">
        <v>-0.21</v>
      </c>
      <c r="I10" s="3179">
        <f t="shared" ref="I10" si="76">F10</f>
        <v>-0.28999999999999998</v>
      </c>
      <c r="J10" s="3180"/>
      <c r="K10" s="3181">
        <f t="shared" ref="K10" si="77">D10/100</f>
        <v>-1.1899999999999999E-2</v>
      </c>
      <c r="L10" s="3171">
        <f t="shared" ref="L10" si="78">E10/100</f>
        <v>-4.6999999999999993E-3</v>
      </c>
      <c r="M10" s="3171">
        <f t="shared" ref="M10" si="79">F10/100</f>
        <v>-2.8999999999999998E-3</v>
      </c>
      <c r="N10" s="3171">
        <f t="shared" ref="N10" si="80">G10/100</f>
        <v>-7.4000000000000003E-3</v>
      </c>
      <c r="O10" s="3171">
        <f t="shared" ref="O10" si="81">H10/100</f>
        <v>-2.0999999999999999E-3</v>
      </c>
      <c r="P10" s="3171">
        <f t="shared" si="10"/>
        <v>-2.8999999999999998E-3</v>
      </c>
      <c r="Q10" s="3180"/>
      <c r="R10" s="3182">
        <f>ROUND(IF(项目基本情况!$B$8="出让",SUMPRODUCT(PRODUCT(1+K10:$K$24)),SUMPRODUCT(PRODUCT(1+K10:$K$23))),4)</f>
        <v>1.0620000000000001</v>
      </c>
      <c r="S10" s="3182">
        <f>ROUND(IF(项目基本情况!$B$8="出让",SUMPRODUCT(PRODUCT(1+L10:$L$24)),SUMPRODUCT(PRODUCT(1+L10:$L$23))),4)</f>
        <v>1.0448</v>
      </c>
      <c r="T10" s="3182">
        <f>ROUND(IF(项目基本情况!$B$8="出让",SUMPRODUCT(PRODUCT(1+M10:$M$24)),SUMPRODUCT(PRODUCT(1+M10:$M$23))),4)</f>
        <v>1.0079</v>
      </c>
      <c r="U10" s="3182">
        <f>ROUND(IF(项目基本情况!$B$8="出让",SUMPRODUCT(PRODUCT(1+N10:$N$24)),SUMPRODUCT(PRODUCT(1+N10:$N$23))),4)</f>
        <v>1.0672999999999999</v>
      </c>
      <c r="V10" s="3182">
        <f>ROUND(IF(项目基本情况!$B$8="出让",SUMPRODUCT(PRODUCT(1+O10:$O$24)),SUMPRODUCT(PRODUCT(1+O10:$O$23))),4)</f>
        <v>1.0818000000000001</v>
      </c>
      <c r="W10" s="3182">
        <f t="shared" si="11"/>
        <v>1.0079</v>
      </c>
      <c r="X10" s="3180"/>
      <c r="Y10" s="3183">
        <f t="shared" si="12"/>
        <v>4.3E-3</v>
      </c>
      <c r="Z10" s="3183">
        <f t="shared" ref="Z10" si="82">IF(E10=0,0,ROUND(AVERAGE(E10:E23)/100,4))</f>
        <v>3.0999999999999999E-3</v>
      </c>
      <c r="AA10" s="3183">
        <f t="shared" ref="AA10" si="83">IF(F10=0,0,ROUND(AVERAGE(F10:F23)/100,4))</f>
        <v>5.9999999999999995E-4</v>
      </c>
      <c r="AB10" s="3183">
        <f t="shared" ref="AB10" si="84">IF(G10=0,0,ROUND(AVERAGE(G10:G23)/100,4))</f>
        <v>4.7000000000000002E-3</v>
      </c>
      <c r="AC10" s="3183">
        <f t="shared" ref="AC10" si="85">IF(H10=0,0,ROUND(AVERAGE(H10:H23)/100,4))</f>
        <v>5.5999999999999999E-3</v>
      </c>
      <c r="AD10" s="3183">
        <f t="shared" ref="AD10" si="86">AA10</f>
        <v>5.9999999999999995E-4</v>
      </c>
      <c r="AF10" s="3457">
        <f t="shared" si="30"/>
        <v>106.2</v>
      </c>
      <c r="AG10" s="3457">
        <f t="shared" si="31"/>
        <v>104.47999999999999</v>
      </c>
      <c r="AH10" s="3457">
        <f t="shared" si="32"/>
        <v>100.79</v>
      </c>
      <c r="AI10" s="3457">
        <f t="shared" si="33"/>
        <v>106.72999999999999</v>
      </c>
      <c r="AJ10" s="3457">
        <f t="shared" si="34"/>
        <v>108.18</v>
      </c>
      <c r="AK10" s="3457">
        <f t="shared" si="35"/>
        <v>100.79</v>
      </c>
      <c r="AM10" s="3457">
        <f t="shared" si="48"/>
        <v>100.86157441387192</v>
      </c>
      <c r="AN10" s="3457">
        <f t="shared" si="49"/>
        <v>101.91302702774264</v>
      </c>
      <c r="AO10" s="3457">
        <f t="shared" si="50"/>
        <v>103.59908688421916</v>
      </c>
      <c r="AP10" s="3457">
        <f t="shared" si="51"/>
        <v>100.24287437484668</v>
      </c>
      <c r="AQ10" s="3457">
        <f t="shared" si="52"/>
        <v>99.293570879792455</v>
      </c>
      <c r="AR10" s="3457">
        <f t="shared" si="53"/>
        <v>103.59908688421916</v>
      </c>
    </row>
    <row r="11" spans="1:44" s="3184" customFormat="1" ht="12.75">
      <c r="A11" s="3175" t="s">
        <v>3374</v>
      </c>
      <c r="B11" s="3176">
        <v>2024</v>
      </c>
      <c r="C11" s="3177">
        <v>2</v>
      </c>
      <c r="D11" s="3178">
        <v>-0.59</v>
      </c>
      <c r="E11" s="3178">
        <v>-0.21</v>
      </c>
      <c r="F11" s="3178">
        <v>-1.38</v>
      </c>
      <c r="G11" s="3178">
        <v>-1.24</v>
      </c>
      <c r="H11" s="3195">
        <v>0.34</v>
      </c>
      <c r="I11" s="3179">
        <f t="shared" ref="I11:I24" si="87">F11</f>
        <v>-1.38</v>
      </c>
      <c r="J11" s="3180"/>
      <c r="K11" s="3181">
        <f t="shared" ref="K11:O24" si="88">D11/100</f>
        <v>-5.8999999999999999E-3</v>
      </c>
      <c r="L11" s="3171">
        <f t="shared" si="88"/>
        <v>-2.0999999999999999E-3</v>
      </c>
      <c r="M11" s="3171">
        <f t="shared" si="88"/>
        <v>-1.38E-2</v>
      </c>
      <c r="N11" s="3171">
        <f t="shared" si="88"/>
        <v>-1.24E-2</v>
      </c>
      <c r="O11" s="3171">
        <f t="shared" si="88"/>
        <v>3.4000000000000002E-3</v>
      </c>
      <c r="P11" s="3171">
        <f t="shared" si="10"/>
        <v>-1.38E-2</v>
      </c>
      <c r="Q11" s="3180"/>
      <c r="R11" s="3182">
        <f>ROUND(IF(项目基本情况!$B$8="出让",SUMPRODUCT(PRODUCT(1+K11:$K$24)),SUMPRODUCT(PRODUCT(1+K11:$K$23))),4)</f>
        <v>1.0748</v>
      </c>
      <c r="S11" s="3182">
        <f>ROUND(IF(项目基本情况!$B$8="出让",SUMPRODUCT(PRODUCT(1+L11:$L$24)),SUMPRODUCT(PRODUCT(1+L11:$L$23))),4)</f>
        <v>1.0498000000000001</v>
      </c>
      <c r="T11" s="3182">
        <f>ROUND(IF(项目基本情况!$B$8="出让",SUMPRODUCT(PRODUCT(1+M11:$M$24)),SUMPRODUCT(PRODUCT(1+M11:$M$23))),4)</f>
        <v>1.0107999999999999</v>
      </c>
      <c r="U11" s="3182">
        <f>ROUND(IF(项目基本情况!$B$8="出让",SUMPRODUCT(PRODUCT(1+N11:$N$24)),SUMPRODUCT(PRODUCT(1+N11:$N$23))),4)</f>
        <v>1.0752999999999999</v>
      </c>
      <c r="V11" s="3182">
        <f>ROUND(IF(项目基本情况!$B$8="出让",SUMPRODUCT(PRODUCT(1+O11:$O$24)),SUMPRODUCT(PRODUCT(1+O11:$O$23))),4)</f>
        <v>1.0841000000000001</v>
      </c>
      <c r="W11" s="3182">
        <f t="shared" si="11"/>
        <v>1.0107999999999999</v>
      </c>
      <c r="X11" s="3180"/>
      <c r="Y11" s="3183">
        <f t="shared" si="12"/>
        <v>5.8999999999999999E-3</v>
      </c>
      <c r="Z11" s="3183">
        <f t="shared" ref="Z11:AC11" si="89">IF(E11=0,0,ROUND(AVERAGE(E11:E24)/100,4))</f>
        <v>3.5999999999999999E-3</v>
      </c>
      <c r="AA11" s="3183">
        <f t="shared" si="89"/>
        <v>5.9999999999999995E-4</v>
      </c>
      <c r="AB11" s="3183">
        <f t="shared" si="89"/>
        <v>6.0000000000000001E-3</v>
      </c>
      <c r="AC11" s="3183">
        <f t="shared" si="89"/>
        <v>6.0000000000000001E-3</v>
      </c>
      <c r="AD11" s="3183">
        <f t="shared" ref="AD11:AD23" si="90">AA11</f>
        <v>5.9999999999999995E-4</v>
      </c>
      <c r="AF11" s="3457">
        <f t="shared" si="30"/>
        <v>107.48</v>
      </c>
      <c r="AG11" s="3457">
        <f t="shared" si="31"/>
        <v>104.98</v>
      </c>
      <c r="AH11" s="3457">
        <f t="shared" si="32"/>
        <v>101.08</v>
      </c>
      <c r="AI11" s="3457">
        <f t="shared" si="33"/>
        <v>107.52999999999999</v>
      </c>
      <c r="AJ11" s="3457">
        <f t="shared" si="34"/>
        <v>108.41000000000001</v>
      </c>
      <c r="AK11" s="3457">
        <f t="shared" si="35"/>
        <v>101.08</v>
      </c>
      <c r="AM11" s="3457">
        <f t="shared" si="48"/>
        <v>102.07628217171533</v>
      </c>
      <c r="AN11" s="3457">
        <f t="shared" si="49"/>
        <v>102.39428014442143</v>
      </c>
      <c r="AO11" s="3457">
        <f t="shared" si="50"/>
        <v>103.90039803853091</v>
      </c>
      <c r="AP11" s="3457">
        <f t="shared" si="51"/>
        <v>100.99020186867487</v>
      </c>
      <c r="AQ11" s="3457">
        <f t="shared" si="52"/>
        <v>99.502526184780493</v>
      </c>
      <c r="AR11" s="3457">
        <f t="shared" si="53"/>
        <v>103.90039803853091</v>
      </c>
    </row>
    <row r="12" spans="1:44" s="3184" customFormat="1" ht="12.75">
      <c r="A12" s="3175" t="s">
        <v>3373</v>
      </c>
      <c r="B12" s="3176">
        <v>2024</v>
      </c>
      <c r="C12" s="3177">
        <v>1</v>
      </c>
      <c r="D12" s="3178">
        <v>0.08</v>
      </c>
      <c r="E12" s="3178">
        <v>0.46</v>
      </c>
      <c r="F12" s="3178">
        <v>-0.16</v>
      </c>
      <c r="G12" s="3178">
        <v>0.26</v>
      </c>
      <c r="H12" s="3195">
        <v>0.59</v>
      </c>
      <c r="I12" s="3179">
        <f t="shared" si="87"/>
        <v>-0.16</v>
      </c>
      <c r="J12" s="3180"/>
      <c r="K12" s="3181">
        <f t="shared" ref="K12" si="91">D12/100</f>
        <v>8.0000000000000004E-4</v>
      </c>
      <c r="L12" s="3171">
        <f t="shared" ref="L12" si="92">E12/100</f>
        <v>4.5999999999999999E-3</v>
      </c>
      <c r="M12" s="3171">
        <f t="shared" ref="M12" si="93">F12/100</f>
        <v>-1.6000000000000001E-3</v>
      </c>
      <c r="N12" s="3171">
        <f t="shared" ref="N12" si="94">G12/100</f>
        <v>2.5999999999999999E-3</v>
      </c>
      <c r="O12" s="3171">
        <f t="shared" ref="O12" si="95">H12/100</f>
        <v>5.8999999999999999E-3</v>
      </c>
      <c r="P12" s="3171">
        <f t="shared" ref="P12" si="96">M12</f>
        <v>-1.6000000000000001E-3</v>
      </c>
      <c r="Q12" s="3180"/>
      <c r="R12" s="3182">
        <f>ROUND(IF(项目基本情况!$B$8="出让",SUMPRODUCT(PRODUCT(1+K12:$K$24)),SUMPRODUCT(PRODUCT(1+K12:$K$23))),4)</f>
        <v>1.0811999999999999</v>
      </c>
      <c r="S12" s="3182">
        <f>ROUND(IF(项目基本情况!$B$8="出让",SUMPRODUCT(PRODUCT(1+L12:$L$24)),SUMPRODUCT(PRODUCT(1+L12:$L$23))),4)</f>
        <v>1.052</v>
      </c>
      <c r="T12" s="3182">
        <f>ROUND(IF(项目基本情况!$B$8="出让",SUMPRODUCT(PRODUCT(1+M12:$M$24)),SUMPRODUCT(PRODUCT(1+M12:$M$23))),4)</f>
        <v>1.0249999999999999</v>
      </c>
      <c r="U12" s="3182">
        <f>ROUND(IF(项目基本情况!$B$8="出让",SUMPRODUCT(PRODUCT(1+N12:$N$24)),SUMPRODUCT(PRODUCT(1+N12:$N$23))),4)</f>
        <v>1.0888</v>
      </c>
      <c r="V12" s="3182">
        <f>ROUND(IF(项目基本情况!$B$8="出让",SUMPRODUCT(PRODUCT(1+O12:$O$24)),SUMPRODUCT(PRODUCT(1+O12:$O$23))),4)</f>
        <v>1.0804</v>
      </c>
      <c r="W12" s="3182">
        <f t="shared" ref="W12" si="97">T12</f>
        <v>1.0249999999999999</v>
      </c>
      <c r="X12" s="3180"/>
      <c r="Y12" s="3183"/>
      <c r="Z12" s="3183"/>
      <c r="AA12" s="3183"/>
      <c r="AB12" s="3183"/>
      <c r="AC12" s="3183"/>
      <c r="AD12" s="3183"/>
      <c r="AF12" s="3457">
        <f t="shared" si="30"/>
        <v>108.11999999999999</v>
      </c>
      <c r="AG12" s="3457">
        <f t="shared" si="31"/>
        <v>105.2</v>
      </c>
      <c r="AH12" s="3457">
        <f t="shared" si="32"/>
        <v>102.49999999999999</v>
      </c>
      <c r="AI12" s="3457">
        <f t="shared" si="33"/>
        <v>108.88</v>
      </c>
      <c r="AJ12" s="3457">
        <f t="shared" si="34"/>
        <v>108.04</v>
      </c>
      <c r="AK12" s="3457">
        <f t="shared" si="35"/>
        <v>102.49999999999999</v>
      </c>
      <c r="AM12" s="3457">
        <f t="shared" si="48"/>
        <v>102.68210660065922</v>
      </c>
      <c r="AN12" s="3457">
        <f t="shared" si="49"/>
        <v>102.60976064176914</v>
      </c>
      <c r="AO12" s="3457">
        <f t="shared" si="50"/>
        <v>105.35428720191737</v>
      </c>
      <c r="AP12" s="3457">
        <f t="shared" si="51"/>
        <v>102.25820359323093</v>
      </c>
      <c r="AQ12" s="3457">
        <f t="shared" si="52"/>
        <v>99.165363947359467</v>
      </c>
      <c r="AR12" s="3457">
        <f t="shared" si="53"/>
        <v>105.35428720191737</v>
      </c>
    </row>
    <row r="13" spans="1:44" s="3184" customFormat="1" ht="12.75">
      <c r="A13" s="3175" t="s">
        <v>3369</v>
      </c>
      <c r="B13" s="3176">
        <v>2023</v>
      </c>
      <c r="C13" s="3177">
        <v>4</v>
      </c>
      <c r="D13" s="3178">
        <v>0.19</v>
      </c>
      <c r="E13" s="3178">
        <v>0.24</v>
      </c>
      <c r="F13" s="3178">
        <v>-0.16</v>
      </c>
      <c r="G13" s="3178">
        <v>0.17</v>
      </c>
      <c r="H13" s="3195">
        <v>0.61</v>
      </c>
      <c r="I13" s="3179">
        <f>F13</f>
        <v>-0.16</v>
      </c>
      <c r="J13" s="3180"/>
      <c r="K13" s="3181">
        <f t="shared" si="88"/>
        <v>1.9E-3</v>
      </c>
      <c r="L13" s="3171">
        <f t="shared" si="88"/>
        <v>2.3999999999999998E-3</v>
      </c>
      <c r="M13" s="3171">
        <f t="shared" si="88"/>
        <v>-1.6000000000000001E-3</v>
      </c>
      <c r="N13" s="3171">
        <f t="shared" si="88"/>
        <v>1.7000000000000001E-3</v>
      </c>
      <c r="O13" s="3171">
        <f t="shared" si="88"/>
        <v>6.0999999999999995E-3</v>
      </c>
      <c r="P13" s="3171">
        <f t="shared" ref="P13" si="98">M13</f>
        <v>-1.6000000000000001E-3</v>
      </c>
      <c r="Q13" s="3180"/>
      <c r="R13" s="3182">
        <f>ROUND(IF(项目基本情况!$B$8="出让",SUMPRODUCT(PRODUCT(1+K13:$K$24)),SUMPRODUCT(PRODUCT(1+K13:$K$23))),4)</f>
        <v>1.0804</v>
      </c>
      <c r="S13" s="3182">
        <f>ROUND(IF(项目基本情况!$B$8="出让",SUMPRODUCT(PRODUCT(1+L13:$L$24)),SUMPRODUCT(PRODUCT(1+L13:$L$23))),4)</f>
        <v>1.0471999999999999</v>
      </c>
      <c r="T13" s="3182">
        <f>ROUND(IF(项目基本情况!$B$8="出让",SUMPRODUCT(PRODUCT(1+M13:$M$24)),SUMPRODUCT(PRODUCT(1+M13:$M$23))),4)</f>
        <v>1.0266</v>
      </c>
      <c r="U13" s="3182">
        <f>ROUND(IF(项目基本情况!$B$8="出让",SUMPRODUCT(PRODUCT(1+N13:$N$24)),SUMPRODUCT(PRODUCT(1+N13:$N$23))),4)</f>
        <v>1.0859000000000001</v>
      </c>
      <c r="V13" s="3182">
        <f>ROUND(IF(项目基本情况!$B$8="出让",SUMPRODUCT(PRODUCT(1+O13:$O$24)),SUMPRODUCT(PRODUCT(1+O13:$O$23))),4)</f>
        <v>1.0741000000000001</v>
      </c>
      <c r="W13" s="3182">
        <f t="shared" ref="W13" si="99">T13</f>
        <v>1.0266</v>
      </c>
      <c r="X13" s="3180"/>
      <c r="Y13" s="3183"/>
      <c r="Z13" s="3183"/>
      <c r="AA13" s="3183"/>
      <c r="AB13" s="3183"/>
      <c r="AC13" s="3183"/>
      <c r="AD13" s="3183"/>
      <c r="AF13" s="3457">
        <f t="shared" si="30"/>
        <v>108.04</v>
      </c>
      <c r="AG13" s="3457">
        <f t="shared" si="31"/>
        <v>104.71999999999998</v>
      </c>
      <c r="AH13" s="3457">
        <f t="shared" si="32"/>
        <v>102.66</v>
      </c>
      <c r="AI13" s="3457">
        <f t="shared" si="33"/>
        <v>108.59</v>
      </c>
      <c r="AJ13" s="3457">
        <f t="shared" si="34"/>
        <v>107.41000000000001</v>
      </c>
      <c r="AK13" s="3457">
        <f t="shared" si="35"/>
        <v>102.66</v>
      </c>
      <c r="AM13" s="3457">
        <f t="shared" si="48"/>
        <v>102.60002657939572</v>
      </c>
      <c r="AN13" s="3457">
        <f t="shared" si="49"/>
        <v>102.13991702346122</v>
      </c>
      <c r="AO13" s="3457">
        <f t="shared" si="50"/>
        <v>105.52312420063839</v>
      </c>
      <c r="AP13" s="3457">
        <f t="shared" si="51"/>
        <v>101.99302173671548</v>
      </c>
      <c r="AQ13" s="3457">
        <f t="shared" si="52"/>
        <v>98.583719999363225</v>
      </c>
      <c r="AR13" s="3457">
        <f t="shared" si="53"/>
        <v>105.52312420063839</v>
      </c>
    </row>
    <row r="14" spans="1:44" s="3184" customFormat="1" ht="12.75">
      <c r="A14" s="3175" t="s">
        <v>3368</v>
      </c>
      <c r="B14" s="3176">
        <v>2023</v>
      </c>
      <c r="C14" s="3177">
        <v>3</v>
      </c>
      <c r="D14" s="3178">
        <v>0.25</v>
      </c>
      <c r="E14" s="3178">
        <v>0.5</v>
      </c>
      <c r="F14" s="3178">
        <v>0.31</v>
      </c>
      <c r="G14" s="3178">
        <v>0.21</v>
      </c>
      <c r="H14" s="3195">
        <v>0.43</v>
      </c>
      <c r="I14" s="3179">
        <f t="shared" si="87"/>
        <v>0.31</v>
      </c>
      <c r="J14" s="3180"/>
      <c r="K14" s="3181">
        <f t="shared" ref="K14:K16" si="100">D14/100</f>
        <v>2.5000000000000001E-3</v>
      </c>
      <c r="L14" s="3171">
        <f t="shared" ref="L14:L16" si="101">E14/100</f>
        <v>5.0000000000000001E-3</v>
      </c>
      <c r="M14" s="3171">
        <f t="shared" ref="M14:M16" si="102">F14/100</f>
        <v>3.0999999999999999E-3</v>
      </c>
      <c r="N14" s="3171">
        <f t="shared" ref="N14:N16" si="103">G14/100</f>
        <v>2.0999999999999999E-3</v>
      </c>
      <c r="O14" s="3171">
        <f t="shared" ref="O14:O16" si="104">H14/100</f>
        <v>4.3E-3</v>
      </c>
      <c r="P14" s="3171">
        <f t="shared" ref="P14:P16" si="105">M14</f>
        <v>3.0999999999999999E-3</v>
      </c>
      <c r="Q14" s="3180"/>
      <c r="R14" s="3182">
        <f>ROUND(IF(项目基本情况!$B$8="出让",SUMPRODUCT(PRODUCT(1+K14:$K$24)),SUMPRODUCT(PRODUCT(1+K14:$K$23))),4)</f>
        <v>1.0783</v>
      </c>
      <c r="S14" s="3182">
        <f>ROUND(IF(项目基本情况!$B$8="出让",SUMPRODUCT(PRODUCT(1+L14:$L$24)),SUMPRODUCT(PRODUCT(1+L14:$L$23))),4)</f>
        <v>1.0447</v>
      </c>
      <c r="T14" s="3182">
        <f>ROUND(IF(项目基本情况!$B$8="出让",SUMPRODUCT(PRODUCT(1+M14:$M$24)),SUMPRODUCT(PRODUCT(1+M14:$M$23))),4)</f>
        <v>1.0282</v>
      </c>
      <c r="U14" s="3182">
        <f>ROUND(IF(项目基本情况!$B$8="出让",SUMPRODUCT(PRODUCT(1+N14:$N$24)),SUMPRODUCT(PRODUCT(1+N14:$N$23))),4)</f>
        <v>1.0841000000000001</v>
      </c>
      <c r="V14" s="3182">
        <f>ROUND(IF(项目基本情况!$B$8="出让",SUMPRODUCT(PRODUCT(1+O14:$O$24)),SUMPRODUCT(PRODUCT(1+O14:$O$23))),4)</f>
        <v>1.0674999999999999</v>
      </c>
      <c r="W14" s="3182">
        <f t="shared" ref="W14:W15" si="106">T14</f>
        <v>1.0282</v>
      </c>
      <c r="X14" s="3180"/>
      <c r="Y14" s="3183"/>
      <c r="Z14" s="3183"/>
      <c r="AA14" s="3183"/>
      <c r="AB14" s="3183"/>
      <c r="AC14" s="3183"/>
      <c r="AD14" s="3183"/>
      <c r="AF14" s="3457">
        <f t="shared" si="30"/>
        <v>107.83</v>
      </c>
      <c r="AG14" s="3457">
        <f t="shared" si="31"/>
        <v>104.47</v>
      </c>
      <c r="AH14" s="3457">
        <f t="shared" si="32"/>
        <v>102.82</v>
      </c>
      <c r="AI14" s="3457">
        <f t="shared" si="33"/>
        <v>108.41000000000001</v>
      </c>
      <c r="AJ14" s="3457">
        <f t="shared" si="34"/>
        <v>106.74999999999999</v>
      </c>
      <c r="AK14" s="3457">
        <f t="shared" si="35"/>
        <v>102.82</v>
      </c>
      <c r="AM14" s="3457">
        <f t="shared" si="48"/>
        <v>102.40545621259179</v>
      </c>
      <c r="AN14" s="3457">
        <f t="shared" si="49"/>
        <v>101.89536813992541</v>
      </c>
      <c r="AO14" s="3457">
        <f t="shared" si="50"/>
        <v>105.69223177147275</v>
      </c>
      <c r="AP14" s="3457">
        <f t="shared" si="51"/>
        <v>101.81992785935456</v>
      </c>
      <c r="AQ14" s="3457">
        <f t="shared" si="52"/>
        <v>97.986005366626799</v>
      </c>
      <c r="AR14" s="3457">
        <f t="shared" si="53"/>
        <v>105.69223177147275</v>
      </c>
    </row>
    <row r="15" spans="1:44" s="3184" customFormat="1" ht="12.75">
      <c r="A15" s="3175" t="s">
        <v>3366</v>
      </c>
      <c r="B15" s="3176">
        <v>2023</v>
      </c>
      <c r="C15" s="3177">
        <v>2</v>
      </c>
      <c r="D15" s="3178">
        <v>0.91</v>
      </c>
      <c r="E15" s="3178">
        <v>0.66</v>
      </c>
      <c r="F15" s="3178">
        <v>0.47</v>
      </c>
      <c r="G15" s="3178">
        <v>0.96</v>
      </c>
      <c r="H15" s="3195">
        <v>0.71</v>
      </c>
      <c r="I15" s="3179">
        <f t="shared" si="87"/>
        <v>0.47</v>
      </c>
      <c r="J15" s="3180"/>
      <c r="K15" s="3181">
        <f t="shared" si="100"/>
        <v>9.1000000000000004E-3</v>
      </c>
      <c r="L15" s="3171">
        <f t="shared" si="101"/>
        <v>6.6E-3</v>
      </c>
      <c r="M15" s="3171">
        <f t="shared" si="102"/>
        <v>4.6999999999999993E-3</v>
      </c>
      <c r="N15" s="3171">
        <f t="shared" si="103"/>
        <v>9.5999999999999992E-3</v>
      </c>
      <c r="O15" s="3171">
        <f t="shared" si="104"/>
        <v>7.0999999999999995E-3</v>
      </c>
      <c r="P15" s="3171">
        <f t="shared" si="105"/>
        <v>4.6999999999999993E-3</v>
      </c>
      <c r="Q15" s="3180"/>
      <c r="R15" s="3182">
        <f>ROUND(IF(项目基本情况!$B$8="出让",SUMPRODUCT(PRODUCT(1+K15:$K$24)),SUMPRODUCT(PRODUCT(1+K15:$K$23))),4)</f>
        <v>1.0755999999999999</v>
      </c>
      <c r="S15" s="3182">
        <f>ROUND(IF(项目基本情况!$B$8="出让",SUMPRODUCT(PRODUCT(1+L15:$L$24)),SUMPRODUCT(PRODUCT(1+L15:$L$23))),4)</f>
        <v>1.0395000000000001</v>
      </c>
      <c r="T15" s="3182">
        <f>ROUND(IF(项目基本情况!$B$8="出让",SUMPRODUCT(PRODUCT(1+M15:$M$24)),SUMPRODUCT(PRODUCT(1+M15:$M$23))),4)</f>
        <v>1.0250999999999999</v>
      </c>
      <c r="U15" s="3182">
        <f>ROUND(IF(项目基本情况!$B$8="出让",SUMPRODUCT(PRODUCT(1+N15:$N$24)),SUMPRODUCT(PRODUCT(1+N15:$N$23))),4)</f>
        <v>1.0818000000000001</v>
      </c>
      <c r="V15" s="3182">
        <f>ROUND(IF(项目基本情况!$B$8="出让",SUMPRODUCT(PRODUCT(1+O15:$O$24)),SUMPRODUCT(PRODUCT(1+O15:$O$23))),4)</f>
        <v>1.0629999999999999</v>
      </c>
      <c r="W15" s="3182">
        <f t="shared" si="106"/>
        <v>1.0250999999999999</v>
      </c>
      <c r="X15" s="3180"/>
      <c r="Y15" s="3183"/>
      <c r="Z15" s="3183"/>
      <c r="AA15" s="3183"/>
      <c r="AB15" s="3183"/>
      <c r="AC15" s="3183"/>
      <c r="AD15" s="3183"/>
      <c r="AF15" s="3457">
        <f t="shared" si="30"/>
        <v>107.55999999999999</v>
      </c>
      <c r="AG15" s="3457">
        <f t="shared" si="31"/>
        <v>103.95</v>
      </c>
      <c r="AH15" s="3457">
        <f t="shared" si="32"/>
        <v>102.50999999999999</v>
      </c>
      <c r="AI15" s="3457">
        <f t="shared" si="33"/>
        <v>108.18</v>
      </c>
      <c r="AJ15" s="3457">
        <f t="shared" si="34"/>
        <v>106.3</v>
      </c>
      <c r="AK15" s="3457">
        <f t="shared" si="35"/>
        <v>102.50999999999999</v>
      </c>
      <c r="AM15" s="3457">
        <f t="shared" si="48"/>
        <v>102.15008101006663</v>
      </c>
      <c r="AN15" s="3457">
        <f t="shared" si="49"/>
        <v>101.38842600987604</v>
      </c>
      <c r="AO15" s="3457">
        <f t="shared" si="50"/>
        <v>105.36559841638196</v>
      </c>
      <c r="AP15" s="3457">
        <f t="shared" si="51"/>
        <v>101.60655409575348</v>
      </c>
      <c r="AQ15" s="3457">
        <f t="shared" si="52"/>
        <v>97.56646954757224</v>
      </c>
      <c r="AR15" s="3457">
        <f t="shared" si="53"/>
        <v>105.36559841638196</v>
      </c>
    </row>
    <row r="16" spans="1:44" s="3184" customFormat="1" ht="12.75">
      <c r="A16" s="3175" t="s">
        <v>3365</v>
      </c>
      <c r="B16" s="3176">
        <v>2023</v>
      </c>
      <c r="C16" s="3177">
        <v>1</v>
      </c>
      <c r="D16" s="3178">
        <v>0.89</v>
      </c>
      <c r="E16" s="3178">
        <v>0.74</v>
      </c>
      <c r="F16" s="3178">
        <v>0.56999999999999995</v>
      </c>
      <c r="G16" s="3178">
        <v>0.92</v>
      </c>
      <c r="H16" s="3195">
        <v>0.5</v>
      </c>
      <c r="I16" s="3179">
        <f t="shared" si="87"/>
        <v>0.56999999999999995</v>
      </c>
      <c r="J16" s="3180"/>
      <c r="K16" s="3181">
        <f t="shared" si="100"/>
        <v>8.8999999999999999E-3</v>
      </c>
      <c r="L16" s="3171">
        <f t="shared" si="101"/>
        <v>7.4000000000000003E-3</v>
      </c>
      <c r="M16" s="3171">
        <f t="shared" si="102"/>
        <v>5.6999999999999993E-3</v>
      </c>
      <c r="N16" s="3171">
        <f t="shared" si="103"/>
        <v>9.1999999999999998E-3</v>
      </c>
      <c r="O16" s="3171">
        <f t="shared" si="104"/>
        <v>5.0000000000000001E-3</v>
      </c>
      <c r="P16" s="3171">
        <f t="shared" si="105"/>
        <v>5.6999999999999993E-3</v>
      </c>
      <c r="Q16" s="3180"/>
      <c r="R16" s="3182">
        <f>ROUND(IF(项目基本情况!$B$8="出让",SUMPRODUCT(PRODUCT(1+K16:$K$24)),SUMPRODUCT(PRODUCT(1+K16:$K$23))),4)</f>
        <v>1.0659000000000001</v>
      </c>
      <c r="S16" s="3182">
        <f>ROUND(IF(项目基本情况!$B$8="出让",SUMPRODUCT(PRODUCT(1+L16:$L$24)),SUMPRODUCT(PRODUCT(1+L16:$L$23))),4)</f>
        <v>1.0326</v>
      </c>
      <c r="T16" s="3182">
        <f>ROUND(IF(项目基本情况!$B$8="出让",SUMPRODUCT(PRODUCT(1+M16:$M$24)),SUMPRODUCT(PRODUCT(1+M16:$M$23))),4)</f>
        <v>1.0203</v>
      </c>
      <c r="U16" s="3182">
        <f>ROUND(IF(项目基本情况!$B$8="出让",SUMPRODUCT(PRODUCT(1+N16:$N$24)),SUMPRODUCT(PRODUCT(1+N16:$N$23))),4)</f>
        <v>1.0714999999999999</v>
      </c>
      <c r="V16" s="3182">
        <f>ROUND(IF(项目基本情况!$B$8="出让",SUMPRODUCT(PRODUCT(1+O16:$O$24)),SUMPRODUCT(PRODUCT(1+O16:$O$23))),4)</f>
        <v>1.0555000000000001</v>
      </c>
      <c r="W16" s="3182">
        <f t="shared" ref="W16:W23" si="107">T16</f>
        <v>1.0203</v>
      </c>
      <c r="X16" s="3180"/>
      <c r="Y16" s="3183"/>
      <c r="Z16" s="3183"/>
      <c r="AA16" s="3183"/>
      <c r="AB16" s="3183"/>
      <c r="AC16" s="3183"/>
      <c r="AD16" s="3183"/>
      <c r="AF16" s="3457">
        <f t="shared" si="30"/>
        <v>106.59</v>
      </c>
      <c r="AG16" s="3457">
        <f t="shared" si="31"/>
        <v>103.25999999999999</v>
      </c>
      <c r="AH16" s="3457">
        <f t="shared" si="32"/>
        <v>102.03</v>
      </c>
      <c r="AI16" s="3457">
        <f t="shared" si="33"/>
        <v>107.14999999999999</v>
      </c>
      <c r="AJ16" s="3457">
        <f t="shared" si="34"/>
        <v>105.55000000000001</v>
      </c>
      <c r="AK16" s="3457">
        <f t="shared" si="35"/>
        <v>102.03</v>
      </c>
      <c r="AM16" s="3457">
        <f t="shared" si="48"/>
        <v>101.22889803792152</v>
      </c>
      <c r="AN16" s="3457">
        <f t="shared" si="49"/>
        <v>100.7236499204014</v>
      </c>
      <c r="AO16" s="3457">
        <f t="shared" si="50"/>
        <v>104.87269674169599</v>
      </c>
      <c r="AP16" s="3457">
        <f t="shared" si="51"/>
        <v>100.6404061962693</v>
      </c>
      <c r="AQ16" s="3457">
        <f t="shared" si="52"/>
        <v>96.878631265586563</v>
      </c>
      <c r="AR16" s="3457">
        <f t="shared" si="53"/>
        <v>104.87269674169599</v>
      </c>
    </row>
    <row r="17" spans="1:44" s="3184" customFormat="1" ht="12.75">
      <c r="A17" s="3175" t="s">
        <v>3364</v>
      </c>
      <c r="B17" s="3176">
        <v>2022</v>
      </c>
      <c r="C17" s="3177">
        <v>4</v>
      </c>
      <c r="D17" s="3178">
        <v>0.62</v>
      </c>
      <c r="E17" s="3178">
        <v>0.2</v>
      </c>
      <c r="F17" s="3178">
        <v>0.11</v>
      </c>
      <c r="G17" s="3178">
        <v>0.69</v>
      </c>
      <c r="H17" s="3195">
        <v>0.53</v>
      </c>
      <c r="I17" s="3179">
        <f t="shared" si="87"/>
        <v>0.11</v>
      </c>
      <c r="J17" s="3180"/>
      <c r="K17" s="3181">
        <f t="shared" si="88"/>
        <v>6.1999999999999998E-3</v>
      </c>
      <c r="L17" s="3171">
        <f t="shared" si="88"/>
        <v>2E-3</v>
      </c>
      <c r="M17" s="3171">
        <f t="shared" si="88"/>
        <v>1.1000000000000001E-3</v>
      </c>
      <c r="N17" s="3171">
        <f t="shared" si="88"/>
        <v>6.8999999999999999E-3</v>
      </c>
      <c r="O17" s="3171">
        <f t="shared" si="88"/>
        <v>5.3E-3</v>
      </c>
      <c r="P17" s="3171">
        <f t="shared" ref="P17:P24" si="108">M17</f>
        <v>1.1000000000000001E-3</v>
      </c>
      <c r="Q17" s="3180"/>
      <c r="R17" s="3182">
        <f>ROUND(IF(项目基本情况!$B$8="出让",SUMPRODUCT(PRODUCT(1+K17:$K$24)),SUMPRODUCT(PRODUCT(1+K17:$K$23))),4)</f>
        <v>1.0565</v>
      </c>
      <c r="S17" s="3182">
        <f>ROUND(IF(项目基本情况!$B$8="出让",SUMPRODUCT(PRODUCT(1+L17:$L$24)),SUMPRODUCT(PRODUCT(1+L17:$L$23))),4)</f>
        <v>1.0250999999999999</v>
      </c>
      <c r="T17" s="3182">
        <f>ROUND(IF(项目基本情况!$B$8="出让",SUMPRODUCT(PRODUCT(1+M17:$M$24)),SUMPRODUCT(PRODUCT(1+M17:$M$23))),4)</f>
        <v>1.0145</v>
      </c>
      <c r="U17" s="3182">
        <f>ROUND(IF(项目基本情况!$B$8="出让",SUMPRODUCT(PRODUCT(1+N17:$N$24)),SUMPRODUCT(PRODUCT(1+N17:$N$23))),4)</f>
        <v>1.0618000000000001</v>
      </c>
      <c r="V17" s="3182">
        <f>ROUND(IF(项目基本情况!$B$8="出让",SUMPRODUCT(PRODUCT(1+O17:$O$24)),SUMPRODUCT(PRODUCT(1+O17:$O$23))),4)</f>
        <v>1.0502</v>
      </c>
      <c r="W17" s="3182">
        <f t="shared" si="107"/>
        <v>1.0145</v>
      </c>
      <c r="X17" s="3180"/>
      <c r="Y17" s="3183">
        <f>IF(D17=0,0,ROUND(AVERAGE(D17:D25)/100,4))</f>
        <v>8.0999999999999996E-3</v>
      </c>
      <c r="Z17" s="3183">
        <f t="shared" ref="Z17:AC17" si="109">IF(E17=0,0,ROUND(AVERAGE(E17:E24)/100,4))</f>
        <v>3.3E-3</v>
      </c>
      <c r="AA17" s="3183">
        <f t="shared" si="109"/>
        <v>1.5E-3</v>
      </c>
      <c r="AB17" s="3183">
        <f t="shared" si="109"/>
        <v>8.8999999999999999E-3</v>
      </c>
      <c r="AC17" s="3183">
        <f t="shared" si="109"/>
        <v>6.6E-3</v>
      </c>
      <c r="AD17" s="3183">
        <f t="shared" si="90"/>
        <v>1.5E-3</v>
      </c>
      <c r="AF17" s="3457">
        <f t="shared" si="30"/>
        <v>105.65</v>
      </c>
      <c r="AG17" s="3457">
        <f t="shared" si="31"/>
        <v>102.50999999999999</v>
      </c>
      <c r="AH17" s="3457">
        <f t="shared" si="32"/>
        <v>101.44999999999999</v>
      </c>
      <c r="AI17" s="3457">
        <f t="shared" si="33"/>
        <v>106.18</v>
      </c>
      <c r="AJ17" s="3457">
        <f t="shared" si="34"/>
        <v>105.02</v>
      </c>
      <c r="AK17" s="3457">
        <f t="shared" si="35"/>
        <v>101.44999999999999</v>
      </c>
      <c r="AM17" s="3457">
        <f t="shared" si="48"/>
        <v>100.33590845269256</v>
      </c>
      <c r="AN17" s="3457">
        <f t="shared" si="49"/>
        <v>99.98377002223684</v>
      </c>
      <c r="AO17" s="3457">
        <f t="shared" si="50"/>
        <v>104.27831037257232</v>
      </c>
      <c r="AP17" s="3457">
        <f t="shared" si="51"/>
        <v>99.722955010175667</v>
      </c>
      <c r="AQ17" s="3457">
        <f t="shared" si="52"/>
        <v>96.396648025459271</v>
      </c>
      <c r="AR17" s="3457">
        <f t="shared" si="53"/>
        <v>104.27831037257232</v>
      </c>
    </row>
    <row r="18" spans="1:44" s="3184" customFormat="1" ht="12.75">
      <c r="A18" s="3175" t="s">
        <v>3362</v>
      </c>
      <c r="B18" s="3176">
        <v>2022</v>
      </c>
      <c r="C18" s="3177">
        <v>3</v>
      </c>
      <c r="D18" s="3178">
        <v>0.66</v>
      </c>
      <c r="E18" s="3178">
        <v>0.32</v>
      </c>
      <c r="F18" s="3178">
        <v>0.23</v>
      </c>
      <c r="G18" s="3178">
        <v>0.72</v>
      </c>
      <c r="H18" s="3195">
        <v>0.63</v>
      </c>
      <c r="I18" s="3179">
        <f t="shared" si="87"/>
        <v>0.23</v>
      </c>
      <c r="J18" s="3180"/>
      <c r="K18" s="3181">
        <f t="shared" si="88"/>
        <v>6.6E-3</v>
      </c>
      <c r="L18" s="3171">
        <f t="shared" si="88"/>
        <v>3.2000000000000002E-3</v>
      </c>
      <c r="M18" s="3171">
        <f t="shared" si="88"/>
        <v>2.3E-3</v>
      </c>
      <c r="N18" s="3171">
        <f t="shared" si="88"/>
        <v>7.1999999999999998E-3</v>
      </c>
      <c r="O18" s="3171">
        <f t="shared" si="88"/>
        <v>6.3E-3</v>
      </c>
      <c r="P18" s="3171">
        <f t="shared" si="108"/>
        <v>2.3E-3</v>
      </c>
      <c r="Q18" s="3180"/>
      <c r="R18" s="3182">
        <f>ROUND(IF(项目基本情况!$B$8="出让",SUMPRODUCT(PRODUCT(1+K18:$K$24)),SUMPRODUCT(PRODUCT(1+K18:$K$23))),4)</f>
        <v>1.05</v>
      </c>
      <c r="S18" s="3182">
        <f>ROUND(IF(项目基本情况!$B$8="出让",SUMPRODUCT(PRODUCT(1+L18:$L$24)),SUMPRODUCT(PRODUCT(1+L18:$L$23))),4)</f>
        <v>1.0229999999999999</v>
      </c>
      <c r="T18" s="3182">
        <f>ROUND(IF(项目基本情况!$B$8="出让",SUMPRODUCT(PRODUCT(1+M18:$M$24)),SUMPRODUCT(PRODUCT(1+M18:$M$23))),4)</f>
        <v>1.0134000000000001</v>
      </c>
      <c r="U18" s="3182">
        <f>ROUND(IF(项目基本情况!$B$8="出让",SUMPRODUCT(PRODUCT(1+N18:$N$24)),SUMPRODUCT(PRODUCT(1+N18:$N$23))),4)</f>
        <v>1.0545</v>
      </c>
      <c r="V18" s="3182">
        <f>ROUND(IF(项目基本情况!$B$8="出让",SUMPRODUCT(PRODUCT(1+O18:$O$24)),SUMPRODUCT(PRODUCT(1+O18:$O$23))),4)</f>
        <v>1.0447</v>
      </c>
      <c r="W18" s="3182">
        <f t="shared" si="107"/>
        <v>1.0134000000000001</v>
      </c>
      <c r="X18" s="3180"/>
      <c r="Y18" s="3183">
        <f>IF(D18=0,0,ROUND(AVERAGE(D18:D24)/100,4))</f>
        <v>8.3999999999999995E-3</v>
      </c>
      <c r="Z18" s="3183">
        <f t="shared" ref="Z18:AC18" si="110">IF(E18=0,0,ROUND(AVERAGE(E18:E24)/100,4))</f>
        <v>3.5000000000000001E-3</v>
      </c>
      <c r="AA18" s="3183">
        <f t="shared" si="110"/>
        <v>1.5E-3</v>
      </c>
      <c r="AB18" s="3183">
        <f t="shared" si="110"/>
        <v>9.1999999999999998E-3</v>
      </c>
      <c r="AC18" s="3183">
        <f t="shared" si="110"/>
        <v>6.7999999999999996E-3</v>
      </c>
      <c r="AD18" s="3183">
        <f t="shared" si="90"/>
        <v>1.5E-3</v>
      </c>
      <c r="AF18" s="3457">
        <f t="shared" si="30"/>
        <v>105</v>
      </c>
      <c r="AG18" s="3457">
        <f t="shared" si="31"/>
        <v>102.3</v>
      </c>
      <c r="AH18" s="3457">
        <f t="shared" si="32"/>
        <v>101.34</v>
      </c>
      <c r="AI18" s="3457">
        <f t="shared" si="33"/>
        <v>105.45</v>
      </c>
      <c r="AJ18" s="3457">
        <f t="shared" si="34"/>
        <v>104.47</v>
      </c>
      <c r="AK18" s="3457">
        <f t="shared" si="35"/>
        <v>101.34</v>
      </c>
      <c r="AM18" s="3457">
        <f t="shared" si="48"/>
        <v>99.717658967096568</v>
      </c>
      <c r="AN18" s="3457">
        <f t="shared" si="49"/>
        <v>99.784201618998836</v>
      </c>
      <c r="AO18" s="3457">
        <f t="shared" si="50"/>
        <v>104.1637302692761</v>
      </c>
      <c r="AP18" s="3457">
        <f t="shared" si="51"/>
        <v>99.039581895099488</v>
      </c>
      <c r="AQ18" s="3457">
        <f t="shared" si="52"/>
        <v>95.888439297184192</v>
      </c>
      <c r="AR18" s="3457">
        <f t="shared" si="53"/>
        <v>104.1637302692761</v>
      </c>
    </row>
    <row r="19" spans="1:44" s="3184" customFormat="1" ht="12.75">
      <c r="A19" s="3175" t="s">
        <v>3353</v>
      </c>
      <c r="B19" s="3176">
        <v>2022</v>
      </c>
      <c r="C19" s="3177">
        <v>2</v>
      </c>
      <c r="D19" s="3178">
        <v>0.93</v>
      </c>
      <c r="E19" s="3178">
        <v>0.15</v>
      </c>
      <c r="F19" s="3178">
        <v>0.01</v>
      </c>
      <c r="G19" s="3178">
        <v>1.05</v>
      </c>
      <c r="H19" s="3195">
        <v>1.08</v>
      </c>
      <c r="I19" s="3179">
        <f t="shared" si="87"/>
        <v>0.01</v>
      </c>
      <c r="J19" s="3180"/>
      <c r="K19" s="3181">
        <f t="shared" si="88"/>
        <v>9.300000000000001E-3</v>
      </c>
      <c r="L19" s="3171">
        <f t="shared" si="88"/>
        <v>1.5E-3</v>
      </c>
      <c r="M19" s="3171">
        <f t="shared" si="88"/>
        <v>1E-4</v>
      </c>
      <c r="N19" s="3171">
        <f t="shared" si="88"/>
        <v>1.0500000000000001E-2</v>
      </c>
      <c r="O19" s="3171">
        <f t="shared" si="88"/>
        <v>1.0800000000000001E-2</v>
      </c>
      <c r="P19" s="3171">
        <f t="shared" si="108"/>
        <v>1E-4</v>
      </c>
      <c r="Q19" s="3180"/>
      <c r="R19" s="3182">
        <f>ROUND(IF(项目基本情况!$B$8="出让",SUMPRODUCT(PRODUCT(1+K19:$K$24)),SUMPRODUCT(PRODUCT(1+K19:$K$23))),4)</f>
        <v>1.0430999999999999</v>
      </c>
      <c r="S19" s="3182">
        <f>ROUND(IF(项目基本情况!$B$8="出让",SUMPRODUCT(PRODUCT(1+L19:$L$24)),SUMPRODUCT(PRODUCT(1+L19:$L$23))),4)</f>
        <v>1.0197000000000001</v>
      </c>
      <c r="T19" s="3182">
        <f>ROUND(IF(项目基本情况!$B$8="出让",SUMPRODUCT(PRODUCT(1+M19:$M$24)),SUMPRODUCT(PRODUCT(1+M19:$M$23))),4)</f>
        <v>1.0109999999999999</v>
      </c>
      <c r="U19" s="3182">
        <f>ROUND(IF(项目基本情况!$B$8="出让",SUMPRODUCT(PRODUCT(1+N19:$N$24)),SUMPRODUCT(PRODUCT(1+N19:$N$23))),4)</f>
        <v>1.0468999999999999</v>
      </c>
      <c r="V19" s="3182">
        <f>ROUND(IF(项目基本情况!$B$8="出让",SUMPRODUCT(PRODUCT(1+O19:$O$24)),SUMPRODUCT(PRODUCT(1+O19:$O$23))),4)</f>
        <v>1.0382</v>
      </c>
      <c r="W19" s="3182">
        <f t="shared" si="107"/>
        <v>1.0109999999999999</v>
      </c>
      <c r="X19" s="3180"/>
      <c r="Y19" s="3183">
        <f>IF(D19=0,0,ROUND(AVERAGE(D19:D24)/100,4))</f>
        <v>8.6999999999999994E-3</v>
      </c>
      <c r="Z19" s="3183">
        <f t="shared" ref="Z19:AC19" si="111">IF(E19=0,0,ROUND(AVERAGE(E19:E24)/100,4))</f>
        <v>3.5000000000000001E-3</v>
      </c>
      <c r="AA19" s="3183">
        <f t="shared" si="111"/>
        <v>1.4E-3</v>
      </c>
      <c r="AB19" s="3183">
        <f t="shared" si="111"/>
        <v>9.4999999999999998E-3</v>
      </c>
      <c r="AC19" s="3183">
        <f t="shared" si="111"/>
        <v>6.8999999999999999E-3</v>
      </c>
      <c r="AD19" s="3183">
        <f t="shared" si="90"/>
        <v>1.4E-3</v>
      </c>
      <c r="AF19" s="3457">
        <f t="shared" si="30"/>
        <v>104.30999999999999</v>
      </c>
      <c r="AG19" s="3457">
        <f t="shared" si="31"/>
        <v>101.97</v>
      </c>
      <c r="AH19" s="3457">
        <f t="shared" si="32"/>
        <v>101.1</v>
      </c>
      <c r="AI19" s="3457">
        <f t="shared" si="33"/>
        <v>104.69</v>
      </c>
      <c r="AJ19" s="3457">
        <f t="shared" si="34"/>
        <v>103.82000000000001</v>
      </c>
      <c r="AK19" s="3457">
        <f t="shared" si="35"/>
        <v>101.1</v>
      </c>
      <c r="AM19" s="3457">
        <f t="shared" si="48"/>
        <v>99.063837638681278</v>
      </c>
      <c r="AN19" s="3457">
        <f t="shared" si="49"/>
        <v>99.465910704743649</v>
      </c>
      <c r="AO19" s="3457">
        <f t="shared" si="50"/>
        <v>103.92470345133803</v>
      </c>
      <c r="AP19" s="3457">
        <f t="shared" si="51"/>
        <v>98.331594415309254</v>
      </c>
      <c r="AQ19" s="3457">
        <f t="shared" si="52"/>
        <v>95.288124115258071</v>
      </c>
      <c r="AR19" s="3457">
        <f t="shared" si="53"/>
        <v>103.92470345133803</v>
      </c>
    </row>
    <row r="20" spans="1:44" s="3184" customFormat="1" ht="12.75">
      <c r="A20" s="3175" t="s">
        <v>2820</v>
      </c>
      <c r="B20" s="3176">
        <v>2022</v>
      </c>
      <c r="C20" s="3177">
        <v>1</v>
      </c>
      <c r="D20" s="3178">
        <v>0.89</v>
      </c>
      <c r="E20" s="3178">
        <v>0.44</v>
      </c>
      <c r="F20" s="3178">
        <v>0.37</v>
      </c>
      <c r="G20" s="3178">
        <v>0.96</v>
      </c>
      <c r="H20" s="3195">
        <v>0.64</v>
      </c>
      <c r="I20" s="3179">
        <f t="shared" si="87"/>
        <v>0.37</v>
      </c>
      <c r="J20" s="3180"/>
      <c r="K20" s="3181">
        <f t="shared" si="88"/>
        <v>8.8999999999999999E-3</v>
      </c>
      <c r="L20" s="3171">
        <f t="shared" si="88"/>
        <v>4.4000000000000003E-3</v>
      </c>
      <c r="M20" s="3171">
        <f t="shared" si="88"/>
        <v>3.7000000000000002E-3</v>
      </c>
      <c r="N20" s="3171">
        <f t="shared" si="88"/>
        <v>9.5999999999999992E-3</v>
      </c>
      <c r="O20" s="3171">
        <f t="shared" si="88"/>
        <v>6.4000000000000003E-3</v>
      </c>
      <c r="P20" s="3171">
        <f t="shared" si="108"/>
        <v>3.7000000000000002E-3</v>
      </c>
      <c r="Q20" s="3180"/>
      <c r="R20" s="3182">
        <f>ROUND(IF(项目基本情况!$B$8="出让",SUMPRODUCT(PRODUCT(1+K20:$K$24)),SUMPRODUCT(PRODUCT(1+K20:$K$23))),4)</f>
        <v>1.0335000000000001</v>
      </c>
      <c r="S20" s="3182">
        <f>ROUND(IF(项目基本情况!$B$8="出让",SUMPRODUCT(PRODUCT(1+L20:$L$24)),SUMPRODUCT(PRODUCT(1+L20:$L$23))),4)</f>
        <v>1.0182</v>
      </c>
      <c r="T20" s="3182">
        <f>ROUND(IF(项目基本情况!$B$8="出让",SUMPRODUCT(PRODUCT(1+M20:$M$24)),SUMPRODUCT(PRODUCT(1+M20:$M$23))),4)</f>
        <v>1.0108999999999999</v>
      </c>
      <c r="U20" s="3182">
        <f>ROUND(IF(项目基本情况!$B$8="出让",SUMPRODUCT(PRODUCT(1+N20:$N$24)),SUMPRODUCT(PRODUCT(1+N20:$N$23))),4)</f>
        <v>1.0361</v>
      </c>
      <c r="V20" s="3182">
        <f>ROUND(IF(项目基本情况!$B$8="出让",SUMPRODUCT(PRODUCT(1+O20:$O$24)),SUMPRODUCT(PRODUCT(1+O20:$O$23))),4)</f>
        <v>1.0270999999999999</v>
      </c>
      <c r="W20" s="3182">
        <f t="shared" si="107"/>
        <v>1.0108999999999999</v>
      </c>
      <c r="X20" s="3180"/>
      <c r="Y20" s="3183">
        <f>IF(D20=0,0,ROUND(AVERAGE(D20:D24)/100,4))</f>
        <v>8.6E-3</v>
      </c>
      <c r="Z20" s="3183">
        <f t="shared" ref="Z20:AC20" si="112">IF(E20=0,0,ROUND(AVERAGE(E20:E24)/100,4))</f>
        <v>3.8999999999999998E-3</v>
      </c>
      <c r="AA20" s="3183">
        <f t="shared" si="112"/>
        <v>1.6999999999999999E-3</v>
      </c>
      <c r="AB20" s="3183">
        <f t="shared" si="112"/>
        <v>9.2999999999999992E-3</v>
      </c>
      <c r="AC20" s="3183">
        <f t="shared" si="112"/>
        <v>6.1000000000000004E-3</v>
      </c>
      <c r="AD20" s="3183">
        <f t="shared" si="90"/>
        <v>1.6999999999999999E-3</v>
      </c>
      <c r="AF20" s="3457">
        <f t="shared" si="30"/>
        <v>103.35000000000001</v>
      </c>
      <c r="AG20" s="3457">
        <f t="shared" si="31"/>
        <v>101.82</v>
      </c>
      <c r="AH20" s="3457">
        <f t="shared" si="32"/>
        <v>101.08999999999999</v>
      </c>
      <c r="AI20" s="3457">
        <f t="shared" si="33"/>
        <v>103.61</v>
      </c>
      <c r="AJ20" s="3457">
        <f t="shared" si="34"/>
        <v>102.71</v>
      </c>
      <c r="AK20" s="3457">
        <f t="shared" si="35"/>
        <v>101.08999999999999</v>
      </c>
      <c r="AM20" s="3457">
        <f t="shared" si="48"/>
        <v>98.151033031488424</v>
      </c>
      <c r="AN20" s="3457">
        <f t="shared" si="49"/>
        <v>99.316935301790963</v>
      </c>
      <c r="AO20" s="3457">
        <f t="shared" si="50"/>
        <v>103.91431202013602</v>
      </c>
      <c r="AP20" s="3457">
        <f t="shared" si="51"/>
        <v>97.309841083928021</v>
      </c>
      <c r="AQ20" s="3457">
        <f t="shared" si="52"/>
        <v>94.270008028549739</v>
      </c>
      <c r="AR20" s="3457">
        <f t="shared" si="53"/>
        <v>103.91431202013602</v>
      </c>
    </row>
    <row r="21" spans="1:44" s="3184" customFormat="1" ht="12.75">
      <c r="A21" s="3175" t="s">
        <v>2821</v>
      </c>
      <c r="B21" s="3176">
        <v>2021</v>
      </c>
      <c r="C21" s="3177">
        <v>4</v>
      </c>
      <c r="D21" s="3178">
        <v>1.03</v>
      </c>
      <c r="E21" s="3178">
        <v>0.24</v>
      </c>
      <c r="F21" s="3178">
        <v>7.0000000000000007E-2</v>
      </c>
      <c r="G21" s="3178">
        <v>1.17</v>
      </c>
      <c r="H21" s="3195">
        <v>0.55000000000000004</v>
      </c>
      <c r="I21" s="3179">
        <f t="shared" si="87"/>
        <v>7.0000000000000007E-2</v>
      </c>
      <c r="J21" s="3180"/>
      <c r="K21" s="3181">
        <f t="shared" si="88"/>
        <v>1.03E-2</v>
      </c>
      <c r="L21" s="3171">
        <f t="shared" si="88"/>
        <v>2.3999999999999998E-3</v>
      </c>
      <c r="M21" s="3171">
        <f t="shared" si="88"/>
        <v>7.000000000000001E-4</v>
      </c>
      <c r="N21" s="3171">
        <f t="shared" si="88"/>
        <v>1.1699999999999999E-2</v>
      </c>
      <c r="O21" s="3171">
        <f t="shared" si="88"/>
        <v>5.5000000000000005E-3</v>
      </c>
      <c r="P21" s="3171">
        <f t="shared" si="108"/>
        <v>7.000000000000001E-4</v>
      </c>
      <c r="Q21" s="3180"/>
      <c r="R21" s="3182">
        <f>ROUND(IF(项目基本情况!$B$8="出让",SUMPRODUCT(PRODUCT(1+K21:$K$24)),SUMPRODUCT(PRODUCT(1+K21:$K$23))),4)</f>
        <v>1.0244</v>
      </c>
      <c r="S21" s="3182">
        <f>ROUND(IF(项目基本情况!$B$8="出让",SUMPRODUCT(PRODUCT(1+L21:$L$24)),SUMPRODUCT(PRODUCT(1+L21:$L$23))),4)</f>
        <v>1.0138</v>
      </c>
      <c r="T21" s="3182">
        <f>ROUND(IF(项目基本情况!$B$8="出让",SUMPRODUCT(PRODUCT(1+M21:$M$24)),SUMPRODUCT(PRODUCT(1+M21:$M$23))),4)</f>
        <v>1.0072000000000001</v>
      </c>
      <c r="U21" s="3182">
        <f>ROUND(IF(项目基本情况!$B$8="出让",SUMPRODUCT(PRODUCT(1+N21:$N$24)),SUMPRODUCT(PRODUCT(1+N21:$N$23))),4)</f>
        <v>1.0262</v>
      </c>
      <c r="V21" s="3182">
        <f>ROUND(IF(项目基本情况!$B$8="出让",SUMPRODUCT(PRODUCT(1+O21:$O$24)),SUMPRODUCT(PRODUCT(1+O21:$O$23))),4)</f>
        <v>1.0205</v>
      </c>
      <c r="W21" s="3182">
        <f t="shared" si="107"/>
        <v>1.0072000000000001</v>
      </c>
      <c r="X21" s="3180"/>
      <c r="Y21" s="3183">
        <f>IF(D21=0,0,ROUND(AVERAGE(D21:D24)/100,4))</f>
        <v>8.5000000000000006E-3</v>
      </c>
      <c r="Z21" s="3183">
        <f t="shared" ref="Z21:AC21" si="113">IF(E21=0,0,ROUND(AVERAGE(E21:E24)/100,4))</f>
        <v>3.8E-3</v>
      </c>
      <c r="AA21" s="3183">
        <f t="shared" si="113"/>
        <v>1.1999999999999999E-3</v>
      </c>
      <c r="AB21" s="3183">
        <f t="shared" si="113"/>
        <v>9.2999999999999992E-3</v>
      </c>
      <c r="AC21" s="3183">
        <f t="shared" si="113"/>
        <v>6.0000000000000001E-3</v>
      </c>
      <c r="AD21" s="3183">
        <f t="shared" si="90"/>
        <v>1.1999999999999999E-3</v>
      </c>
      <c r="AF21" s="3457">
        <f t="shared" si="30"/>
        <v>102.44</v>
      </c>
      <c r="AG21" s="3457">
        <f t="shared" si="31"/>
        <v>101.38000000000001</v>
      </c>
      <c r="AH21" s="3457">
        <f t="shared" si="32"/>
        <v>100.72000000000001</v>
      </c>
      <c r="AI21" s="3457">
        <f t="shared" si="33"/>
        <v>102.62</v>
      </c>
      <c r="AJ21" s="3457">
        <f t="shared" si="34"/>
        <v>102.05</v>
      </c>
      <c r="AK21" s="3457">
        <f t="shared" si="35"/>
        <v>100.72000000000001</v>
      </c>
      <c r="AM21" s="3457">
        <f t="shared" si="48"/>
        <v>97.285194797788122</v>
      </c>
      <c r="AN21" s="3457">
        <f t="shared" si="49"/>
        <v>98.881855139178583</v>
      </c>
      <c r="AO21" s="3457">
        <f t="shared" si="50"/>
        <v>103.53124640842485</v>
      </c>
      <c r="AP21" s="3457">
        <f t="shared" si="51"/>
        <v>96.384549409595891</v>
      </c>
      <c r="AQ21" s="3457">
        <f t="shared" si="52"/>
        <v>93.670516721531939</v>
      </c>
      <c r="AR21" s="3457">
        <f t="shared" si="53"/>
        <v>103.53124640842485</v>
      </c>
    </row>
    <row r="22" spans="1:44" s="3184" customFormat="1" ht="12.75">
      <c r="A22" s="3175" t="s">
        <v>2822</v>
      </c>
      <c r="B22" s="3176">
        <v>2021</v>
      </c>
      <c r="C22" s="3177">
        <v>3</v>
      </c>
      <c r="D22" s="3178">
        <v>0.47</v>
      </c>
      <c r="E22" s="3178">
        <v>0.41</v>
      </c>
      <c r="F22" s="3178">
        <v>0.24</v>
      </c>
      <c r="G22" s="3178">
        <v>0.48</v>
      </c>
      <c r="H22" s="3195">
        <v>0.48</v>
      </c>
      <c r="I22" s="3179">
        <f t="shared" si="87"/>
        <v>0.24</v>
      </c>
      <c r="J22" s="3180"/>
      <c r="K22" s="3181">
        <f t="shared" si="88"/>
        <v>4.6999999999999993E-3</v>
      </c>
      <c r="L22" s="3171">
        <f t="shared" si="88"/>
        <v>4.0999999999999995E-3</v>
      </c>
      <c r="M22" s="3171">
        <f t="shared" si="88"/>
        <v>2.3999999999999998E-3</v>
      </c>
      <c r="N22" s="3171">
        <f t="shared" si="88"/>
        <v>4.7999999999999996E-3</v>
      </c>
      <c r="O22" s="3171">
        <f t="shared" si="88"/>
        <v>4.7999999999999996E-3</v>
      </c>
      <c r="P22" s="3171">
        <f t="shared" si="108"/>
        <v>2.3999999999999998E-3</v>
      </c>
      <c r="Q22" s="3180"/>
      <c r="R22" s="3182">
        <f>ROUND(IF(项目基本情况!$B$8="出让",SUMPRODUCT(PRODUCT(1+K22:$K$24)),SUMPRODUCT(PRODUCT(1+K22:$K$23))),4)</f>
        <v>1.0139</v>
      </c>
      <c r="S22" s="3182">
        <f>ROUND(IF(项目基本情况!$B$8="出让",SUMPRODUCT(PRODUCT(1+L22:$L$24)),SUMPRODUCT(PRODUCT(1+L22:$L$23))),4)</f>
        <v>1.0113000000000001</v>
      </c>
      <c r="T22" s="3182">
        <f>ROUND(IF(项目基本情况!$B$8="出让",SUMPRODUCT(PRODUCT(1+M22:$M$24)),SUMPRODUCT(PRODUCT(1+M22:$M$23))),4)</f>
        <v>1.0065</v>
      </c>
      <c r="U22" s="3182">
        <f>ROUND(IF(项目基本情况!$B$8="出让",SUMPRODUCT(PRODUCT(1+N22:$N$24)),SUMPRODUCT(PRODUCT(1+N22:$N$23))),4)</f>
        <v>1.0143</v>
      </c>
      <c r="V22" s="3182">
        <f>ROUND(IF(项目基本情况!$B$8="出让",SUMPRODUCT(PRODUCT(1+O22:$O$24)),SUMPRODUCT(PRODUCT(1+O22:$O$23))),4)</f>
        <v>1.0148999999999999</v>
      </c>
      <c r="W22" s="3182">
        <f t="shared" si="107"/>
        <v>1.0065</v>
      </c>
      <c r="X22" s="3180"/>
      <c r="Y22" s="3183">
        <f>IF(D22=0,0,ROUND(AVERAGE(D22:D24)/100,4))</f>
        <v>7.9000000000000008E-3</v>
      </c>
      <c r="Z22" s="3183">
        <f>IF(E22=0,0,ROUND(AVERAGE(E22:E24)/100,4))</f>
        <v>4.3E-3</v>
      </c>
      <c r="AA22" s="3183">
        <f>IF(F22=0,0,ROUND(AVERAGE(F22:F24)/100,4))</f>
        <v>1.2999999999999999E-3</v>
      </c>
      <c r="AB22" s="3183">
        <f>IF(G22=0,0,ROUND(AVERAGE(G22:G24)/100,4))</f>
        <v>8.5000000000000006E-3</v>
      </c>
      <c r="AC22" s="3183">
        <f>IF(H22=0,0,ROUND(AVERAGE(H22:H24)/100,4))</f>
        <v>6.1999999999999998E-3</v>
      </c>
      <c r="AD22" s="3183">
        <f t="shared" si="90"/>
        <v>1.2999999999999999E-3</v>
      </c>
      <c r="AF22" s="3457">
        <f t="shared" si="30"/>
        <v>101.39</v>
      </c>
      <c r="AG22" s="3457">
        <f t="shared" si="31"/>
        <v>101.13000000000001</v>
      </c>
      <c r="AH22" s="3457">
        <f t="shared" si="32"/>
        <v>100.64999999999999</v>
      </c>
      <c r="AI22" s="3457">
        <f t="shared" si="33"/>
        <v>101.42999999999999</v>
      </c>
      <c r="AJ22" s="3457">
        <f t="shared" si="34"/>
        <v>101.49</v>
      </c>
      <c r="AK22" s="3457">
        <f t="shared" si="35"/>
        <v>100.64999999999999</v>
      </c>
      <c r="AM22" s="3457">
        <f t="shared" si="48"/>
        <v>96.293373055318341</v>
      </c>
      <c r="AN22" s="3457">
        <f t="shared" si="49"/>
        <v>98.645106882660201</v>
      </c>
      <c r="AO22" s="3457">
        <f t="shared" si="50"/>
        <v>103.45882523076332</v>
      </c>
      <c r="AP22" s="3457">
        <f t="shared" si="51"/>
        <v>95.269891676975277</v>
      </c>
      <c r="AQ22" s="3457">
        <f t="shared" si="52"/>
        <v>93.158146913507636</v>
      </c>
      <c r="AR22" s="3457">
        <f t="shared" si="53"/>
        <v>103.45882523076332</v>
      </c>
    </row>
    <row r="23" spans="1:44" s="3184" customFormat="1" ht="12.75">
      <c r="A23" s="3175" t="s">
        <v>2823</v>
      </c>
      <c r="B23" s="3176">
        <v>2021</v>
      </c>
      <c r="C23" s="3177">
        <v>2</v>
      </c>
      <c r="D23" s="3178">
        <v>0.92</v>
      </c>
      <c r="E23" s="3178">
        <v>0.72</v>
      </c>
      <c r="F23" s="3178">
        <v>0.41</v>
      </c>
      <c r="G23" s="3178">
        <v>0.95</v>
      </c>
      <c r="H23" s="3195">
        <v>1.01</v>
      </c>
      <c r="I23" s="3179">
        <f t="shared" si="87"/>
        <v>0.41</v>
      </c>
      <c r="J23" s="3180"/>
      <c r="K23" s="3181">
        <f t="shared" si="88"/>
        <v>9.1999999999999998E-3</v>
      </c>
      <c r="L23" s="3171">
        <f t="shared" si="88"/>
        <v>7.1999999999999998E-3</v>
      </c>
      <c r="M23" s="3171">
        <f t="shared" si="88"/>
        <v>4.0999999999999995E-3</v>
      </c>
      <c r="N23" s="3171">
        <f t="shared" si="88"/>
        <v>9.4999999999999998E-3</v>
      </c>
      <c r="O23" s="3171">
        <f t="shared" si="88"/>
        <v>1.01E-2</v>
      </c>
      <c r="P23" s="3171">
        <f t="shared" si="108"/>
        <v>4.0999999999999995E-3</v>
      </c>
      <c r="Q23" s="3180"/>
      <c r="R23" s="3182">
        <f>ROUND(IF(项目基本情况!$B$8="出让",SUMPRODUCT(PRODUCT(1+K23:$K$24)),SUMPRODUCT(PRODUCT(1+K23:$K$23))),4)</f>
        <v>1.0092000000000001</v>
      </c>
      <c r="S23" s="3182">
        <f>ROUND(IF(项目基本情况!$B$8="出让",SUMPRODUCT(PRODUCT(1+L23:$L$24)),SUMPRODUCT(PRODUCT(1+L23:$L$23))),4)</f>
        <v>1.0072000000000001</v>
      </c>
      <c r="T23" s="3182">
        <f>ROUND(IF(项目基本情况!$B$8="出让",SUMPRODUCT(PRODUCT(1+M23:$M$24)),SUMPRODUCT(PRODUCT(1+M23:$M$23))),4)</f>
        <v>1.0041</v>
      </c>
      <c r="U23" s="3182">
        <f>ROUND(IF(项目基本情况!$B$8="出让",SUMPRODUCT(PRODUCT(1+N23:$N$24)),SUMPRODUCT(PRODUCT(1+N23:$N$23))),4)</f>
        <v>1.0095000000000001</v>
      </c>
      <c r="V23" s="3182">
        <f>ROUND(IF(项目基本情况!$B$8="出让",SUMPRODUCT(PRODUCT(1+O23:$O$24)),SUMPRODUCT(PRODUCT(1+O23:$O$23))),4)</f>
        <v>1.0101</v>
      </c>
      <c r="W23" s="3182">
        <f t="shared" si="107"/>
        <v>1.0041</v>
      </c>
      <c r="X23" s="3180"/>
      <c r="Y23" s="3183">
        <f>IF(D23=0,0,ROUND(AVERAGE(D23:D24)/100,4))</f>
        <v>9.4999999999999998E-3</v>
      </c>
      <c r="Z23" s="3183">
        <f>IF(E23=0,0,ROUND(AVERAGE(E23:E24)/100,4))</f>
        <v>4.4000000000000003E-3</v>
      </c>
      <c r="AA23" s="3183">
        <f>IF(F23=0,0,ROUND(AVERAGE(F23:F24)/100,4))</f>
        <v>8.0000000000000004E-4</v>
      </c>
      <c r="AB23" s="3183">
        <f>IF(G23=0,0,ROUND(AVERAGE(G23:G24)/100,4))</f>
        <v>1.03E-2</v>
      </c>
      <c r="AC23" s="3183">
        <f>IF(H23=0,0,ROUND(AVERAGE(H23:H24)/100,4))</f>
        <v>6.8999999999999999E-3</v>
      </c>
      <c r="AD23" s="3183">
        <f t="shared" si="90"/>
        <v>8.0000000000000004E-4</v>
      </c>
      <c r="AF23" s="3457">
        <f t="shared" si="30"/>
        <v>100.92000000000002</v>
      </c>
      <c r="AG23" s="3457">
        <f t="shared" si="31"/>
        <v>100.72000000000001</v>
      </c>
      <c r="AH23" s="3457">
        <f t="shared" si="32"/>
        <v>100.41</v>
      </c>
      <c r="AI23" s="3457">
        <f t="shared" si="33"/>
        <v>100.95</v>
      </c>
      <c r="AJ23" s="3457">
        <f t="shared" si="34"/>
        <v>101.01</v>
      </c>
      <c r="AK23" s="3457">
        <f t="shared" si="35"/>
        <v>100.41</v>
      </c>
      <c r="AM23" s="3457">
        <f t="shared" si="48"/>
        <v>95.842911371870557</v>
      </c>
      <c r="AN23" s="3457">
        <f t="shared" si="49"/>
        <v>98.242313397729504</v>
      </c>
      <c r="AO23" s="3457">
        <f t="shared" si="50"/>
        <v>103.21111854625232</v>
      </c>
      <c r="AP23" s="3457">
        <f t="shared" si="51"/>
        <v>94.81478072947381</v>
      </c>
      <c r="AQ23" s="3457">
        <f t="shared" si="52"/>
        <v>92.713123918697889</v>
      </c>
      <c r="AR23" s="3457">
        <f t="shared" si="53"/>
        <v>103.21111854625232</v>
      </c>
    </row>
    <row r="24" spans="1:44" s="3206" customFormat="1" ht="14.25" thickBot="1">
      <c r="A24" s="3196" t="s">
        <v>2824</v>
      </c>
      <c r="B24" s="3197">
        <v>2021</v>
      </c>
      <c r="C24" s="3198">
        <v>1</v>
      </c>
      <c r="D24" s="3199">
        <v>0.97</v>
      </c>
      <c r="E24" s="3199">
        <v>0.16</v>
      </c>
      <c r="F24" s="3199">
        <v>-0.25</v>
      </c>
      <c r="G24" s="3199">
        <v>1.1100000000000001</v>
      </c>
      <c r="H24" s="3200">
        <v>0.36</v>
      </c>
      <c r="I24" s="3201">
        <f t="shared" si="87"/>
        <v>-0.25</v>
      </c>
      <c r="J24" s="3202"/>
      <c r="K24" s="3203">
        <f t="shared" si="88"/>
        <v>9.7000000000000003E-3</v>
      </c>
      <c r="L24" s="3204">
        <f t="shared" si="88"/>
        <v>1.6000000000000001E-3</v>
      </c>
      <c r="M24" s="3204">
        <f>F24/100</f>
        <v>-2.5000000000000001E-3</v>
      </c>
      <c r="N24" s="3204">
        <f t="shared" si="88"/>
        <v>1.11E-2</v>
      </c>
      <c r="O24" s="3204">
        <f t="shared" si="88"/>
        <v>3.5999999999999999E-3</v>
      </c>
      <c r="P24" s="3204">
        <f t="shared" si="108"/>
        <v>-2.5000000000000001E-3</v>
      </c>
      <c r="Q24" s="3202"/>
      <c r="R24" s="3205">
        <v>1</v>
      </c>
      <c r="S24" s="3205">
        <v>1</v>
      </c>
      <c r="T24" s="3205">
        <v>1</v>
      </c>
      <c r="U24" s="3205">
        <v>1</v>
      </c>
      <c r="V24" s="3205">
        <v>1</v>
      </c>
      <c r="W24" s="3205">
        <f t="shared" ref="W24" si="114">T24</f>
        <v>1</v>
      </c>
      <c r="X24" s="3202"/>
      <c r="Y24" s="3204">
        <f>IF(D24=0,0,ROUND(AVERAGE(D24:D24)/100,4))</f>
        <v>9.7000000000000003E-3</v>
      </c>
      <c r="Z24" s="3204">
        <f>IF(E24=0,0,ROUND(AVERAGE(E24:E24)/100,4))</f>
        <v>1.6000000000000001E-3</v>
      </c>
      <c r="AA24" s="3204">
        <f>IF(F24=0,0,ROUND(AVERAGE(F24:F24)/100,4))</f>
        <v>-2.5000000000000001E-3</v>
      </c>
      <c r="AB24" s="3204">
        <f>IF(G24=0,0,ROUND(AVERAGE(G24:G24)/100,4))</f>
        <v>1.11E-2</v>
      </c>
      <c r="AC24" s="3204">
        <f>IF(H24=0,0,ROUND(AVERAGE(H24:H24)/100,4))</f>
        <v>3.5999999999999999E-3</v>
      </c>
      <c r="AD24" s="3204">
        <f>AA24</f>
        <v>-2.5000000000000001E-3</v>
      </c>
      <c r="AF24" s="3465">
        <v>100</v>
      </c>
      <c r="AG24" s="3465">
        <v>100</v>
      </c>
      <c r="AH24" s="3465">
        <v>100</v>
      </c>
      <c r="AI24" s="3465">
        <v>100</v>
      </c>
      <c r="AJ24" s="3465">
        <v>100</v>
      </c>
      <c r="AK24" s="3465">
        <v>100</v>
      </c>
      <c r="AM24" s="3464">
        <f t="shared" si="48"/>
        <v>94.969194779895503</v>
      </c>
      <c r="AN24" s="3464">
        <f t="shared" si="49"/>
        <v>97.540025216173049</v>
      </c>
      <c r="AO24" s="3464">
        <f t="shared" si="50"/>
        <v>102.78968085474786</v>
      </c>
      <c r="AP24" s="3464">
        <f t="shared" si="51"/>
        <v>93.922516819686777</v>
      </c>
      <c r="AQ24" s="3464">
        <f t="shared" si="52"/>
        <v>91.78608446559538</v>
      </c>
      <c r="AR24" s="3464">
        <f t="shared" si="53"/>
        <v>102.78968085474786</v>
      </c>
    </row>
    <row r="25" spans="1:44" s="3008" customFormat="1" ht="14.25" thickTop="1"/>
    <row r="26" spans="1:44" s="3008" customFormat="1">
      <c r="A26" s="3447" t="s">
        <v>3379</v>
      </c>
    </row>
    <row r="27" spans="1:44" s="3008" customFormat="1">
      <c r="I27" s="3207" t="s">
        <v>2825</v>
      </c>
    </row>
    <row r="28" spans="1:44" s="3008" customFormat="1"/>
    <row r="29" spans="1:44" s="3208" customFormat="1" ht="12.75">
      <c r="B29" s="3209" t="s">
        <v>3377</v>
      </c>
      <c r="C29" s="3210"/>
      <c r="D29" s="3210"/>
      <c r="E29" s="3210"/>
      <c r="F29" s="3210"/>
      <c r="G29" s="3210"/>
      <c r="H29" s="3210"/>
      <c r="I29" s="3210"/>
      <c r="J29" s="3164"/>
      <c r="K29" s="3210" t="s">
        <v>2826</v>
      </c>
      <c r="L29" s="3210"/>
      <c r="M29" s="3210"/>
      <c r="N29" s="3210"/>
      <c r="O29" s="3210"/>
      <c r="P29" s="3210"/>
      <c r="Q29" s="3164"/>
      <c r="R29" s="3807" t="s">
        <v>2827</v>
      </c>
      <c r="S29" s="3808"/>
      <c r="T29" s="3808"/>
      <c r="U29" s="3808"/>
      <c r="V29" s="3808"/>
      <c r="W29" s="3808"/>
      <c r="X29" s="3164"/>
      <c r="Y29" s="3807" t="s">
        <v>2828</v>
      </c>
      <c r="Z29" s="3808"/>
      <c r="AA29" s="3808"/>
      <c r="AB29" s="3808"/>
      <c r="AC29" s="3808"/>
      <c r="AD29" s="3808"/>
    </row>
    <row r="30" spans="1:44" s="3142" customFormat="1" ht="14.25" thickBot="1">
      <c r="B30" s="3143"/>
      <c r="C30" s="3144"/>
      <c r="D30" s="3145" t="s">
        <v>2829</v>
      </c>
      <c r="E30" s="3146" t="s">
        <v>2830</v>
      </c>
      <c r="F30" s="3146" t="s">
        <v>2831</v>
      </c>
      <c r="G30" s="3146" t="s">
        <v>2832</v>
      </c>
      <c r="H30" s="3146"/>
      <c r="I30" s="3146" t="s">
        <v>2833</v>
      </c>
      <c r="J30" s="3147"/>
      <c r="K30" s="3145" t="s">
        <v>2829</v>
      </c>
      <c r="L30" s="3146" t="s">
        <v>2830</v>
      </c>
      <c r="M30" s="3146" t="s">
        <v>2831</v>
      </c>
      <c r="N30" s="3146" t="s">
        <v>2832</v>
      </c>
      <c r="O30" s="3146"/>
      <c r="P30" s="3146" t="s">
        <v>2833</v>
      </c>
      <c r="Q30" s="3147"/>
      <c r="R30" s="3145" t="s">
        <v>2829</v>
      </c>
      <c r="S30" s="3146" t="s">
        <v>2830</v>
      </c>
      <c r="T30" s="3146" t="s">
        <v>2831</v>
      </c>
      <c r="U30" s="3146" t="s">
        <v>2832</v>
      </c>
      <c r="V30" s="3146"/>
      <c r="W30" s="3146" t="s">
        <v>2833</v>
      </c>
      <c r="X30" s="3147"/>
      <c r="Y30" s="3145" t="s">
        <v>2829</v>
      </c>
      <c r="Z30" s="3146" t="s">
        <v>2830</v>
      </c>
      <c r="AA30" s="3146" t="s">
        <v>2831</v>
      </c>
      <c r="AB30" s="3146" t="s">
        <v>2832</v>
      </c>
      <c r="AC30" s="3146"/>
      <c r="AD30" s="3146" t="s">
        <v>2833</v>
      </c>
      <c r="AG30" t="s">
        <v>673</v>
      </c>
      <c r="AH30" t="s">
        <v>21</v>
      </c>
      <c r="AI30" t="s">
        <v>3402</v>
      </c>
      <c r="AJ30"/>
      <c r="AK30" t="s">
        <v>3403</v>
      </c>
      <c r="AN30" t="s">
        <v>673</v>
      </c>
      <c r="AO30" t="s">
        <v>21</v>
      </c>
      <c r="AP30" t="s">
        <v>3402</v>
      </c>
      <c r="AQ30"/>
      <c r="AR30" t="s">
        <v>3403</v>
      </c>
    </row>
    <row r="31" spans="1:44" s="3160" customFormat="1" ht="12.75">
      <c r="A31" s="3148" t="s">
        <v>2834</v>
      </c>
      <c r="B31" s="3149"/>
      <c r="C31" s="3150"/>
      <c r="D31" s="3150"/>
      <c r="E31" s="3150">
        <f t="shared" ref="E31:G31" si="115">ROUND(AVERAGEIF(E32:E52,"&lt;&gt;0"),2)</f>
        <v>0.04</v>
      </c>
      <c r="F31" s="3150">
        <f t="shared" si="115"/>
        <v>-7.0000000000000007E-2</v>
      </c>
      <c r="G31" s="3150">
        <f t="shared" si="115"/>
        <v>0.2</v>
      </c>
      <c r="H31" s="3150"/>
      <c r="I31" s="3150">
        <f>F31</f>
        <v>-7.0000000000000007E-2</v>
      </c>
      <c r="J31" s="3151"/>
      <c r="K31" s="3152"/>
      <c r="L31" s="3153">
        <f t="shared" ref="L31:N31" si="116">ROUND(AVERAGEIF(L32:L52,"&lt;&gt;0"),4)</f>
        <v>4.0000000000000002E-4</v>
      </c>
      <c r="M31" s="3153">
        <f t="shared" si="116"/>
        <v>-6.9999999999999999E-4</v>
      </c>
      <c r="N31" s="3153">
        <f t="shared" si="116"/>
        <v>2E-3</v>
      </c>
      <c r="O31" s="3153"/>
      <c r="P31" s="3153">
        <f>M31</f>
        <v>-6.9999999999999999E-4</v>
      </c>
      <c r="Q31" s="3151"/>
      <c r="R31" s="3154"/>
      <c r="S31" s="3155">
        <f>ROUND(SUMPRODUCT(PRODUCT(1+L32:L52)),4)</f>
        <v>1.0072000000000001</v>
      </c>
      <c r="T31" s="3155">
        <f t="shared" ref="T31:U31" si="117">ROUND(SUMPRODUCT(PRODUCT(1+M32:M52)),4)</f>
        <v>0.98699999999999999</v>
      </c>
      <c r="U31" s="3155">
        <f t="shared" si="117"/>
        <v>1.0375000000000001</v>
      </c>
      <c r="V31" s="3155"/>
      <c r="W31" s="3154">
        <f>T31</f>
        <v>0.98699999999999999</v>
      </c>
      <c r="X31" s="3151"/>
      <c r="Y31" s="3156"/>
      <c r="Z31" s="3157">
        <f t="shared" ref="Z31:AB31" si="118">ROUND(AVERAGEIF(Z32:Z52,"&lt;&gt;0"),4)</f>
        <v>2.8999999999999998E-3</v>
      </c>
      <c r="AA31" s="3158">
        <f t="shared" si="118"/>
        <v>2.3E-3</v>
      </c>
      <c r="AB31" s="3156">
        <f t="shared" si="118"/>
        <v>6.0000000000000001E-3</v>
      </c>
      <c r="AC31" s="3159"/>
      <c r="AD31" s="3156">
        <f>AA31</f>
        <v>2.3E-3</v>
      </c>
    </row>
    <row r="32" spans="1:44" s="3161" customFormat="1" ht="12.75">
      <c r="B32" s="3162"/>
      <c r="C32" s="3163"/>
      <c r="D32" s="3163"/>
      <c r="E32" s="3163"/>
      <c r="F32" s="3163"/>
      <c r="G32" s="3163"/>
      <c r="H32" s="3163"/>
      <c r="I32" s="3163"/>
      <c r="J32" s="3164"/>
      <c r="K32" s="3165"/>
      <c r="L32" s="3166"/>
      <c r="M32" s="3166"/>
      <c r="N32" s="3166"/>
      <c r="O32" s="3166"/>
      <c r="P32" s="3166"/>
      <c r="Q32" s="3164"/>
      <c r="R32" s="3167"/>
      <c r="S32" s="3168"/>
      <c r="T32" s="3169"/>
      <c r="U32" s="3167"/>
      <c r="V32" s="3170"/>
      <c r="W32" s="3167"/>
      <c r="X32" s="3164"/>
      <c r="Y32" s="3171"/>
      <c r="Z32" s="3172"/>
      <c r="AA32" s="3173"/>
      <c r="AB32" s="3171"/>
      <c r="AC32" s="3174"/>
      <c r="AD32" s="3171"/>
    </row>
    <row r="33" spans="1:44" s="3184" customFormat="1">
      <c r="A33" s="2205" t="s">
        <v>3400</v>
      </c>
      <c r="B33" s="3176">
        <v>2025</v>
      </c>
      <c r="C33" s="3177">
        <v>4</v>
      </c>
      <c r="D33" s="3178"/>
      <c r="E33" s="3178">
        <v>0</v>
      </c>
      <c r="F33" s="3178">
        <v>0</v>
      </c>
      <c r="G33" s="3178">
        <v>0</v>
      </c>
      <c r="H33" s="3178"/>
      <c r="I33" s="3179">
        <f t="shared" ref="I33" si="119">F33</f>
        <v>0</v>
      </c>
      <c r="J33" s="3180"/>
      <c r="K33" s="3181"/>
      <c r="L33" s="3171">
        <f t="shared" ref="L33" si="120">E33/100</f>
        <v>0</v>
      </c>
      <c r="M33" s="3171">
        <f t="shared" ref="M33" si="121">F33/100</f>
        <v>0</v>
      </c>
      <c r="N33" s="3171">
        <f t="shared" ref="N33" si="122">G33/100</f>
        <v>0</v>
      </c>
      <c r="O33" s="3171"/>
      <c r="P33" s="3171">
        <f t="shared" ref="P33:P39" si="123">M33</f>
        <v>0</v>
      </c>
      <c r="Q33" s="3180"/>
      <c r="R33" s="3182"/>
      <c r="S33" s="3182">
        <f>ROUND(IF(项目基本情况!$B$8="出让",SUMPRODUCT(PRODUCT(1+L33:L$52)),SUMPRODUCT(PRODUCT(1+L33:L$51))),4)</f>
        <v>1.0037</v>
      </c>
      <c r="T33" s="3182">
        <f>ROUND(IF(项目基本情况!$B$8="出让",SUMPRODUCT(PRODUCT(1+M33:M$52)),SUMPRODUCT(PRODUCT(1+M33:M$51))),4)</f>
        <v>0.98229999999999995</v>
      </c>
      <c r="U33" s="3182">
        <f>ROUND(IF(项目基本情况!$B$8="出让",SUMPRODUCT(PRODUCT(1+N33:N$52)),SUMPRODUCT(PRODUCT(1+N33:N$51))),4)</f>
        <v>1.0274000000000001</v>
      </c>
      <c r="V33" s="3182"/>
      <c r="W33" s="3182">
        <f t="shared" ref="W33:W39" si="124">T33</f>
        <v>0.98229999999999995</v>
      </c>
      <c r="X33" s="3180"/>
      <c r="Y33" s="3183"/>
      <c r="Z33" s="3211">
        <f t="shared" ref="Z33" si="125">IF(E33=0,0,ROUND(AVERAGE(E33:E46)/100,4))</f>
        <v>0</v>
      </c>
      <c r="AA33" s="3211">
        <f t="shared" ref="AA33" si="126">IF(F33=0,0,ROUND(AVERAGE(F33:F46)/100,4))</f>
        <v>0</v>
      </c>
      <c r="AB33" s="3211">
        <f t="shared" ref="AB33" si="127">IF(G33=0,0,ROUND(AVERAGE(G33:G46)/100,4))</f>
        <v>0</v>
      </c>
      <c r="AC33" s="3212"/>
      <c r="AD33" s="3183">
        <f t="shared" ref="AD33:AD39" si="128">IF(I33=0,0,ROUND(AVERAGE(I33:I46)/100,4))</f>
        <v>0</v>
      </c>
      <c r="AG33" s="3457">
        <f t="shared" ref="AG33:AG50" si="129">$AG$52*S33</f>
        <v>100.37</v>
      </c>
      <c r="AH33" s="3457">
        <f t="shared" ref="AH33:AH50" si="130">$AG$52*T33</f>
        <v>98.22999999999999</v>
      </c>
      <c r="AI33" s="3457">
        <f t="shared" ref="AI33:AI50" si="131">$AG$52*U33</f>
        <v>102.74000000000001</v>
      </c>
      <c r="AJ33" s="3459"/>
      <c r="AK33" s="3457">
        <f t="shared" ref="AK33:AK50" si="132">$AG$52*W33</f>
        <v>98.22999999999999</v>
      </c>
      <c r="AN33" s="3462">
        <v>100</v>
      </c>
      <c r="AO33" s="3462">
        <v>100</v>
      </c>
      <c r="AP33" s="3462">
        <v>100</v>
      </c>
      <c r="AQ33" s="3462"/>
      <c r="AR33" s="3462">
        <v>100</v>
      </c>
    </row>
    <row r="34" spans="1:44" s="3194" customFormat="1" ht="12.75">
      <c r="A34" s="3185" t="s">
        <v>3416</v>
      </c>
      <c r="B34" s="3186">
        <v>2025</v>
      </c>
      <c r="C34" s="3187">
        <v>3</v>
      </c>
      <c r="D34" s="3188"/>
      <c r="E34" s="3188">
        <v>-0.8</v>
      </c>
      <c r="F34" s="3188">
        <v>-1.45</v>
      </c>
      <c r="G34" s="3188">
        <v>-0.62</v>
      </c>
      <c r="H34" s="3189"/>
      <c r="I34" s="3190">
        <f t="shared" ref="I34" si="133">F34</f>
        <v>-1.45</v>
      </c>
      <c r="J34" s="3191"/>
      <c r="K34" s="3192"/>
      <c r="L34" s="3193">
        <f t="shared" ref="L34" si="134">E34/100</f>
        <v>-8.0000000000000002E-3</v>
      </c>
      <c r="M34" s="3193">
        <f t="shared" ref="M34" si="135">F34/100</f>
        <v>-1.4499999999999999E-2</v>
      </c>
      <c r="N34" s="3193">
        <f t="shared" ref="N34" si="136">G34/100</f>
        <v>-6.1999999999999998E-3</v>
      </c>
      <c r="O34" s="3193"/>
      <c r="P34" s="3193">
        <f t="shared" si="123"/>
        <v>-1.4499999999999999E-2</v>
      </c>
      <c r="Q34" s="3191"/>
      <c r="R34" s="3191"/>
      <c r="S34" s="3191">
        <f>ROUND(IF(项目基本情况!$B$8="出让",SUMPRODUCT(PRODUCT(1+L34:L$52)),SUMPRODUCT(PRODUCT(1+L34:L$51))),4)</f>
        <v>1.0037</v>
      </c>
      <c r="T34" s="3191">
        <f>ROUND(IF(项目基本情况!$B$8="出让",SUMPRODUCT(PRODUCT(1+M34:M$52)),SUMPRODUCT(PRODUCT(1+M34:M$51))),4)</f>
        <v>0.98229999999999995</v>
      </c>
      <c r="U34" s="3191">
        <f>ROUND(IF(项目基本情况!$B$8="出让",SUMPRODUCT(PRODUCT(1+N34:N$52)),SUMPRODUCT(PRODUCT(1+N34:N$51))),4)</f>
        <v>1.0274000000000001</v>
      </c>
      <c r="V34" s="3191"/>
      <c r="W34" s="3191">
        <f t="shared" si="124"/>
        <v>0.98229999999999995</v>
      </c>
      <c r="X34" s="3191"/>
      <c r="Y34" s="3193"/>
      <c r="Z34" s="3214">
        <f t="shared" ref="Z34" si="137">IF(E34=0,0,ROUND(AVERAGE(E34:E47)/100,4))</f>
        <v>-1.2999999999999999E-3</v>
      </c>
      <c r="AA34" s="3215">
        <f t="shared" ref="AA34" si="138">IF(F34=0,0,ROUND(AVERAGE(F34:F47)/100,4))</f>
        <v>-2.2000000000000001E-3</v>
      </c>
      <c r="AB34" s="3193">
        <f t="shared" ref="AB34" si="139">IF(G34=0,0,ROUND(AVERAGE(G34:G47)/100,4))</f>
        <v>-2.9999999999999997E-4</v>
      </c>
      <c r="AC34" s="3216"/>
      <c r="AD34" s="3193">
        <f t="shared" si="128"/>
        <v>-2.2000000000000001E-3</v>
      </c>
      <c r="AG34" s="3458">
        <f t="shared" si="129"/>
        <v>100.37</v>
      </c>
      <c r="AH34" s="3458">
        <f t="shared" si="130"/>
        <v>98.22999999999999</v>
      </c>
      <c r="AI34" s="3458">
        <f t="shared" si="131"/>
        <v>102.74000000000001</v>
      </c>
      <c r="AJ34" s="3460"/>
      <c r="AK34" s="3458">
        <f t="shared" si="132"/>
        <v>98.22999999999999</v>
      </c>
      <c r="AN34" s="3458">
        <f>AN33/(1+E33/100)</f>
        <v>100</v>
      </c>
      <c r="AO34" s="3458">
        <f t="shared" ref="AO34:AR34" si="140">AO33/(1+F33/100)</f>
        <v>100</v>
      </c>
      <c r="AP34" s="3458">
        <f t="shared" si="140"/>
        <v>100</v>
      </c>
      <c r="AQ34" s="3458"/>
      <c r="AR34" s="3458">
        <f t="shared" si="140"/>
        <v>100</v>
      </c>
    </row>
    <row r="35" spans="1:44" s="3184" customFormat="1" ht="12.75">
      <c r="A35" s="2205" t="s">
        <v>3415</v>
      </c>
      <c r="B35" s="3176">
        <v>2025</v>
      </c>
      <c r="C35" s="3177">
        <v>2</v>
      </c>
      <c r="D35" s="3178"/>
      <c r="E35" s="3178">
        <v>-0.31</v>
      </c>
      <c r="F35" s="3178">
        <v>-1.03</v>
      </c>
      <c r="G35" s="3178">
        <v>0.03</v>
      </c>
      <c r="H35" s="3178"/>
      <c r="I35" s="3179">
        <f t="shared" ref="I35" si="141">F35</f>
        <v>-1.03</v>
      </c>
      <c r="J35" s="3180"/>
      <c r="K35" s="3181"/>
      <c r="L35" s="3171">
        <f t="shared" ref="L35" si="142">E35/100</f>
        <v>-3.0999999999999999E-3</v>
      </c>
      <c r="M35" s="3171">
        <f t="shared" ref="M35" si="143">F35/100</f>
        <v>-1.03E-2</v>
      </c>
      <c r="N35" s="3171">
        <f t="shared" ref="N35" si="144">G35/100</f>
        <v>2.9999999999999997E-4</v>
      </c>
      <c r="O35" s="3171"/>
      <c r="P35" s="3171">
        <f t="shared" si="123"/>
        <v>-1.03E-2</v>
      </c>
      <c r="Q35" s="3180"/>
      <c r="R35" s="3182"/>
      <c r="S35" s="3182">
        <f>ROUND(IF(项目基本情况!$B$8="出让",SUMPRODUCT(PRODUCT(1+L35:L$52)),SUMPRODUCT(PRODUCT(1+L35:L$51))),4)</f>
        <v>1.0118</v>
      </c>
      <c r="T35" s="3182">
        <f>ROUND(IF(项目基本情况!$B$8="出让",SUMPRODUCT(PRODUCT(1+M35:M$52)),SUMPRODUCT(PRODUCT(1+M35:M$51))),4)</f>
        <v>0.99680000000000002</v>
      </c>
      <c r="U35" s="3182">
        <f>ROUND(IF(项目基本情况!$B$8="出让",SUMPRODUCT(PRODUCT(1+N35:N$52)),SUMPRODUCT(PRODUCT(1+N35:N$51))),4)</f>
        <v>1.0338000000000001</v>
      </c>
      <c r="V35" s="3182"/>
      <c r="W35" s="3182">
        <f t="shared" si="124"/>
        <v>0.99680000000000002</v>
      </c>
      <c r="X35" s="3180"/>
      <c r="Y35" s="3183"/>
      <c r="Z35" s="3211">
        <f t="shared" ref="Z35" si="145">IF(E35=0,0,ROUND(AVERAGE(E35:E48)/100,4))</f>
        <v>-2.9999999999999997E-4</v>
      </c>
      <c r="AA35" s="3211">
        <f t="shared" ref="AA35" si="146">IF(F35=0,0,ROUND(AVERAGE(F35:F48)/100,4))</f>
        <v>-8.0000000000000004E-4</v>
      </c>
      <c r="AB35" s="3211">
        <f t="shared" ref="AB35" si="147">IF(G35=0,0,ROUND(AVERAGE(G35:G48)/100,4))</f>
        <v>5.0000000000000001E-4</v>
      </c>
      <c r="AC35" s="3212"/>
      <c r="AD35" s="3183">
        <f t="shared" si="128"/>
        <v>-8.0000000000000004E-4</v>
      </c>
      <c r="AG35" s="3457">
        <f t="shared" si="129"/>
        <v>101.18</v>
      </c>
      <c r="AH35" s="3457">
        <f t="shared" si="130"/>
        <v>99.68</v>
      </c>
      <c r="AI35" s="3457">
        <f t="shared" si="131"/>
        <v>103.38000000000001</v>
      </c>
      <c r="AJ35" s="3459"/>
      <c r="AK35" s="3457">
        <f t="shared" si="132"/>
        <v>99.68</v>
      </c>
      <c r="AN35" s="3457">
        <f t="shared" ref="AN35:AN52" si="148">AN34/(1+E34/100)</f>
        <v>100.80645161290323</v>
      </c>
      <c r="AO35" s="3457">
        <f t="shared" ref="AO35" si="149">AO34/(1+F34/100)</f>
        <v>101.47133434804667</v>
      </c>
      <c r="AP35" s="3457">
        <f t="shared" ref="AP35" si="150">AP34/(1+G34/100)</f>
        <v>100.6238679814852</v>
      </c>
      <c r="AQ35" s="3457"/>
      <c r="AR35" s="3457">
        <f t="shared" ref="AR35" si="151">AR34/(1+I34/100)</f>
        <v>101.47133434804667</v>
      </c>
    </row>
    <row r="36" spans="1:44" s="3184" customFormat="1" ht="12.75">
      <c r="A36" s="2205" t="s">
        <v>3404</v>
      </c>
      <c r="B36" s="3176">
        <v>2025</v>
      </c>
      <c r="C36" s="3177">
        <v>1</v>
      </c>
      <c r="D36" s="3178"/>
      <c r="E36" s="3178">
        <v>-1.47</v>
      </c>
      <c r="F36" s="3178">
        <v>-0.98</v>
      </c>
      <c r="G36" s="3178">
        <v>-0.51</v>
      </c>
      <c r="H36" s="3178"/>
      <c r="I36" s="3179">
        <f t="shared" ref="I36" si="152">F36</f>
        <v>-0.98</v>
      </c>
      <c r="J36" s="3180"/>
      <c r="K36" s="3181"/>
      <c r="L36" s="3171">
        <f t="shared" ref="L36" si="153">E36/100</f>
        <v>-1.47E-2</v>
      </c>
      <c r="M36" s="3171">
        <f t="shared" ref="M36" si="154">F36/100</f>
        <v>-9.7999999999999997E-3</v>
      </c>
      <c r="N36" s="3171">
        <f t="shared" ref="N36" si="155">G36/100</f>
        <v>-5.1000000000000004E-3</v>
      </c>
      <c r="O36" s="3171"/>
      <c r="P36" s="3171">
        <f t="shared" si="123"/>
        <v>-9.7999999999999997E-3</v>
      </c>
      <c r="Q36" s="3180"/>
      <c r="R36" s="3182"/>
      <c r="S36" s="3182">
        <f>ROUND(IF(项目基本情况!$B$8="出让",SUMPRODUCT(PRODUCT(1+L36:L$52)),SUMPRODUCT(PRODUCT(1+L36:L$51))),4)</f>
        <v>1.0148999999999999</v>
      </c>
      <c r="T36" s="3182">
        <f>ROUND(IF(项目基本情况!$B$8="出让",SUMPRODUCT(PRODUCT(1+M36:M$52)),SUMPRODUCT(PRODUCT(1+M36:M$51))),4)</f>
        <v>1.0072000000000001</v>
      </c>
      <c r="U36" s="3182">
        <f>ROUND(IF(项目基本情况!$B$8="出让",SUMPRODUCT(PRODUCT(1+N36:N$52)),SUMPRODUCT(PRODUCT(1+N36:N$51))),4)</f>
        <v>1.0335000000000001</v>
      </c>
      <c r="V36" s="3182"/>
      <c r="W36" s="3182">
        <f t="shared" si="124"/>
        <v>1.0072000000000001</v>
      </c>
      <c r="X36" s="3180"/>
      <c r="Y36" s="3183"/>
      <c r="Z36" s="3211">
        <f t="shared" ref="Z36" si="156">IF(E36=0,0,ROUND(AVERAGE(E36:E49)/100,4))</f>
        <v>4.0000000000000002E-4</v>
      </c>
      <c r="AA36" s="3211">
        <f t="shared" ref="AA36" si="157">IF(F36=0,0,ROUND(AVERAGE(F36:F49)/100,4))</f>
        <v>0</v>
      </c>
      <c r="AB36" s="3211">
        <f t="shared" ref="AB36" si="158">IF(G36=0,0,ROUND(AVERAGE(G36:G49)/100,4))</f>
        <v>1E-3</v>
      </c>
      <c r="AC36" s="3212"/>
      <c r="AD36" s="3183">
        <f t="shared" si="128"/>
        <v>0</v>
      </c>
      <c r="AG36" s="3457">
        <f t="shared" si="129"/>
        <v>101.49</v>
      </c>
      <c r="AH36" s="3457">
        <f t="shared" si="130"/>
        <v>100.72000000000001</v>
      </c>
      <c r="AI36" s="3457">
        <f t="shared" si="131"/>
        <v>103.35000000000001</v>
      </c>
      <c r="AJ36" s="3459"/>
      <c r="AK36" s="3457">
        <f t="shared" si="132"/>
        <v>100.72000000000001</v>
      </c>
      <c r="AN36" s="3457">
        <f t="shared" si="148"/>
        <v>101.11992337536687</v>
      </c>
      <c r="AO36" s="3457">
        <f t="shared" ref="AO36:AO52" si="159">AO35/(1+F35/100)</f>
        <v>102.52736622011383</v>
      </c>
      <c r="AP36" s="3457">
        <f t="shared" ref="AP36:AP52" si="160">AP35/(1+G35/100)</f>
        <v>100.59368987452285</v>
      </c>
      <c r="AQ36" s="3457"/>
      <c r="AR36" s="3457">
        <f t="shared" ref="AR36:AR52" si="161">AR35/(1+I35/100)</f>
        <v>102.52736622011383</v>
      </c>
    </row>
    <row r="37" spans="1:44" s="3184" customFormat="1" ht="12.75">
      <c r="A37" s="2205" t="s">
        <v>3405</v>
      </c>
      <c r="B37" s="3176">
        <v>2024</v>
      </c>
      <c r="C37" s="3177">
        <v>4</v>
      </c>
      <c r="D37" s="3178"/>
      <c r="E37" s="3178">
        <v>-0.61</v>
      </c>
      <c r="F37" s="3178">
        <v>-0.71</v>
      </c>
      <c r="G37" s="3178">
        <v>-0.88</v>
      </c>
      <c r="H37" s="3178"/>
      <c r="I37" s="3179">
        <f t="shared" ref="I37" si="162">F37</f>
        <v>-0.71</v>
      </c>
      <c r="J37" s="3180"/>
      <c r="K37" s="3181"/>
      <c r="L37" s="3171">
        <f t="shared" ref="L37" si="163">E37/100</f>
        <v>-6.0999999999999995E-3</v>
      </c>
      <c r="M37" s="3171">
        <f t="shared" ref="M37" si="164">F37/100</f>
        <v>-7.0999999999999995E-3</v>
      </c>
      <c r="N37" s="3171">
        <f t="shared" ref="N37" si="165">G37/100</f>
        <v>-8.8000000000000005E-3</v>
      </c>
      <c r="O37" s="3171"/>
      <c r="P37" s="3171">
        <f t="shared" si="123"/>
        <v>-7.0999999999999995E-3</v>
      </c>
      <c r="Q37" s="3180"/>
      <c r="R37" s="3182"/>
      <c r="S37" s="3182">
        <f>ROUND(IF(项目基本情况!$B$8="出让",SUMPRODUCT(PRODUCT(1+L37:L$52)),SUMPRODUCT(PRODUCT(1+L37:L$51))),4)</f>
        <v>1.0301</v>
      </c>
      <c r="T37" s="3182">
        <f>ROUND(IF(项目基本情况!$B$8="出让",SUMPRODUCT(PRODUCT(1+M37:M$52)),SUMPRODUCT(PRODUCT(1+M37:M$51))),4)</f>
        <v>1.0170999999999999</v>
      </c>
      <c r="U37" s="3182">
        <f>ROUND(IF(项目基本情况!$B$8="出让",SUMPRODUCT(PRODUCT(1+N37:N$52)),SUMPRODUCT(PRODUCT(1+N37:N$51))),4)</f>
        <v>1.0387999999999999</v>
      </c>
      <c r="V37" s="3182"/>
      <c r="W37" s="3182">
        <f t="shared" si="124"/>
        <v>1.0170999999999999</v>
      </c>
      <c r="X37" s="3180"/>
      <c r="Y37" s="3183"/>
      <c r="Z37" s="3211">
        <f t="shared" ref="Z37" si="166">IF(E37=0,0,ROUND(AVERAGE(E37:E50)/100,4))</f>
        <v>1.6999999999999999E-3</v>
      </c>
      <c r="AA37" s="3211">
        <f t="shared" ref="AA37" si="167">IF(F37=0,0,ROUND(AVERAGE(F37:F50)/100,4))</f>
        <v>8.9999999999999998E-4</v>
      </c>
      <c r="AB37" s="3211">
        <f t="shared" ref="AB37" si="168">IF(G37=0,0,ROUND(AVERAGE(G37:G50)/100,4))</f>
        <v>2E-3</v>
      </c>
      <c r="AC37" s="3212"/>
      <c r="AD37" s="3183">
        <f t="shared" si="128"/>
        <v>8.9999999999999998E-4</v>
      </c>
      <c r="AG37" s="3457">
        <f t="shared" si="129"/>
        <v>103.01</v>
      </c>
      <c r="AH37" s="3457">
        <f t="shared" si="130"/>
        <v>101.71</v>
      </c>
      <c r="AI37" s="3457">
        <f t="shared" si="131"/>
        <v>103.88</v>
      </c>
      <c r="AJ37" s="3459"/>
      <c r="AK37" s="3457">
        <f t="shared" si="132"/>
        <v>101.71</v>
      </c>
      <c r="AN37" s="3457">
        <f t="shared" si="148"/>
        <v>102.62856325521858</v>
      </c>
      <c r="AO37" s="3457">
        <f t="shared" si="159"/>
        <v>103.54207859029877</v>
      </c>
      <c r="AP37" s="3457">
        <f t="shared" si="160"/>
        <v>101.10934754701262</v>
      </c>
      <c r="AQ37" s="3457"/>
      <c r="AR37" s="3457">
        <f t="shared" si="161"/>
        <v>103.54207859029877</v>
      </c>
    </row>
    <row r="38" spans="1:44" s="3184" customFormat="1" ht="12.75">
      <c r="A38" s="2205" t="s">
        <v>3371</v>
      </c>
      <c r="B38" s="3176">
        <v>2024</v>
      </c>
      <c r="C38" s="3177">
        <v>3</v>
      </c>
      <c r="D38" s="3178"/>
      <c r="E38" s="3178">
        <v>-0.66</v>
      </c>
      <c r="F38" s="3178">
        <v>-0.52</v>
      </c>
      <c r="G38" s="3178">
        <v>-2.87</v>
      </c>
      <c r="H38" s="3178"/>
      <c r="I38" s="3179">
        <f t="shared" ref="I38" si="169">F38</f>
        <v>-0.52</v>
      </c>
      <c r="J38" s="3180"/>
      <c r="K38" s="3181"/>
      <c r="L38" s="3171">
        <f t="shared" ref="L38" si="170">E38/100</f>
        <v>-6.6E-3</v>
      </c>
      <c r="M38" s="3171">
        <f t="shared" ref="M38" si="171">F38/100</f>
        <v>-5.1999999999999998E-3</v>
      </c>
      <c r="N38" s="3171">
        <f t="shared" ref="N38" si="172">G38/100</f>
        <v>-2.87E-2</v>
      </c>
      <c r="O38" s="3171"/>
      <c r="P38" s="3171">
        <f t="shared" si="123"/>
        <v>-5.1999999999999998E-3</v>
      </c>
      <c r="Q38" s="3180"/>
      <c r="R38" s="3182"/>
      <c r="S38" s="3182">
        <f>ROUND(IF(项目基本情况!$B$8="出让",SUMPRODUCT(PRODUCT(1+L38:L$52)),SUMPRODUCT(PRODUCT(1+L38:L$51))),4)</f>
        <v>1.0364</v>
      </c>
      <c r="T38" s="3182">
        <f>ROUND(IF(项目基本情况!$B$8="出让",SUMPRODUCT(PRODUCT(1+M38:M$52)),SUMPRODUCT(PRODUCT(1+M38:M$51))),4)</f>
        <v>1.0244</v>
      </c>
      <c r="U38" s="3182">
        <f>ROUND(IF(项目基本情况!$B$8="出让",SUMPRODUCT(PRODUCT(1+N38:N$52)),SUMPRODUCT(PRODUCT(1+N38:N$51))),4)</f>
        <v>1.048</v>
      </c>
      <c r="V38" s="3182"/>
      <c r="W38" s="3182">
        <f t="shared" si="124"/>
        <v>1.0244</v>
      </c>
      <c r="X38" s="3180"/>
      <c r="Y38" s="3183"/>
      <c r="Z38" s="3211">
        <f t="shared" ref="Z38:AB39" si="173">IF(E38=0,0,ROUND(AVERAGE(E38:E51)/100,4))</f>
        <v>2.5999999999999999E-3</v>
      </c>
      <c r="AA38" s="3211">
        <f t="shared" si="173"/>
        <v>1.6999999999999999E-3</v>
      </c>
      <c r="AB38" s="3211">
        <f t="shared" si="173"/>
        <v>3.3999999999999998E-3</v>
      </c>
      <c r="AC38" s="3212"/>
      <c r="AD38" s="3183">
        <f t="shared" si="128"/>
        <v>1.6999999999999999E-3</v>
      </c>
      <c r="AG38" s="3457">
        <f t="shared" si="129"/>
        <v>103.64</v>
      </c>
      <c r="AH38" s="3457">
        <f t="shared" si="130"/>
        <v>102.44</v>
      </c>
      <c r="AI38" s="3457">
        <f t="shared" si="131"/>
        <v>104.80000000000001</v>
      </c>
      <c r="AJ38" s="3459"/>
      <c r="AK38" s="3457">
        <f t="shared" si="132"/>
        <v>102.44</v>
      </c>
      <c r="AN38" s="3457">
        <f t="shared" si="148"/>
        <v>103.25843973761805</v>
      </c>
      <c r="AO38" s="3457">
        <f t="shared" si="159"/>
        <v>104.28248422831984</v>
      </c>
      <c r="AP38" s="3457">
        <f t="shared" si="160"/>
        <v>102.00700922822097</v>
      </c>
      <c r="AQ38" s="3457"/>
      <c r="AR38" s="3457">
        <f t="shared" si="161"/>
        <v>104.28248422831984</v>
      </c>
    </row>
    <row r="39" spans="1:44" s="3184" customFormat="1" ht="12.75">
      <c r="A39" s="3175" t="s">
        <v>3375</v>
      </c>
      <c r="B39" s="3176">
        <v>2024</v>
      </c>
      <c r="C39" s="3177">
        <v>2</v>
      </c>
      <c r="D39" s="3178"/>
      <c r="E39" s="3178">
        <v>-0.31</v>
      </c>
      <c r="F39" s="3178">
        <v>-0.39</v>
      </c>
      <c r="G39" s="3178">
        <v>1.23</v>
      </c>
      <c r="H39" s="3195"/>
      <c r="I39" s="3179">
        <f t="shared" ref="I39:I52" si="174">F39</f>
        <v>-0.39</v>
      </c>
      <c r="J39" s="3180"/>
      <c r="K39" s="3181"/>
      <c r="L39" s="3171">
        <f t="shared" ref="L39:N52" si="175">E39/100</f>
        <v>-3.0999999999999999E-3</v>
      </c>
      <c r="M39" s="3171">
        <f t="shared" si="175"/>
        <v>-3.9000000000000003E-3</v>
      </c>
      <c r="N39" s="3171">
        <f t="shared" si="175"/>
        <v>1.23E-2</v>
      </c>
      <c r="O39" s="3171"/>
      <c r="P39" s="3171">
        <f t="shared" si="123"/>
        <v>-3.9000000000000003E-3</v>
      </c>
      <c r="Q39" s="3180"/>
      <c r="R39" s="3182"/>
      <c r="S39" s="3182">
        <f>ROUND(IF(项目基本情况!$B$8="出让",SUMPRODUCT(PRODUCT(1+L39:L$52)),SUMPRODUCT(PRODUCT(1+L39:L$51))),4)</f>
        <v>1.0432999999999999</v>
      </c>
      <c r="T39" s="3182">
        <f>ROUND(IF(项目基本情况!$B$8="出让",SUMPRODUCT(PRODUCT(1+M39:M$52)),SUMPRODUCT(PRODUCT(1+M39:M$51))),4)</f>
        <v>1.0298</v>
      </c>
      <c r="U39" s="3182">
        <f>ROUND(IF(项目基本情况!$B$8="出让",SUMPRODUCT(PRODUCT(1+N39:N$52)),SUMPRODUCT(PRODUCT(1+N39:N$51))),4)</f>
        <v>1.079</v>
      </c>
      <c r="V39" s="3182"/>
      <c r="W39" s="3182">
        <f t="shared" si="124"/>
        <v>1.0298</v>
      </c>
      <c r="X39" s="3180"/>
      <c r="Y39" s="3183"/>
      <c r="Z39" s="3211">
        <f t="shared" si="173"/>
        <v>3.3E-3</v>
      </c>
      <c r="AA39" s="3213">
        <f t="shared" si="173"/>
        <v>2.3999999999999998E-3</v>
      </c>
      <c r="AB39" s="3183">
        <f t="shared" si="173"/>
        <v>6.1999999999999998E-3</v>
      </c>
      <c r="AC39" s="3212"/>
      <c r="AD39" s="3183">
        <f t="shared" si="128"/>
        <v>2.3999999999999998E-3</v>
      </c>
      <c r="AG39" s="3457">
        <f t="shared" si="129"/>
        <v>104.32999999999998</v>
      </c>
      <c r="AH39" s="3457">
        <f t="shared" si="130"/>
        <v>102.98</v>
      </c>
      <c r="AI39" s="3457">
        <f t="shared" si="131"/>
        <v>107.89999999999999</v>
      </c>
      <c r="AJ39" s="3459"/>
      <c r="AK39" s="3457">
        <f t="shared" si="132"/>
        <v>102.98</v>
      </c>
      <c r="AN39" s="3457">
        <f t="shared" si="148"/>
        <v>103.94447326114158</v>
      </c>
      <c r="AO39" s="3457">
        <f t="shared" si="159"/>
        <v>104.82758768427809</v>
      </c>
      <c r="AP39" s="3457">
        <f t="shared" si="160"/>
        <v>105.02111523547921</v>
      </c>
      <c r="AQ39" s="3457"/>
      <c r="AR39" s="3457">
        <f t="shared" si="161"/>
        <v>104.82758768427809</v>
      </c>
    </row>
    <row r="40" spans="1:44" s="3184" customFormat="1" ht="12.75">
      <c r="A40" s="3175" t="s">
        <v>3372</v>
      </c>
      <c r="B40" s="3176">
        <v>2024</v>
      </c>
      <c r="C40" s="3177">
        <v>1</v>
      </c>
      <c r="D40" s="3178"/>
      <c r="E40" s="3178">
        <v>0.25</v>
      </c>
      <c r="F40" s="3178">
        <v>0.4</v>
      </c>
      <c r="G40" s="3178">
        <v>-0.63</v>
      </c>
      <c r="H40" s="3195"/>
      <c r="I40" s="3179">
        <f t="shared" ref="I40:I41" si="176">F40</f>
        <v>0.4</v>
      </c>
      <c r="J40" s="3180"/>
      <c r="K40" s="3181"/>
      <c r="L40" s="3171">
        <f t="shared" ref="L40" si="177">E40/100</f>
        <v>2.5000000000000001E-3</v>
      </c>
      <c r="M40" s="3171">
        <f t="shared" ref="M40" si="178">F40/100</f>
        <v>4.0000000000000001E-3</v>
      </c>
      <c r="N40" s="3171">
        <f t="shared" ref="N40" si="179">G40/100</f>
        <v>-6.3E-3</v>
      </c>
      <c r="O40" s="3171"/>
      <c r="P40" s="3171">
        <f t="shared" ref="P40" si="180">M40</f>
        <v>4.0000000000000001E-3</v>
      </c>
      <c r="Q40" s="3180"/>
      <c r="R40" s="3182"/>
      <c r="S40" s="3182">
        <f>ROUND(IF(项目基本情况!$B$8="出让",SUMPRODUCT(PRODUCT(1+L40:L$52)),SUMPRODUCT(PRODUCT(1+L40:L$51))),4)</f>
        <v>1.0465</v>
      </c>
      <c r="T40" s="3182">
        <f>ROUND(IF(项目基本情况!$B$8="出让",SUMPRODUCT(PRODUCT(1+M40:M$52)),SUMPRODUCT(PRODUCT(1+M40:M$51))),4)</f>
        <v>1.0338000000000001</v>
      </c>
      <c r="U40" s="3182">
        <f>ROUND(IF(项目基本情况!$B$8="出让",SUMPRODUCT(PRODUCT(1+N40:N$52)),SUMPRODUCT(PRODUCT(1+N40:N$51))),4)</f>
        <v>1.0659000000000001</v>
      </c>
      <c r="V40" s="3182"/>
      <c r="W40" s="3182">
        <f t="shared" ref="W40" si="181">T40</f>
        <v>1.0338000000000001</v>
      </c>
      <c r="X40" s="3180"/>
      <c r="Y40" s="3183"/>
      <c r="Z40" s="3211"/>
      <c r="AA40" s="3213"/>
      <c r="AB40" s="3183"/>
      <c r="AC40" s="3212"/>
      <c r="AD40" s="3183"/>
      <c r="AG40" s="3457">
        <f t="shared" si="129"/>
        <v>104.65</v>
      </c>
      <c r="AH40" s="3457">
        <f t="shared" si="130"/>
        <v>103.38000000000001</v>
      </c>
      <c r="AI40" s="3457">
        <f t="shared" si="131"/>
        <v>106.59</v>
      </c>
      <c r="AJ40" s="3459"/>
      <c r="AK40" s="3457">
        <f t="shared" si="132"/>
        <v>103.38000000000001</v>
      </c>
      <c r="AN40" s="3457">
        <f t="shared" si="148"/>
        <v>104.2677031408783</v>
      </c>
      <c r="AO40" s="3457">
        <f t="shared" si="159"/>
        <v>105.23801594646932</v>
      </c>
      <c r="AP40" s="3457">
        <f t="shared" si="160"/>
        <v>103.74505110686478</v>
      </c>
      <c r="AQ40" s="3457"/>
      <c r="AR40" s="3457">
        <f t="shared" si="161"/>
        <v>105.23801594646932</v>
      </c>
    </row>
    <row r="41" spans="1:44" s="3184" customFormat="1" ht="12.75">
      <c r="A41" s="3175" t="s">
        <v>3370</v>
      </c>
      <c r="B41" s="3176">
        <v>2023</v>
      </c>
      <c r="C41" s="3177">
        <v>4</v>
      </c>
      <c r="D41" s="3178"/>
      <c r="E41" s="3178">
        <v>7.0000000000000007E-2</v>
      </c>
      <c r="F41" s="3178">
        <v>0.09</v>
      </c>
      <c r="G41" s="3178">
        <v>0.03</v>
      </c>
      <c r="H41" s="3195"/>
      <c r="I41" s="3179">
        <f t="shared" si="176"/>
        <v>0.09</v>
      </c>
      <c r="J41" s="3180"/>
      <c r="K41" s="3181"/>
      <c r="L41" s="3171">
        <f t="shared" si="175"/>
        <v>7.000000000000001E-4</v>
      </c>
      <c r="M41" s="3171">
        <f t="shared" si="175"/>
        <v>8.9999999999999998E-4</v>
      </c>
      <c r="N41" s="3171">
        <f t="shared" si="175"/>
        <v>2.9999999999999997E-4</v>
      </c>
      <c r="O41" s="3171"/>
      <c r="P41" s="3171">
        <f t="shared" ref="P41" si="182">M41</f>
        <v>8.9999999999999998E-4</v>
      </c>
      <c r="Q41" s="3180"/>
      <c r="R41" s="3182"/>
      <c r="S41" s="3182">
        <f>ROUND(IF(项目基本情况!$B$8="出让",SUMPRODUCT(PRODUCT(1+L41:L$52)),SUMPRODUCT(PRODUCT(1+L41:L$51))),4)</f>
        <v>1.0439000000000001</v>
      </c>
      <c r="T41" s="3182">
        <f>ROUND(IF(项目基本情况!$B$8="出让",SUMPRODUCT(PRODUCT(1+M41:M$52)),SUMPRODUCT(PRODUCT(1+M41:M$51))),4)</f>
        <v>1.0297000000000001</v>
      </c>
      <c r="U41" s="3182">
        <f>ROUND(IF(项目基本情况!$B$8="出让",SUMPRODUCT(PRODUCT(1+N41:N$52)),SUMPRODUCT(PRODUCT(1+N41:N$51))),4)</f>
        <v>1.0727</v>
      </c>
      <c r="V41" s="3182"/>
      <c r="W41" s="3182">
        <f t="shared" ref="W41" si="183">T41</f>
        <v>1.0297000000000001</v>
      </c>
      <c r="X41" s="3180"/>
      <c r="Y41" s="3183"/>
      <c r="Z41" s="3211"/>
      <c r="AA41" s="3213"/>
      <c r="AB41" s="3183"/>
      <c r="AC41" s="3212"/>
      <c r="AD41" s="3183"/>
      <c r="AG41" s="3457">
        <f t="shared" si="129"/>
        <v>104.39</v>
      </c>
      <c r="AH41" s="3457">
        <f t="shared" si="130"/>
        <v>102.97</v>
      </c>
      <c r="AI41" s="3457">
        <f t="shared" si="131"/>
        <v>107.27</v>
      </c>
      <c r="AJ41" s="3459"/>
      <c r="AK41" s="3457">
        <f t="shared" si="132"/>
        <v>102.97</v>
      </c>
      <c r="AN41" s="3457">
        <f t="shared" si="148"/>
        <v>104.00768393105068</v>
      </c>
      <c r="AO41" s="3457">
        <f t="shared" si="159"/>
        <v>104.81874098253915</v>
      </c>
      <c r="AP41" s="3457">
        <f t="shared" si="160"/>
        <v>104.40278867552055</v>
      </c>
      <c r="AQ41" s="3457"/>
      <c r="AR41" s="3457">
        <f t="shared" si="161"/>
        <v>104.81874098253915</v>
      </c>
    </row>
    <row r="42" spans="1:44" s="3184" customFormat="1" ht="12.75">
      <c r="A42" s="3175" t="s">
        <v>3368</v>
      </c>
      <c r="B42" s="3176">
        <v>2023</v>
      </c>
      <c r="C42" s="3177">
        <v>3</v>
      </c>
      <c r="D42" s="3178"/>
      <c r="E42" s="3178">
        <v>0.35</v>
      </c>
      <c r="F42" s="3178">
        <v>0.17</v>
      </c>
      <c r="G42" s="3178">
        <v>0.52</v>
      </c>
      <c r="H42" s="3195"/>
      <c r="I42" s="3179">
        <f t="shared" si="174"/>
        <v>0.17</v>
      </c>
      <c r="J42" s="3180"/>
      <c r="K42" s="3181"/>
      <c r="L42" s="3171">
        <f t="shared" ref="L42:L44" si="184">E42/100</f>
        <v>3.4999999999999996E-3</v>
      </c>
      <c r="M42" s="3171">
        <f t="shared" ref="M42:M44" si="185">F42/100</f>
        <v>1.7000000000000001E-3</v>
      </c>
      <c r="N42" s="3171">
        <f t="shared" ref="N42:N44" si="186">G42/100</f>
        <v>5.1999999999999998E-3</v>
      </c>
      <c r="O42" s="3171"/>
      <c r="P42" s="3171">
        <f t="shared" ref="P42:P44" si="187">M42</f>
        <v>1.7000000000000001E-3</v>
      </c>
      <c r="Q42" s="3180"/>
      <c r="R42" s="3182"/>
      <c r="S42" s="3182">
        <f>ROUND(IF(项目基本情况!$B$8="出让",SUMPRODUCT(PRODUCT(1+L42:L$52)),SUMPRODUCT(PRODUCT(1+L42:L$51))),4)</f>
        <v>1.0431999999999999</v>
      </c>
      <c r="T42" s="3182">
        <f>ROUND(IF(项目基本情况!$B$8="出让",SUMPRODUCT(PRODUCT(1+M42:M$52)),SUMPRODUCT(PRODUCT(1+M42:M$51))),4)</f>
        <v>1.0286999999999999</v>
      </c>
      <c r="U42" s="3182">
        <f>ROUND(IF(项目基本情况!$B$8="出让",SUMPRODUCT(PRODUCT(1+N42:N$52)),SUMPRODUCT(PRODUCT(1+N42:N$51))),4)</f>
        <v>1.0723</v>
      </c>
      <c r="V42" s="3182"/>
      <c r="W42" s="3182">
        <f t="shared" ref="W42:W44" si="188">T42</f>
        <v>1.0286999999999999</v>
      </c>
      <c r="X42" s="3180"/>
      <c r="Y42" s="3183"/>
      <c r="Z42" s="3211"/>
      <c r="AA42" s="3213"/>
      <c r="AB42" s="3183"/>
      <c r="AC42" s="3212"/>
      <c r="AD42" s="3183"/>
      <c r="AG42" s="3457">
        <f t="shared" si="129"/>
        <v>104.32</v>
      </c>
      <c r="AH42" s="3457">
        <f t="shared" si="130"/>
        <v>102.86999999999999</v>
      </c>
      <c r="AI42" s="3457">
        <f t="shared" si="131"/>
        <v>107.23</v>
      </c>
      <c r="AJ42" s="3459"/>
      <c r="AK42" s="3457">
        <f t="shared" si="132"/>
        <v>102.86999999999999</v>
      </c>
      <c r="AN42" s="3457">
        <f t="shared" si="148"/>
        <v>103.9349294804144</v>
      </c>
      <c r="AO42" s="3457">
        <f t="shared" si="159"/>
        <v>104.72448894249092</v>
      </c>
      <c r="AP42" s="3457">
        <f t="shared" si="160"/>
        <v>104.37147723235086</v>
      </c>
      <c r="AQ42" s="3457"/>
      <c r="AR42" s="3457">
        <f t="shared" si="161"/>
        <v>104.72448894249092</v>
      </c>
    </row>
    <row r="43" spans="1:44" s="3184" customFormat="1" ht="12.75">
      <c r="A43" s="3175" t="s">
        <v>3367</v>
      </c>
      <c r="B43" s="3176">
        <v>2023</v>
      </c>
      <c r="C43" s="3177">
        <v>2</v>
      </c>
      <c r="D43" s="3178"/>
      <c r="E43" s="3178">
        <v>0.5</v>
      </c>
      <c r="F43" s="3178">
        <v>0.45</v>
      </c>
      <c r="G43" s="3178">
        <v>0.89</v>
      </c>
      <c r="H43" s="3195"/>
      <c r="I43" s="3179">
        <f t="shared" si="174"/>
        <v>0.45</v>
      </c>
      <c r="J43" s="3180"/>
      <c r="K43" s="3181"/>
      <c r="L43" s="3171">
        <f t="shared" si="184"/>
        <v>5.0000000000000001E-3</v>
      </c>
      <c r="M43" s="3171">
        <f t="shared" si="185"/>
        <v>4.5000000000000005E-3</v>
      </c>
      <c r="N43" s="3171">
        <f t="shared" si="186"/>
        <v>8.8999999999999999E-3</v>
      </c>
      <c r="O43" s="3171"/>
      <c r="P43" s="3171">
        <f t="shared" si="187"/>
        <v>4.5000000000000005E-3</v>
      </c>
      <c r="Q43" s="3180"/>
      <c r="R43" s="3182"/>
      <c r="S43" s="3182">
        <f>ROUND(IF(项目基本情况!$B$8="出让",SUMPRODUCT(PRODUCT(1+L43:L$52)),SUMPRODUCT(PRODUCT(1+L43:L$51))),4)</f>
        <v>1.0396000000000001</v>
      </c>
      <c r="T43" s="3182">
        <f>ROUND(IF(项目基本情况!$B$8="出让",SUMPRODUCT(PRODUCT(1+M43:M$52)),SUMPRODUCT(PRODUCT(1+M43:M$51))),4)</f>
        <v>1.0269999999999999</v>
      </c>
      <c r="U43" s="3182">
        <f>ROUND(IF(项目基本情况!$B$8="出让",SUMPRODUCT(PRODUCT(1+N43:N$52)),SUMPRODUCT(PRODUCT(1+N43:N$51))),4)</f>
        <v>1.0668</v>
      </c>
      <c r="V43" s="3182"/>
      <c r="W43" s="3182">
        <f t="shared" si="188"/>
        <v>1.0269999999999999</v>
      </c>
      <c r="X43" s="3180"/>
      <c r="Y43" s="3183"/>
      <c r="Z43" s="3211"/>
      <c r="AA43" s="3213"/>
      <c r="AB43" s="3183"/>
      <c r="AC43" s="3212"/>
      <c r="AD43" s="3183"/>
      <c r="AG43" s="3457">
        <f t="shared" si="129"/>
        <v>103.96000000000001</v>
      </c>
      <c r="AH43" s="3457">
        <f t="shared" si="130"/>
        <v>102.69999999999999</v>
      </c>
      <c r="AI43" s="3457">
        <f t="shared" si="131"/>
        <v>106.67999999999999</v>
      </c>
      <c r="AJ43" s="3459"/>
      <c r="AK43" s="3457">
        <f t="shared" si="132"/>
        <v>102.69999999999999</v>
      </c>
      <c r="AN43" s="3457">
        <f t="shared" si="148"/>
        <v>103.5724259894513</v>
      </c>
      <c r="AO43" s="3457">
        <f t="shared" si="159"/>
        <v>104.5467594514235</v>
      </c>
      <c r="AP43" s="3457">
        <f t="shared" si="160"/>
        <v>103.83155315593996</v>
      </c>
      <c r="AQ43" s="3457"/>
      <c r="AR43" s="3457">
        <f t="shared" si="161"/>
        <v>104.5467594514235</v>
      </c>
    </row>
    <row r="44" spans="1:44" s="3184" customFormat="1" ht="12.75">
      <c r="A44" s="3175" t="s">
        <v>3365</v>
      </c>
      <c r="B44" s="3176">
        <v>2023</v>
      </c>
      <c r="C44" s="3177">
        <v>1</v>
      </c>
      <c r="D44" s="3178"/>
      <c r="E44" s="3178">
        <v>0.55000000000000004</v>
      </c>
      <c r="F44" s="3178">
        <v>0.59</v>
      </c>
      <c r="G44" s="3178">
        <v>0.64</v>
      </c>
      <c r="H44" s="3195"/>
      <c r="I44" s="3179">
        <f t="shared" si="174"/>
        <v>0.59</v>
      </c>
      <c r="J44" s="3180"/>
      <c r="K44" s="3181"/>
      <c r="L44" s="3171">
        <f t="shared" si="184"/>
        <v>5.5000000000000005E-3</v>
      </c>
      <c r="M44" s="3171">
        <f t="shared" si="185"/>
        <v>5.8999999999999999E-3</v>
      </c>
      <c r="N44" s="3171">
        <f t="shared" si="186"/>
        <v>6.4000000000000003E-3</v>
      </c>
      <c r="O44" s="3171"/>
      <c r="P44" s="3171">
        <f t="shared" si="187"/>
        <v>5.8999999999999999E-3</v>
      </c>
      <c r="Q44" s="3180"/>
      <c r="R44" s="3182"/>
      <c r="S44" s="3182">
        <f>ROUND(IF(项目基本情况!$B$8="出让",SUMPRODUCT(PRODUCT(1+L44:L$52)),SUMPRODUCT(PRODUCT(1+L44:L$51))),4)</f>
        <v>1.0344</v>
      </c>
      <c r="T44" s="3182">
        <f>ROUND(IF(项目基本情况!$B$8="出让",SUMPRODUCT(PRODUCT(1+M44:M$52)),SUMPRODUCT(PRODUCT(1+M44:M$51))),4)</f>
        <v>1.0224</v>
      </c>
      <c r="U44" s="3182">
        <f>ROUND(IF(项目基本情况!$B$8="出让",SUMPRODUCT(PRODUCT(1+N44:N$52)),SUMPRODUCT(PRODUCT(1+N44:N$51))),4)</f>
        <v>1.0573999999999999</v>
      </c>
      <c r="V44" s="3182"/>
      <c r="W44" s="3182">
        <f t="shared" si="188"/>
        <v>1.0224</v>
      </c>
      <c r="X44" s="3180"/>
      <c r="Y44" s="3183"/>
      <c r="Z44" s="3211"/>
      <c r="AA44" s="3213"/>
      <c r="AB44" s="3183"/>
      <c r="AC44" s="3212"/>
      <c r="AD44" s="3183"/>
      <c r="AG44" s="3457">
        <f t="shared" si="129"/>
        <v>103.44</v>
      </c>
      <c r="AH44" s="3457">
        <f t="shared" si="130"/>
        <v>102.24</v>
      </c>
      <c r="AI44" s="3457">
        <f t="shared" si="131"/>
        <v>105.74</v>
      </c>
      <c r="AJ44" s="3459"/>
      <c r="AK44" s="3457">
        <f t="shared" si="132"/>
        <v>102.24</v>
      </c>
      <c r="AN44" s="3457">
        <f t="shared" si="148"/>
        <v>103.05714028801125</v>
      </c>
      <c r="AO44" s="3457">
        <f t="shared" si="159"/>
        <v>104.07840662162619</v>
      </c>
      <c r="AP44" s="3457">
        <f t="shared" si="160"/>
        <v>102.91560427786695</v>
      </c>
      <c r="AQ44" s="3457"/>
      <c r="AR44" s="3457">
        <f t="shared" si="161"/>
        <v>104.07840662162619</v>
      </c>
    </row>
    <row r="45" spans="1:44" s="3184" customFormat="1" ht="12.75">
      <c r="A45" s="3175" t="s">
        <v>3364</v>
      </c>
      <c r="B45" s="3176">
        <v>2022</v>
      </c>
      <c r="C45" s="3177">
        <v>4</v>
      </c>
      <c r="D45" s="3178"/>
      <c r="E45" s="3178">
        <v>0.45</v>
      </c>
      <c r="F45" s="3178">
        <v>0.2</v>
      </c>
      <c r="G45" s="3178">
        <v>0.38</v>
      </c>
      <c r="H45" s="3195"/>
      <c r="I45" s="3179">
        <f t="shared" si="174"/>
        <v>0.2</v>
      </c>
      <c r="J45" s="3180"/>
      <c r="K45" s="3181"/>
      <c r="L45" s="3171">
        <f t="shared" si="175"/>
        <v>4.5000000000000005E-3</v>
      </c>
      <c r="M45" s="3171">
        <f t="shared" si="175"/>
        <v>2E-3</v>
      </c>
      <c r="N45" s="3171">
        <f t="shared" si="175"/>
        <v>3.8E-3</v>
      </c>
      <c r="O45" s="3171"/>
      <c r="P45" s="3171">
        <f t="shared" ref="P45:P52" si="189">M45</f>
        <v>2E-3</v>
      </c>
      <c r="Q45" s="3180"/>
      <c r="R45" s="3182"/>
      <c r="S45" s="3182">
        <f>ROUND(IF(项目基本情况!$B$8="出让",SUMPRODUCT(PRODUCT(1+L45:L$52)),SUMPRODUCT(PRODUCT(1+L45:L$51))),4)</f>
        <v>1.0286999999999999</v>
      </c>
      <c r="T45" s="3182">
        <f>ROUND(IF(项目基本情况!$B$8="出让",SUMPRODUCT(PRODUCT(1+M45:M$52)),SUMPRODUCT(PRODUCT(1+M45:M$51))),4)</f>
        <v>1.0164</v>
      </c>
      <c r="U45" s="3182">
        <f>ROUND(IF(项目基本情况!$B$8="出让",SUMPRODUCT(PRODUCT(1+N45:N$52)),SUMPRODUCT(PRODUCT(1+N45:N$51))),4)</f>
        <v>1.0506</v>
      </c>
      <c r="V45" s="3182"/>
      <c r="W45" s="3182">
        <f t="shared" ref="W45:W52" si="190">T45</f>
        <v>1.0164</v>
      </c>
      <c r="X45" s="3180"/>
      <c r="Y45" s="3183"/>
      <c r="Z45" s="3211">
        <f t="shared" ref="Z45:AD52" si="191">IF(E45=0,0,ROUND(AVERAGE(E45:E53)/100,4))</f>
        <v>4.0000000000000001E-3</v>
      </c>
      <c r="AA45" s="3213">
        <f t="shared" si="191"/>
        <v>2.5999999999999999E-3</v>
      </c>
      <c r="AB45" s="3183">
        <f t="shared" si="191"/>
        <v>7.4000000000000003E-3</v>
      </c>
      <c r="AC45" s="3212"/>
      <c r="AD45" s="3183">
        <f t="shared" si="191"/>
        <v>2.5999999999999999E-3</v>
      </c>
      <c r="AG45" s="3457">
        <f t="shared" si="129"/>
        <v>102.86999999999999</v>
      </c>
      <c r="AH45" s="3457">
        <f t="shared" si="130"/>
        <v>101.64</v>
      </c>
      <c r="AI45" s="3457">
        <f t="shared" si="131"/>
        <v>105.06</v>
      </c>
      <c r="AJ45" s="3459"/>
      <c r="AK45" s="3457">
        <f t="shared" si="132"/>
        <v>101.64</v>
      </c>
      <c r="AN45" s="3457">
        <f t="shared" si="148"/>
        <v>102.49342644257707</v>
      </c>
      <c r="AO45" s="3457">
        <f t="shared" si="159"/>
        <v>103.46794574174986</v>
      </c>
      <c r="AP45" s="3457">
        <f t="shared" si="160"/>
        <v>102.26113302649736</v>
      </c>
      <c r="AQ45" s="3457"/>
      <c r="AR45" s="3457">
        <f t="shared" si="161"/>
        <v>103.46794574174986</v>
      </c>
    </row>
    <row r="46" spans="1:44" s="3184" customFormat="1" ht="12.75">
      <c r="A46" s="3175" t="s">
        <v>3363</v>
      </c>
      <c r="B46" s="3176">
        <v>2022</v>
      </c>
      <c r="C46" s="3177">
        <v>3</v>
      </c>
      <c r="D46" s="3178"/>
      <c r="E46" s="3178">
        <v>0.3</v>
      </c>
      <c r="F46" s="3178">
        <v>0.28999999999999998</v>
      </c>
      <c r="G46" s="3178">
        <v>0.83</v>
      </c>
      <c r="H46" s="3195"/>
      <c r="I46" s="3179">
        <f t="shared" si="174"/>
        <v>0.28999999999999998</v>
      </c>
      <c r="J46" s="3180"/>
      <c r="K46" s="3181"/>
      <c r="L46" s="3171">
        <f t="shared" si="175"/>
        <v>3.0000000000000001E-3</v>
      </c>
      <c r="M46" s="3171">
        <f t="shared" si="175"/>
        <v>2.8999999999999998E-3</v>
      </c>
      <c r="N46" s="3171">
        <f t="shared" si="175"/>
        <v>8.3000000000000001E-3</v>
      </c>
      <c r="O46" s="3171"/>
      <c r="P46" s="3171">
        <f t="shared" si="189"/>
        <v>2.8999999999999998E-3</v>
      </c>
      <c r="Q46" s="3180"/>
      <c r="R46" s="3182"/>
      <c r="S46" s="3182">
        <f>ROUND(IF(项目基本情况!$B$8="出让",SUMPRODUCT(PRODUCT(1+L46:L$52)),SUMPRODUCT(PRODUCT(1+L46:L$51))),4)</f>
        <v>1.0241</v>
      </c>
      <c r="T46" s="3182">
        <f>ROUND(IF(项目基本情况!$B$8="出让",SUMPRODUCT(PRODUCT(1+M46:M$52)),SUMPRODUCT(PRODUCT(1+M46:M$51))),4)</f>
        <v>1.0144</v>
      </c>
      <c r="U46" s="3182">
        <f>ROUND(IF(项目基本情况!$B$8="出让",SUMPRODUCT(PRODUCT(1+N46:N$52)),SUMPRODUCT(PRODUCT(1+N46:N$51))),4)</f>
        <v>1.0467</v>
      </c>
      <c r="V46" s="3182"/>
      <c r="W46" s="3182">
        <f t="shared" si="190"/>
        <v>1.0144</v>
      </c>
      <c r="X46" s="3180"/>
      <c r="Y46" s="3183"/>
      <c r="Z46" s="3211">
        <f t="shared" si="191"/>
        <v>3.8999999999999998E-3</v>
      </c>
      <c r="AA46" s="3213">
        <f t="shared" si="191"/>
        <v>2.7000000000000001E-3</v>
      </c>
      <c r="AB46" s="3183">
        <f t="shared" si="191"/>
        <v>7.9000000000000008E-3</v>
      </c>
      <c r="AC46" s="3212"/>
      <c r="AD46" s="3183">
        <f t="shared" si="191"/>
        <v>2.7000000000000001E-3</v>
      </c>
      <c r="AG46" s="3457">
        <f t="shared" si="129"/>
        <v>102.41</v>
      </c>
      <c r="AH46" s="3457">
        <f t="shared" si="130"/>
        <v>101.44</v>
      </c>
      <c r="AI46" s="3457">
        <f t="shared" si="131"/>
        <v>104.67</v>
      </c>
      <c r="AJ46" s="3459"/>
      <c r="AK46" s="3457">
        <f t="shared" si="132"/>
        <v>101.44</v>
      </c>
      <c r="AN46" s="3457">
        <f t="shared" si="148"/>
        <v>102.03427221759789</v>
      </c>
      <c r="AO46" s="3457">
        <f t="shared" si="159"/>
        <v>103.26142289595795</v>
      </c>
      <c r="AP46" s="3457">
        <f t="shared" si="160"/>
        <v>101.87401178172679</v>
      </c>
      <c r="AQ46" s="3457"/>
      <c r="AR46" s="3457">
        <f t="shared" si="161"/>
        <v>103.26142289595795</v>
      </c>
    </row>
    <row r="47" spans="1:44" s="3184" customFormat="1" ht="12.75">
      <c r="A47" s="3175" t="s">
        <v>3353</v>
      </c>
      <c r="B47" s="3176">
        <v>2022</v>
      </c>
      <c r="C47" s="3177">
        <v>2</v>
      </c>
      <c r="D47" s="3178"/>
      <c r="E47" s="3178">
        <v>-0.11</v>
      </c>
      <c r="F47" s="3178">
        <v>-0.13</v>
      </c>
      <c r="G47" s="3178">
        <v>0.53</v>
      </c>
      <c r="H47" s="3195"/>
      <c r="I47" s="3179">
        <f t="shared" si="174"/>
        <v>-0.13</v>
      </c>
      <c r="J47" s="3180"/>
      <c r="K47" s="3181"/>
      <c r="L47" s="3171">
        <f t="shared" si="175"/>
        <v>-1.1000000000000001E-3</v>
      </c>
      <c r="M47" s="3171">
        <f t="shared" si="175"/>
        <v>-1.2999999999999999E-3</v>
      </c>
      <c r="N47" s="3171">
        <f t="shared" si="175"/>
        <v>5.3E-3</v>
      </c>
      <c r="O47" s="3171"/>
      <c r="P47" s="3171">
        <f t="shared" si="189"/>
        <v>-1.2999999999999999E-3</v>
      </c>
      <c r="Q47" s="3180"/>
      <c r="R47" s="3182"/>
      <c r="S47" s="3182">
        <f>ROUND(IF(项目基本情况!$B$8="出让",SUMPRODUCT(PRODUCT(1+L47:L$52)),SUMPRODUCT(PRODUCT(1+L47:L$51))),4)</f>
        <v>1.0210999999999999</v>
      </c>
      <c r="T47" s="3182">
        <f>ROUND(IF(项目基本情况!$B$8="出让",SUMPRODUCT(PRODUCT(1+M47:M$52)),SUMPRODUCT(PRODUCT(1+M47:M$51))),4)</f>
        <v>1.0114000000000001</v>
      </c>
      <c r="U47" s="3182">
        <f>ROUND(IF(项目基本情况!$B$8="出让",SUMPRODUCT(PRODUCT(1+N47:N$52)),SUMPRODUCT(PRODUCT(1+N47:N$51))),4)</f>
        <v>1.0381</v>
      </c>
      <c r="V47" s="3182"/>
      <c r="W47" s="3182">
        <f t="shared" si="190"/>
        <v>1.0114000000000001</v>
      </c>
      <c r="X47" s="3180"/>
      <c r="Y47" s="3183"/>
      <c r="Z47" s="3211">
        <f t="shared" si="191"/>
        <v>4.1000000000000003E-3</v>
      </c>
      <c r="AA47" s="3213">
        <f t="shared" si="191"/>
        <v>2.7000000000000001E-3</v>
      </c>
      <c r="AB47" s="3183">
        <f t="shared" si="191"/>
        <v>7.9000000000000008E-3</v>
      </c>
      <c r="AC47" s="3212"/>
      <c r="AD47" s="3183">
        <f t="shared" si="191"/>
        <v>2.7000000000000001E-3</v>
      </c>
      <c r="AG47" s="3457">
        <f t="shared" si="129"/>
        <v>102.10999999999999</v>
      </c>
      <c r="AH47" s="3457">
        <f t="shared" si="130"/>
        <v>101.14000000000001</v>
      </c>
      <c r="AI47" s="3457">
        <f t="shared" si="131"/>
        <v>103.81</v>
      </c>
      <c r="AJ47" s="3459"/>
      <c r="AK47" s="3457">
        <f t="shared" si="132"/>
        <v>101.14000000000001</v>
      </c>
      <c r="AN47" s="3457">
        <f t="shared" si="148"/>
        <v>101.72908496270976</v>
      </c>
      <c r="AO47" s="3457">
        <f t="shared" si="159"/>
        <v>102.96283068696576</v>
      </c>
      <c r="AP47" s="3457">
        <f t="shared" si="160"/>
        <v>101.03541781387166</v>
      </c>
      <c r="AQ47" s="3457"/>
      <c r="AR47" s="3457">
        <f t="shared" si="161"/>
        <v>102.96283068696576</v>
      </c>
    </row>
    <row r="48" spans="1:44" s="3184" customFormat="1" ht="12.75">
      <c r="A48" s="3175" t="s">
        <v>2835</v>
      </c>
      <c r="B48" s="3176">
        <v>2022</v>
      </c>
      <c r="C48" s="3177">
        <v>1</v>
      </c>
      <c r="D48" s="3178"/>
      <c r="E48" s="3178">
        <v>0.6</v>
      </c>
      <c r="F48" s="3178">
        <v>0.45</v>
      </c>
      <c r="G48" s="3178">
        <v>0.53</v>
      </c>
      <c r="H48" s="3195"/>
      <c r="I48" s="3179">
        <f t="shared" si="174"/>
        <v>0.45</v>
      </c>
      <c r="J48" s="3180"/>
      <c r="K48" s="3181"/>
      <c r="L48" s="3171">
        <f t="shared" si="175"/>
        <v>6.0000000000000001E-3</v>
      </c>
      <c r="M48" s="3171">
        <f t="shared" si="175"/>
        <v>4.5000000000000005E-3</v>
      </c>
      <c r="N48" s="3171">
        <f t="shared" si="175"/>
        <v>5.3E-3</v>
      </c>
      <c r="O48" s="3171"/>
      <c r="P48" s="3171">
        <f t="shared" si="189"/>
        <v>4.5000000000000005E-3</v>
      </c>
      <c r="Q48" s="3180"/>
      <c r="R48" s="3182"/>
      <c r="S48" s="3182">
        <f>ROUND(IF(项目基本情况!$B$8="出让",SUMPRODUCT(PRODUCT(1+L48:L$52)),SUMPRODUCT(PRODUCT(1+L48:L$51))),4)</f>
        <v>1.0222</v>
      </c>
      <c r="T48" s="3182">
        <f>ROUND(IF(项目基本情况!$B$8="出让",SUMPRODUCT(PRODUCT(1+M48:M$52)),SUMPRODUCT(PRODUCT(1+M48:M$51))),4)</f>
        <v>1.0127999999999999</v>
      </c>
      <c r="U48" s="3182">
        <f>ROUND(IF(项目基本情况!$B$8="出让",SUMPRODUCT(PRODUCT(1+N48:N$52)),SUMPRODUCT(PRODUCT(1+N48:N$51))),4)</f>
        <v>1.0326</v>
      </c>
      <c r="V48" s="3182"/>
      <c r="W48" s="3182">
        <f t="shared" si="190"/>
        <v>1.0127999999999999</v>
      </c>
      <c r="X48" s="3180"/>
      <c r="Y48" s="3183"/>
      <c r="Z48" s="3211">
        <f t="shared" si="191"/>
        <v>5.1000000000000004E-3</v>
      </c>
      <c r="AA48" s="3213">
        <f t="shared" si="191"/>
        <v>3.5000000000000001E-3</v>
      </c>
      <c r="AB48" s="3183">
        <f t="shared" si="191"/>
        <v>8.3999999999999995E-3</v>
      </c>
      <c r="AC48" s="3212"/>
      <c r="AD48" s="3183">
        <f t="shared" si="191"/>
        <v>3.5000000000000001E-3</v>
      </c>
      <c r="AG48" s="3457">
        <f t="shared" si="129"/>
        <v>102.22</v>
      </c>
      <c r="AH48" s="3457">
        <f t="shared" si="130"/>
        <v>101.27999999999999</v>
      </c>
      <c r="AI48" s="3457">
        <f t="shared" si="131"/>
        <v>103.25999999999999</v>
      </c>
      <c r="AJ48" s="3459"/>
      <c r="AK48" s="3457">
        <f t="shared" si="132"/>
        <v>101.27999999999999</v>
      </c>
      <c r="AN48" s="3457">
        <f t="shared" si="148"/>
        <v>101.84111018391206</v>
      </c>
      <c r="AO48" s="3457">
        <f t="shared" si="159"/>
        <v>103.09685660054646</v>
      </c>
      <c r="AP48" s="3457">
        <f t="shared" si="160"/>
        <v>100.50275322179613</v>
      </c>
      <c r="AQ48" s="3457"/>
      <c r="AR48" s="3457">
        <f t="shared" si="161"/>
        <v>103.09685660054646</v>
      </c>
    </row>
    <row r="49" spans="1:44" s="3184" customFormat="1" ht="12.75">
      <c r="A49" s="3175" t="s">
        <v>2836</v>
      </c>
      <c r="B49" s="3176">
        <v>2021</v>
      </c>
      <c r="C49" s="3177">
        <v>4</v>
      </c>
      <c r="D49" s="3178"/>
      <c r="E49" s="3178">
        <v>0.57999999999999996</v>
      </c>
      <c r="F49" s="3178">
        <v>0.08</v>
      </c>
      <c r="G49" s="3178">
        <v>0.68</v>
      </c>
      <c r="H49" s="3195"/>
      <c r="I49" s="3179">
        <f t="shared" si="174"/>
        <v>0.08</v>
      </c>
      <c r="J49" s="3180"/>
      <c r="K49" s="3181"/>
      <c r="L49" s="3171">
        <f t="shared" si="175"/>
        <v>5.7999999999999996E-3</v>
      </c>
      <c r="M49" s="3171">
        <f t="shared" si="175"/>
        <v>8.0000000000000004E-4</v>
      </c>
      <c r="N49" s="3171">
        <f t="shared" si="175"/>
        <v>6.8000000000000005E-3</v>
      </c>
      <c r="O49" s="3171"/>
      <c r="P49" s="3171">
        <f t="shared" si="189"/>
        <v>8.0000000000000004E-4</v>
      </c>
      <c r="Q49" s="3180"/>
      <c r="R49" s="3182"/>
      <c r="S49" s="3182">
        <f>ROUND(IF(项目基本情况!$B$8="出让",SUMPRODUCT(PRODUCT(1+L49:L$52)),SUMPRODUCT(PRODUCT(1+L49:L$51))),4)</f>
        <v>1.0161</v>
      </c>
      <c r="T49" s="3182">
        <f>ROUND(IF(项目基本情况!$B$8="出让",SUMPRODUCT(PRODUCT(1+M49:M$52)),SUMPRODUCT(PRODUCT(1+M49:M$51))),4)</f>
        <v>1.0082</v>
      </c>
      <c r="U49" s="3182">
        <f>ROUND(IF(项目基本情况!$B$8="出让",SUMPRODUCT(PRODUCT(1+N49:N$52)),SUMPRODUCT(PRODUCT(1+N49:N$51))),4)</f>
        <v>1.0270999999999999</v>
      </c>
      <c r="V49" s="3182"/>
      <c r="W49" s="3182">
        <f t="shared" si="190"/>
        <v>1.0082</v>
      </c>
      <c r="X49" s="3180"/>
      <c r="Y49" s="3183"/>
      <c r="Z49" s="3211">
        <f t="shared" si="191"/>
        <v>4.8999999999999998E-3</v>
      </c>
      <c r="AA49" s="3213">
        <f t="shared" si="191"/>
        <v>3.3E-3</v>
      </c>
      <c r="AB49" s="3183">
        <f t="shared" si="191"/>
        <v>9.1999999999999998E-3</v>
      </c>
      <c r="AC49" s="3212"/>
      <c r="AD49" s="3183">
        <f t="shared" si="191"/>
        <v>3.3E-3</v>
      </c>
      <c r="AG49" s="3457">
        <f t="shared" si="129"/>
        <v>101.61</v>
      </c>
      <c r="AH49" s="3457">
        <f t="shared" si="130"/>
        <v>100.82</v>
      </c>
      <c r="AI49" s="3457">
        <f t="shared" si="131"/>
        <v>102.71</v>
      </c>
      <c r="AJ49" s="3459"/>
      <c r="AK49" s="3457">
        <f t="shared" si="132"/>
        <v>100.82</v>
      </c>
      <c r="AN49" s="3457">
        <f t="shared" si="148"/>
        <v>101.23370793629429</v>
      </c>
      <c r="AO49" s="3457">
        <f t="shared" si="159"/>
        <v>102.63499910457587</v>
      </c>
      <c r="AP49" s="3457">
        <f t="shared" si="160"/>
        <v>99.972896868393633</v>
      </c>
      <c r="AQ49" s="3457"/>
      <c r="AR49" s="3457">
        <f t="shared" si="161"/>
        <v>102.63499910457587</v>
      </c>
    </row>
    <row r="50" spans="1:44" s="3184" customFormat="1" ht="12.75">
      <c r="A50" s="3175" t="s">
        <v>2837</v>
      </c>
      <c r="B50" s="3176">
        <v>2021</v>
      </c>
      <c r="C50" s="3177">
        <v>3</v>
      </c>
      <c r="D50" s="3178"/>
      <c r="E50" s="3178">
        <v>0.47</v>
      </c>
      <c r="F50" s="3178">
        <v>0.28000000000000003</v>
      </c>
      <c r="G50" s="3178">
        <v>0.91</v>
      </c>
      <c r="H50" s="3195"/>
      <c r="I50" s="3179">
        <f t="shared" si="174"/>
        <v>0.28000000000000003</v>
      </c>
      <c r="J50" s="3180"/>
      <c r="K50" s="3181"/>
      <c r="L50" s="3171">
        <f t="shared" si="175"/>
        <v>4.6999999999999993E-3</v>
      </c>
      <c r="M50" s="3171">
        <f t="shared" si="175"/>
        <v>2.8000000000000004E-3</v>
      </c>
      <c r="N50" s="3171">
        <f t="shared" si="175"/>
        <v>9.1000000000000004E-3</v>
      </c>
      <c r="O50" s="3171"/>
      <c r="P50" s="3171">
        <f t="shared" si="189"/>
        <v>2.8000000000000004E-3</v>
      </c>
      <c r="Q50" s="3180"/>
      <c r="R50" s="3182"/>
      <c r="S50" s="3182">
        <f>ROUND(IF(项目基本情况!$B$8="出让",SUMPRODUCT(PRODUCT(1+L50:L$52)),SUMPRODUCT(PRODUCT(1+L50:L$51))),4)</f>
        <v>1.0102</v>
      </c>
      <c r="T50" s="3182">
        <f>ROUND(IF(项目基本情况!$B$8="出让",SUMPRODUCT(PRODUCT(1+M50:M$52)),SUMPRODUCT(PRODUCT(1+M50:M$51))),4)</f>
        <v>1.0074000000000001</v>
      </c>
      <c r="U50" s="3182">
        <f>ROUND(IF(项目基本情况!$B$8="出让",SUMPRODUCT(PRODUCT(1+N50:N$52)),SUMPRODUCT(PRODUCT(1+N50:N$51))),4)</f>
        <v>1.0202</v>
      </c>
      <c r="V50" s="3182"/>
      <c r="W50" s="3182">
        <f t="shared" si="190"/>
        <v>1.0074000000000001</v>
      </c>
      <c r="X50" s="3180"/>
      <c r="Y50" s="3183"/>
      <c r="Z50" s="3211">
        <f t="shared" si="191"/>
        <v>4.5999999999999999E-3</v>
      </c>
      <c r="AA50" s="3213">
        <f t="shared" si="191"/>
        <v>4.1000000000000003E-3</v>
      </c>
      <c r="AB50" s="3183">
        <f t="shared" si="191"/>
        <v>0.01</v>
      </c>
      <c r="AC50" s="3212"/>
      <c r="AD50" s="3183">
        <f t="shared" si="191"/>
        <v>4.1000000000000003E-3</v>
      </c>
      <c r="AG50" s="3457">
        <f t="shared" si="129"/>
        <v>101.02</v>
      </c>
      <c r="AH50" s="3457">
        <f t="shared" si="130"/>
        <v>100.74000000000001</v>
      </c>
      <c r="AI50" s="3457">
        <f t="shared" si="131"/>
        <v>102.02</v>
      </c>
      <c r="AJ50" s="3459"/>
      <c r="AK50" s="3457">
        <f t="shared" si="132"/>
        <v>100.74000000000001</v>
      </c>
      <c r="AN50" s="3457">
        <f t="shared" si="148"/>
        <v>100.649938294188</v>
      </c>
      <c r="AO50" s="3457">
        <f t="shared" si="159"/>
        <v>102.55295673918452</v>
      </c>
      <c r="AP50" s="3457">
        <f t="shared" si="160"/>
        <v>99.297672694073938</v>
      </c>
      <c r="AQ50" s="3457"/>
      <c r="AR50" s="3457">
        <f t="shared" si="161"/>
        <v>102.55295673918452</v>
      </c>
    </row>
    <row r="51" spans="1:44" s="3184" customFormat="1" ht="12.75">
      <c r="A51" s="3175" t="s">
        <v>2838</v>
      </c>
      <c r="B51" s="3176">
        <v>2021</v>
      </c>
      <c r="C51" s="3177">
        <v>2</v>
      </c>
      <c r="D51" s="3178"/>
      <c r="E51" s="3178">
        <v>0.55000000000000004</v>
      </c>
      <c r="F51" s="3178">
        <v>0.46</v>
      </c>
      <c r="G51" s="3178">
        <v>1.1000000000000001</v>
      </c>
      <c r="H51" s="3195"/>
      <c r="I51" s="3179">
        <f t="shared" si="174"/>
        <v>0.46</v>
      </c>
      <c r="J51" s="3180"/>
      <c r="K51" s="3181"/>
      <c r="L51" s="3171">
        <f t="shared" si="175"/>
        <v>5.5000000000000005E-3</v>
      </c>
      <c r="M51" s="3171">
        <f t="shared" si="175"/>
        <v>4.5999999999999999E-3</v>
      </c>
      <c r="N51" s="3171">
        <f t="shared" si="175"/>
        <v>1.1000000000000001E-2</v>
      </c>
      <c r="O51" s="3171"/>
      <c r="P51" s="3171">
        <f t="shared" si="189"/>
        <v>4.5999999999999999E-3</v>
      </c>
      <c r="Q51" s="3180"/>
      <c r="R51" s="3182"/>
      <c r="S51" s="3182">
        <f>ROUND(IF(项目基本情况!$B$8="出让",SUMPRODUCT(PRODUCT(1+L51:L$52)),SUMPRODUCT(PRODUCT(1+L51:L$51))),4)</f>
        <v>1.0055000000000001</v>
      </c>
      <c r="T51" s="3182">
        <f>ROUND(IF(项目基本情况!$B$8="出让",SUMPRODUCT(PRODUCT(1+M51:M$52)),SUMPRODUCT(PRODUCT(1+M51:M$51))),4)</f>
        <v>1.0045999999999999</v>
      </c>
      <c r="U51" s="3182">
        <f>ROUND(IF(项目基本情况!$B$8="出让",SUMPRODUCT(PRODUCT(1+N51:N$52)),SUMPRODUCT(PRODUCT(1+N51:N$51))),4)</f>
        <v>1.0109999999999999</v>
      </c>
      <c r="V51" s="3182"/>
      <c r="W51" s="3182">
        <f t="shared" si="190"/>
        <v>1.0045999999999999</v>
      </c>
      <c r="X51" s="3180"/>
      <c r="Y51" s="3183"/>
      <c r="Z51" s="3211">
        <f t="shared" si="191"/>
        <v>4.4999999999999997E-3</v>
      </c>
      <c r="AA51" s="3213">
        <f t="shared" si="191"/>
        <v>4.7000000000000002E-3</v>
      </c>
      <c r="AB51" s="3183">
        <f t="shared" si="191"/>
        <v>1.04E-2</v>
      </c>
      <c r="AC51" s="3212"/>
      <c r="AD51" s="3183">
        <f t="shared" si="191"/>
        <v>4.7000000000000002E-3</v>
      </c>
      <c r="AG51" s="3457">
        <f>$AG$52*S51</f>
        <v>100.55000000000001</v>
      </c>
      <c r="AH51" s="3457">
        <f t="shared" ref="AH51:AK51" si="192">$AG$52*T51</f>
        <v>100.46</v>
      </c>
      <c r="AI51" s="3457">
        <f t="shared" si="192"/>
        <v>101.1</v>
      </c>
      <c r="AJ51" s="3459"/>
      <c r="AK51" s="3457">
        <f t="shared" si="192"/>
        <v>100.46</v>
      </c>
      <c r="AN51" s="3457">
        <f t="shared" si="148"/>
        <v>100.1790965404479</v>
      </c>
      <c r="AO51" s="3457">
        <f t="shared" si="159"/>
        <v>102.26661023053903</v>
      </c>
      <c r="AP51" s="3457">
        <f t="shared" si="160"/>
        <v>98.402212559779926</v>
      </c>
      <c r="AQ51" s="3457"/>
      <c r="AR51" s="3457">
        <f t="shared" si="161"/>
        <v>102.26661023053903</v>
      </c>
    </row>
    <row r="52" spans="1:44" s="3206" customFormat="1" ht="14.25" thickBot="1">
      <c r="A52" s="3196" t="s">
        <v>2824</v>
      </c>
      <c r="B52" s="3197">
        <v>2021</v>
      </c>
      <c r="C52" s="3198">
        <v>1</v>
      </c>
      <c r="D52" s="3199"/>
      <c r="E52" s="3199">
        <v>0.35</v>
      </c>
      <c r="F52" s="3199">
        <v>0.48</v>
      </c>
      <c r="G52" s="3199">
        <v>0.98</v>
      </c>
      <c r="H52" s="3200"/>
      <c r="I52" s="3201">
        <f t="shared" si="174"/>
        <v>0.48</v>
      </c>
      <c r="J52" s="3202"/>
      <c r="K52" s="3203"/>
      <c r="L52" s="3204">
        <f t="shared" si="175"/>
        <v>3.4999999999999996E-3</v>
      </c>
      <c r="M52" s="3204">
        <f>F52/100</f>
        <v>4.7999999999999996E-3</v>
      </c>
      <c r="N52" s="3204">
        <f t="shared" si="175"/>
        <v>9.7999999999999997E-3</v>
      </c>
      <c r="O52" s="3204"/>
      <c r="P52" s="3204">
        <f t="shared" si="189"/>
        <v>4.7999999999999996E-3</v>
      </c>
      <c r="Q52" s="3202"/>
      <c r="R52" s="3205"/>
      <c r="S52" s="3205">
        <v>1</v>
      </c>
      <c r="T52" s="3205">
        <v>1</v>
      </c>
      <c r="U52" s="3205">
        <v>1</v>
      </c>
      <c r="V52" s="3205"/>
      <c r="W52" s="3205">
        <f t="shared" si="190"/>
        <v>1</v>
      </c>
      <c r="X52" s="3202"/>
      <c r="Y52" s="3204"/>
      <c r="Z52" s="3217">
        <f t="shared" si="191"/>
        <v>3.5000000000000001E-3</v>
      </c>
      <c r="AA52" s="3218">
        <f t="shared" si="191"/>
        <v>4.7999999999999996E-3</v>
      </c>
      <c r="AB52" s="3204">
        <f t="shared" si="191"/>
        <v>9.7999999999999997E-3</v>
      </c>
      <c r="AC52" s="3219"/>
      <c r="AD52" s="3204">
        <f t="shared" si="191"/>
        <v>4.7999999999999996E-3</v>
      </c>
      <c r="AG52" s="3461">
        <v>100</v>
      </c>
      <c r="AH52" s="3461">
        <v>100</v>
      </c>
      <c r="AI52" s="3461">
        <v>100</v>
      </c>
      <c r="AJ52" s="3461"/>
      <c r="AK52" s="3461">
        <v>100</v>
      </c>
      <c r="AN52" s="3464">
        <f t="shared" si="148"/>
        <v>99.631125351017303</v>
      </c>
      <c r="AO52" s="3464">
        <f t="shared" si="159"/>
        <v>101.79833787630803</v>
      </c>
      <c r="AP52" s="3464">
        <f t="shared" si="160"/>
        <v>97.331565341028622</v>
      </c>
      <c r="AQ52" s="3464"/>
      <c r="AR52" s="3464">
        <f t="shared" si="161"/>
        <v>101.79833787630803</v>
      </c>
    </row>
    <row r="53" spans="1:44" ht="14.25" thickTop="1"/>
    <row r="54" spans="1:44">
      <c r="A54" s="3447"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5" sqref="G35"/>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4" t="s">
        <v>452</v>
      </c>
      <c r="C1" s="3814"/>
      <c r="D1" s="3814"/>
      <c r="E1" s="3814"/>
      <c r="F1" s="3814"/>
      <c r="G1" s="3810" t="s">
        <v>453</v>
      </c>
      <c r="H1" s="3810"/>
      <c r="I1" s="3810"/>
      <c r="J1" s="3810"/>
      <c r="K1" s="3810"/>
      <c r="L1" s="3810"/>
      <c r="N1" s="3810" t="s">
        <v>454</v>
      </c>
      <c r="O1" s="3810"/>
      <c r="P1" s="3810"/>
      <c r="Q1" s="3810"/>
      <c r="S1" s="3810" t="s">
        <v>455</v>
      </c>
      <c r="T1" s="3810"/>
      <c r="U1" s="3810"/>
      <c r="V1" s="3810"/>
      <c r="X1" s="3809" t="s">
        <v>456</v>
      </c>
      <c r="Y1" s="3810"/>
      <c r="Z1" s="3810"/>
      <c r="AA1" s="3810"/>
      <c r="AB1" s="3810"/>
      <c r="AD1" s="3809" t="s">
        <v>457</v>
      </c>
      <c r="AE1" s="3810"/>
      <c r="AF1" s="3810"/>
      <c r="AG1" s="3810"/>
      <c r="AH1" s="381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5" sqref="G35"/>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22" t="s">
        <v>2839</v>
      </c>
      <c r="B1" s="3822"/>
      <c r="C1" s="3822"/>
      <c r="D1" s="3822"/>
      <c r="E1" s="3822"/>
      <c r="F1" s="3822"/>
      <c r="G1" s="3823"/>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820"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821"/>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5" sqref="G35"/>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45996</v>
      </c>
      <c r="D1" s="1302" t="s">
        <v>603</v>
      </c>
      <c r="E1" s="1297">
        <f>'数据-取费表'!B22</f>
        <v>1.5</v>
      </c>
      <c r="F1" s="1302" t="s">
        <v>604</v>
      </c>
      <c r="G1" s="1298">
        <f ca="1">IF(OR(C1&lt;C27,E1&lt;=1),INDIRECT("d"&amp;$K$1)/100,ROUND((D5+(E1-C5)*(D7-D5)/(C7-C5))/100,4))</f>
        <v>3.0599999999999999E-2</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45797</v>
      </c>
      <c r="D13" s="2821">
        <v>3</v>
      </c>
      <c r="E13" s="2821">
        <v>3</v>
      </c>
      <c r="F13" s="2821">
        <f t="shared" ref="F13:F18" si="0">D13</f>
        <v>3</v>
      </c>
      <c r="G13" s="2821">
        <f t="shared" ref="G13:G18" si="1">D13</f>
        <v>3</v>
      </c>
      <c r="H13" s="2821">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45586</v>
      </c>
      <c r="D14" s="2816">
        <v>3.1</v>
      </c>
      <c r="E14" s="2816">
        <f>D14</f>
        <v>3.1</v>
      </c>
      <c r="F14" s="2816">
        <f t="shared" si="0"/>
        <v>3.1</v>
      </c>
      <c r="G14" s="2816">
        <f t="shared" si="1"/>
        <v>3.1</v>
      </c>
      <c r="H14" s="2816">
        <v>3.6</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45495</v>
      </c>
      <c r="D15" s="2816">
        <v>3.35</v>
      </c>
      <c r="E15" s="2816">
        <f>D15</f>
        <v>3.35</v>
      </c>
      <c r="F15" s="2816">
        <f t="shared" si="0"/>
        <v>3.35</v>
      </c>
      <c r="G15" s="2816">
        <f t="shared" si="1"/>
        <v>3.35</v>
      </c>
      <c r="H15" s="2816">
        <v>3.85</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45342</v>
      </c>
      <c r="D16" s="2816">
        <v>3.45</v>
      </c>
      <c r="E16" s="2816">
        <f>D16</f>
        <v>3.45</v>
      </c>
      <c r="F16" s="2816">
        <f t="shared" si="0"/>
        <v>3.45</v>
      </c>
      <c r="G16" s="2816">
        <f t="shared" si="1"/>
        <v>3.45</v>
      </c>
      <c r="H16" s="2816">
        <v>3.95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45159</v>
      </c>
      <c r="D17" s="2816">
        <v>3.45</v>
      </c>
      <c r="E17" s="2816">
        <f>D17</f>
        <v>3.45</v>
      </c>
      <c r="F17" s="2816">
        <f t="shared" si="0"/>
        <v>3.45</v>
      </c>
      <c r="G17" s="2816">
        <f t="shared" si="1"/>
        <v>3.45</v>
      </c>
      <c r="H17" s="2816">
        <v>4.2</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7">
        <v>45097</v>
      </c>
      <c r="D18" s="2816">
        <v>3.55</v>
      </c>
      <c r="E18" s="2816">
        <f>D18</f>
        <v>3.55</v>
      </c>
      <c r="F18" s="2816">
        <f t="shared" si="0"/>
        <v>3.55</v>
      </c>
      <c r="G18" s="2816">
        <f t="shared" si="1"/>
        <v>3.55</v>
      </c>
      <c r="H18" s="2816">
        <v>4.2</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5"/>
      <c r="C19" s="2817">
        <v>44795</v>
      </c>
      <c r="D19" s="2816">
        <v>3.65</v>
      </c>
      <c r="E19" s="2816">
        <v>3.65</v>
      </c>
      <c r="F19" s="2816">
        <v>3.65</v>
      </c>
      <c r="G19" s="2816">
        <v>3.65</v>
      </c>
      <c r="H19" s="2816">
        <v>4.3</v>
      </c>
      <c r="I19" s="2821"/>
      <c r="J19" s="282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7">
        <v>44701</v>
      </c>
      <c r="D20" s="2816">
        <v>3.7</v>
      </c>
      <c r="E20" s="2816">
        <f>D20</f>
        <v>3.7</v>
      </c>
      <c r="F20" s="2816">
        <f>D20</f>
        <v>3.7</v>
      </c>
      <c r="G20" s="2816">
        <f>D20</f>
        <v>3.7</v>
      </c>
      <c r="H20" s="2816">
        <v>4.45</v>
      </c>
      <c r="I20" s="2821"/>
      <c r="J20" s="282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7">
        <v>44581</v>
      </c>
      <c r="D21" s="2816">
        <v>3.7</v>
      </c>
      <c r="E21" s="2816">
        <f>D21</f>
        <v>3.7</v>
      </c>
      <c r="F21" s="2816">
        <f>D21</f>
        <v>3.7</v>
      </c>
      <c r="G21" s="2816">
        <f>D21</f>
        <v>3.7</v>
      </c>
      <c r="H21" s="2816">
        <v>4.5999999999999996</v>
      </c>
      <c r="I21" s="2821"/>
      <c r="J21" s="2821"/>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44550</v>
      </c>
      <c r="D22" s="2816">
        <v>3.8</v>
      </c>
      <c r="E22" s="2816">
        <f>D22</f>
        <v>3.8</v>
      </c>
      <c r="F22" s="2816">
        <f>D22</f>
        <v>3.8</v>
      </c>
      <c r="G22" s="2816">
        <f>D22</f>
        <v>3.8</v>
      </c>
      <c r="H22" s="2816">
        <v>4.6500000000000004</v>
      </c>
      <c r="I22" s="2816"/>
      <c r="J22" s="2821"/>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6"/>
      <c r="C23" s="2817">
        <v>43941</v>
      </c>
      <c r="D23" s="2816">
        <v>3.85</v>
      </c>
      <c r="E23" s="2816">
        <v>3.85</v>
      </c>
      <c r="F23" s="2816">
        <v>3.85</v>
      </c>
      <c r="G23" s="2816">
        <v>3.85</v>
      </c>
      <c r="H23" s="2816">
        <v>4.6500000000000004</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6"/>
      <c r="C24" s="2817">
        <v>43881</v>
      </c>
      <c r="D24" s="2816">
        <v>4.05</v>
      </c>
      <c r="E24" s="2816">
        <v>4.05</v>
      </c>
      <c r="F24" s="2816">
        <v>4.05</v>
      </c>
      <c r="G24" s="2816">
        <v>4.05</v>
      </c>
      <c r="H24" s="2816">
        <v>4.75</v>
      </c>
      <c r="I24" s="2816"/>
      <c r="J24" s="281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6"/>
      <c r="C25" s="2817">
        <v>43789</v>
      </c>
      <c r="D25" s="2816">
        <v>4.1500000000000004</v>
      </c>
      <c r="E25" s="2816">
        <v>4.1500000000000004</v>
      </c>
      <c r="F25" s="2816">
        <v>4.1500000000000004</v>
      </c>
      <c r="G25" s="2816">
        <v>4.1500000000000004</v>
      </c>
      <c r="H25" s="2816">
        <v>4.8</v>
      </c>
      <c r="I25" s="2816"/>
      <c r="J25" s="2816"/>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6"/>
      <c r="C26" s="2817">
        <v>43728</v>
      </c>
      <c r="D26" s="2816">
        <v>4.2</v>
      </c>
      <c r="E26" s="2816">
        <v>4.2</v>
      </c>
      <c r="F26" s="2816">
        <v>4.2</v>
      </c>
      <c r="G26" s="2816">
        <v>4.2</v>
      </c>
      <c r="H26" s="2816">
        <v>4.8499999999999996</v>
      </c>
      <c r="I26" s="2816"/>
      <c r="J26" s="281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5" t="s">
        <v>2309</v>
      </c>
      <c r="C27" s="2818">
        <v>43697</v>
      </c>
      <c r="D27" s="2819">
        <v>4.25</v>
      </c>
      <c r="E27" s="2819">
        <v>4.25</v>
      </c>
      <c r="F27" s="2819">
        <v>4.25</v>
      </c>
      <c r="G27" s="2819">
        <v>4.25</v>
      </c>
      <c r="H27" s="2819">
        <v>4.8499999999999996</v>
      </c>
      <c r="I27" s="2819"/>
      <c r="J27" s="2819"/>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3"/>
      <c r="C28" s="2824">
        <v>42301</v>
      </c>
      <c r="D28" s="2825">
        <v>4.3499999999999996</v>
      </c>
      <c r="E28" s="2825">
        <v>4.3499999999999996</v>
      </c>
      <c r="F28" s="2825">
        <v>4.75</v>
      </c>
      <c r="G28" s="2825">
        <v>4.75</v>
      </c>
      <c r="H28" s="2825">
        <v>4.9000000000000004</v>
      </c>
      <c r="I28" s="2825"/>
      <c r="J28" s="2825"/>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4" t="str">
        <f>IF(项目基本情况!B9="房地产市场价值","估价结果一览表","结果表-2")</f>
        <v>结果表-2</v>
      </c>
      <c r="B1" s="3494"/>
      <c r="C1" s="3494"/>
      <c r="D1" s="3494"/>
      <c r="E1" s="3494"/>
      <c r="F1" s="3494"/>
      <c r="G1" s="3494"/>
      <c r="H1" s="3494"/>
      <c r="I1" s="3494"/>
    </row>
    <row r="2" spans="1:9" ht="30" customHeight="1" thickTop="1">
      <c r="A2" s="3495" t="s">
        <v>928</v>
      </c>
      <c r="B2" s="3495" t="s">
        <v>929</v>
      </c>
      <c r="C2" s="3495" t="s">
        <v>930</v>
      </c>
      <c r="D2" s="3495" t="str">
        <f>结果表!D116</f>
        <v>出让国有建设用地使用权价值</v>
      </c>
      <c r="E2" s="3495"/>
      <c r="F2" s="3495" t="str">
        <f>结果表!F116</f>
        <v>在建建筑物价值</v>
      </c>
      <c r="G2" s="3495"/>
      <c r="H2" s="3495" t="str">
        <f>IF(项目基本情况!B9="房地产市场价值","房地产市场价值","房地产价值")</f>
        <v>房地产价值</v>
      </c>
      <c r="I2" s="3495"/>
    </row>
    <row r="3" spans="1:9" ht="15">
      <c r="A3" s="3496"/>
      <c r="B3" s="3496"/>
      <c r="C3" s="3496"/>
      <c r="D3" s="854" t="s">
        <v>925</v>
      </c>
      <c r="E3" s="854" t="s">
        <v>931</v>
      </c>
      <c r="F3" s="854" t="s">
        <v>925</v>
      </c>
      <c r="G3" s="854" t="s">
        <v>926</v>
      </c>
      <c r="H3" s="854" t="s">
        <v>925</v>
      </c>
      <c r="I3" s="854" t="s">
        <v>926</v>
      </c>
    </row>
    <row r="4" spans="1:9" ht="30">
      <c r="A4" s="1505" t="str">
        <f>项目基本情况!S2</f>
        <v>北京市西坝河中里21号楼房地产</v>
      </c>
      <c r="B4" s="854">
        <f>项目基本情况!C17</f>
        <v>662.27</v>
      </c>
      <c r="C4" s="854">
        <f>项目基本情况!C18</f>
        <v>208.73</v>
      </c>
      <c r="D4" s="854" t="e">
        <f ca="1">结果表!D118</f>
        <v>#REF!</v>
      </c>
      <c r="E4" s="854" t="e">
        <f ca="1">结果表!E118</f>
        <v>#REF!</v>
      </c>
      <c r="F4" s="854" t="e">
        <f ca="1">结果表!F118</f>
        <v>#REF!</v>
      </c>
      <c r="G4" s="854" t="e">
        <f ca="1">结果表!G118</f>
        <v>#REF!</v>
      </c>
      <c r="H4" s="854">
        <f ca="1">结果表!H118</f>
        <v>1972</v>
      </c>
      <c r="I4" s="854">
        <f ca="1">结果表!I118</f>
        <v>29769</v>
      </c>
    </row>
    <row r="5" spans="1:9" ht="30" customHeight="1">
      <c r="A5" s="3496" t="s">
        <v>927</v>
      </c>
      <c r="B5" s="3496"/>
      <c r="C5" s="3496"/>
      <c r="D5" s="3496" t="e">
        <f ca="1">结果表!D119</f>
        <v>#REF!</v>
      </c>
      <c r="E5" s="3496"/>
      <c r="F5" s="3496" t="e">
        <f ca="1">结果表!F119</f>
        <v>#REF!</v>
      </c>
      <c r="G5" s="3496"/>
      <c r="H5" s="3496" t="str">
        <f ca="1">结果表!H119</f>
        <v>壹仟玖佰柒拾贰万元整</v>
      </c>
      <c r="I5" s="3496"/>
    </row>
    <row r="6" spans="1:9" ht="15.75">
      <c r="A6" s="3497" t="str">
        <f>结果表!A120</f>
        <v>估价师知悉的法定优先受偿款</v>
      </c>
      <c r="B6" s="3497"/>
      <c r="C6" s="3497"/>
      <c r="D6" s="3497">
        <f>结果表!D120</f>
        <v>0</v>
      </c>
      <c r="E6" s="3497"/>
      <c r="F6" s="3497"/>
      <c r="G6" s="3497"/>
      <c r="H6" s="3497"/>
      <c r="I6" s="3497"/>
    </row>
    <row r="7" spans="1:9" ht="15">
      <c r="A7" s="3496" t="s">
        <v>927</v>
      </c>
      <c r="B7" s="3496"/>
      <c r="C7" s="3496"/>
      <c r="D7" s="3498" t="str">
        <f>结果表!D121</f>
        <v>零元整</v>
      </c>
      <c r="E7" s="3499"/>
      <c r="F7" s="3499"/>
      <c r="G7" s="3499"/>
      <c r="H7" s="3499"/>
      <c r="I7" s="3500"/>
    </row>
    <row r="8" spans="1:9" ht="15.75">
      <c r="A8" s="3497" t="str">
        <f>结果表!A122</f>
        <v>房地产抵押价值</v>
      </c>
      <c r="B8" s="3497"/>
      <c r="C8" s="3497"/>
      <c r="D8" s="3497">
        <f ca="1">结果表!D122</f>
        <v>1972</v>
      </c>
      <c r="E8" s="3497"/>
      <c r="F8" s="3497"/>
      <c r="G8" s="3497"/>
      <c r="H8" s="3497"/>
      <c r="I8" s="3497"/>
    </row>
    <row r="9" spans="1:9" ht="15">
      <c r="A9" s="3496" t="s">
        <v>927</v>
      </c>
      <c r="B9" s="3496"/>
      <c r="C9" s="3496"/>
      <c r="D9" s="3496" t="str">
        <f ca="1">结果表!D123</f>
        <v>壹仟玖佰柒拾贰万元整</v>
      </c>
      <c r="E9" s="3496"/>
      <c r="F9" s="3496"/>
      <c r="G9" s="3496"/>
      <c r="H9" s="3496"/>
      <c r="I9" s="3496"/>
    </row>
    <row r="10" spans="1:9" ht="15.75">
      <c r="A10" s="3497" t="str">
        <f>结果表!A124</f>
        <v/>
      </c>
      <c r="B10" s="3497"/>
      <c r="C10" s="3497"/>
      <c r="D10" s="3497" t="str">
        <f>结果表!D124</f>
        <v>——</v>
      </c>
      <c r="E10" s="3497"/>
      <c r="F10" s="3497"/>
      <c r="G10" s="3497"/>
      <c r="H10" s="3497"/>
      <c r="I10" s="3497"/>
    </row>
    <row r="11" spans="1:9" ht="15">
      <c r="A11" s="3496" t="s">
        <v>927</v>
      </c>
      <c r="B11" s="3496"/>
      <c r="C11" s="3496"/>
      <c r="D11" s="3496" t="e">
        <f>结果表!D125</f>
        <v>#VALUE!</v>
      </c>
      <c r="E11" s="3496"/>
      <c r="F11" s="3496"/>
      <c r="G11" s="3496"/>
      <c r="H11" s="3496"/>
      <c r="I11" s="3496"/>
    </row>
    <row r="12" spans="1:9" ht="15.75">
      <c r="A12" s="3497" t="str">
        <f>结果表!A126</f>
        <v/>
      </c>
      <c r="B12" s="3497"/>
      <c r="C12" s="3497"/>
      <c r="D12" s="3497" t="str">
        <f>结果表!D126</f>
        <v>——</v>
      </c>
      <c r="E12" s="3497"/>
      <c r="F12" s="3497"/>
      <c r="G12" s="3497"/>
      <c r="H12" s="3497"/>
      <c r="I12" s="3497"/>
    </row>
    <row r="13" spans="1:9" ht="15.75" thickBot="1">
      <c r="A13" s="3501" t="s">
        <v>927</v>
      </c>
      <c r="B13" s="3501"/>
      <c r="C13" s="3501"/>
      <c r="D13" s="3501" t="e">
        <f>结果表!D127</f>
        <v>#VALUE!</v>
      </c>
      <c r="E13" s="3501"/>
      <c r="F13" s="3501"/>
      <c r="G13" s="3501"/>
      <c r="H13" s="3501"/>
      <c r="I13" s="3501"/>
    </row>
    <row r="14" spans="1:9" ht="15" thickTop="1">
      <c r="A14" s="3502" t="s">
        <v>932</v>
      </c>
      <c r="B14" s="3502"/>
      <c r="C14" s="3502"/>
      <c r="D14" s="3502"/>
      <c r="E14" s="3502"/>
      <c r="F14" s="3502"/>
      <c r="G14" s="3502"/>
      <c r="H14" s="3502"/>
      <c r="I14" s="350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3" t="s">
        <v>949</v>
      </c>
      <c r="B1" s="3503"/>
      <c r="C1" s="3503"/>
      <c r="D1" s="3503"/>
    </row>
    <row r="2" spans="1:4" ht="18">
      <c r="A2" s="3504" t="s">
        <v>933</v>
      </c>
      <c r="B2" s="3504"/>
      <c r="C2" s="3504"/>
      <c r="D2" s="3504"/>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4" t="s">
        <v>939</v>
      </c>
      <c r="B6" s="3504"/>
      <c r="C6" s="3504"/>
      <c r="D6" s="350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5" t="s">
        <v>942</v>
      </c>
      <c r="B11" s="3506"/>
      <c r="C11" s="3506"/>
      <c r="D11" s="3506"/>
    </row>
    <row r="12" spans="1:4" ht="15.75">
      <c r="A12" s="35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7"/>
      <c r="C12" s="3507"/>
      <c r="D12" s="3507"/>
    </row>
    <row r="13" spans="1:4" ht="30" customHeight="1">
      <c r="A13" s="35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7"/>
      <c r="C13" s="3507"/>
      <c r="D13" s="3507"/>
    </row>
    <row r="14" spans="1:4" ht="15.75" customHeight="1">
      <c r="A14" s="3506" t="str">
        <f>IF(项目基本情况!B8="抵押","4.本次评估估价师所知悉的法定优先受偿款情况说明如下：","——")</f>
        <v>4.本次评估估价师所知悉的法定优先受偿款情况说明如下：</v>
      </c>
      <c r="B14" s="3507"/>
      <c r="C14" s="3507"/>
      <c r="D14" s="3507"/>
    </row>
    <row r="15" spans="1:4" ht="42" customHeight="1">
      <c r="A15" s="350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6"/>
      <c r="C15" s="3506"/>
      <c r="D15" s="3506"/>
    </row>
    <row r="16" spans="1:4" ht="30" customHeight="1">
      <c r="A16" s="3509" t="s">
        <v>943</v>
      </c>
      <c r="B16" s="3509"/>
      <c r="C16" s="3509"/>
      <c r="D16" s="3509"/>
    </row>
    <row r="17" spans="1:4" ht="144" customHeight="1">
      <c r="A17" s="3509" t="s">
        <v>944</v>
      </c>
      <c r="B17" s="3509"/>
      <c r="C17" s="3509"/>
      <c r="D17" s="3509"/>
    </row>
    <row r="18" spans="1:4" ht="15.75" customHeight="1">
      <c r="A18" s="3506" t="str">
        <f>IF(项目基本情况!B8="抵押",结果表!K120,"——")</f>
        <v>故，本次评估不存在估价师知悉的法定优先受偿款</v>
      </c>
      <c r="B18" s="3506"/>
      <c r="C18" s="3506"/>
      <c r="D18" s="3506"/>
    </row>
    <row r="19" spans="1:4" ht="46.5" customHeight="1">
      <c r="A19" s="35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6"/>
      <c r="C19" s="3506"/>
      <c r="D19" s="3506"/>
    </row>
    <row r="20" spans="1:4" ht="57.75" customHeight="1">
      <c r="A20" s="35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6"/>
      <c r="C20" s="3506"/>
      <c r="D20" s="3506"/>
    </row>
    <row r="21" spans="1:4" ht="57.75" customHeight="1">
      <c r="A21" s="35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0"/>
      <c r="C21" s="3510"/>
      <c r="D21" s="3510"/>
    </row>
    <row r="22" spans="1:4" ht="18.75" customHeight="1">
      <c r="A22" s="3511" t="s">
        <v>945</v>
      </c>
      <c r="B22" s="3511"/>
      <c r="C22" s="3511"/>
      <c r="D22" s="351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8">
        <v>42551</v>
      </c>
      <c r="D31" s="350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7" t="s">
        <v>956</v>
      </c>
      <c r="B15" s="3512" t="s">
        <v>109</v>
      </c>
      <c r="C15" s="3513"/>
    </row>
    <row r="16" spans="1:7" ht="13.5">
      <c r="A16" s="3518"/>
      <c r="B16" s="3512" t="s">
        <v>42</v>
      </c>
      <c r="C16" s="3513"/>
    </row>
    <row r="17" spans="1:3" ht="13.5">
      <c r="A17" s="3518"/>
      <c r="B17" s="3515" t="s">
        <v>957</v>
      </c>
      <c r="C17" s="1532" t="s">
        <v>956</v>
      </c>
    </row>
    <row r="18" spans="1:3" ht="13.5">
      <c r="A18" s="3518"/>
      <c r="B18" s="3515"/>
      <c r="C18" s="1532" t="s">
        <v>958</v>
      </c>
    </row>
    <row r="19" spans="1:3" ht="13.5">
      <c r="A19" s="3518"/>
      <c r="B19" s="3515"/>
      <c r="C19" s="1532" t="s">
        <v>959</v>
      </c>
    </row>
    <row r="20" spans="1:3" ht="13.5">
      <c r="A20" s="3519"/>
      <c r="B20" s="3514" t="s">
        <v>960</v>
      </c>
      <c r="C20" s="3513"/>
    </row>
    <row r="21" spans="1:3" ht="13.5">
      <c r="A21" s="1533" t="s">
        <v>961</v>
      </c>
      <c r="B21" s="1534"/>
      <c r="C21" s="1535"/>
    </row>
    <row r="22" spans="1:3" ht="13.5">
      <c r="A22" s="3516" t="s">
        <v>962</v>
      </c>
      <c r="B22" s="3514" t="s">
        <v>963</v>
      </c>
      <c r="C22" s="3513"/>
    </row>
    <row r="23" spans="1:3" ht="13.5">
      <c r="A23" s="3516"/>
      <c r="B23" s="3514" t="s">
        <v>964</v>
      </c>
      <c r="C23" s="3513"/>
    </row>
    <row r="24" spans="1:3" ht="13.5">
      <c r="A24" s="3516"/>
      <c r="B24" s="3514" t="s">
        <v>965</v>
      </c>
      <c r="C24" s="3513"/>
    </row>
    <row r="25" spans="1:3" ht="13.5">
      <c r="A25" s="3516"/>
      <c r="B25" s="3515" t="s">
        <v>966</v>
      </c>
      <c r="C25" s="1532" t="s">
        <v>967</v>
      </c>
    </row>
    <row r="26" spans="1:3" ht="13.5">
      <c r="A26" s="3516"/>
      <c r="B26" s="3515"/>
      <c r="C26" s="1532" t="s">
        <v>968</v>
      </c>
    </row>
    <row r="27" spans="1:3" ht="13.5">
      <c r="A27" s="3516"/>
      <c r="B27" s="3515"/>
      <c r="C27" s="1532" t="s">
        <v>969</v>
      </c>
    </row>
    <row r="28" spans="1:3" ht="13.5">
      <c r="A28" s="3516"/>
      <c r="B28" s="3515"/>
      <c r="C28" s="1532" t="s">
        <v>970</v>
      </c>
    </row>
    <row r="29" spans="1:3" ht="13.5">
      <c r="A29" s="3516"/>
      <c r="B29" s="3515"/>
      <c r="C29" s="1532" t="s">
        <v>971</v>
      </c>
    </row>
    <row r="30" spans="1:3" ht="13.5">
      <c r="A30" s="3516"/>
      <c r="B30" s="3515"/>
      <c r="C30" s="1532" t="s">
        <v>972</v>
      </c>
    </row>
    <row r="31" spans="1:3" ht="13.5">
      <c r="A31" s="3516"/>
      <c r="B31" s="3515"/>
      <c r="C31" s="1532" t="s">
        <v>973</v>
      </c>
    </row>
    <row r="32" spans="1:3" ht="13.5">
      <c r="A32" s="3516"/>
      <c r="B32" s="3515"/>
      <c r="C32" s="1532" t="s">
        <v>974</v>
      </c>
    </row>
    <row r="33" spans="1:3" ht="13.5">
      <c r="A33" s="3516"/>
      <c r="B33" s="351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45999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t="str">
        <f ca="1">IF(C4&lt;B2,"已过期",1119970066)</f>
        <v>已过期</v>
      </c>
      <c r="C4" s="2345">
        <v>45937</v>
      </c>
      <c r="D4" s="2346" t="str">
        <f ca="1">A4&amp;"（注册号："&amp;B4&amp;"）"</f>
        <v>梁津（注册号：已过期）</v>
      </c>
      <c r="E4" s="2347" t="s">
        <v>2148</v>
      </c>
      <c r="F4" s="1304">
        <f ca="1">IF(G4&lt;B2,"已过期",96010014)</f>
        <v>96010014</v>
      </c>
      <c r="G4" s="2348">
        <v>47118</v>
      </c>
      <c r="H4" s="2349" t="str">
        <f ca="1">E4&amp;"（注册号："&amp;F4&amp;"）"</f>
        <v>梁津（注册号：96010014）</v>
      </c>
    </row>
    <row r="5" spans="1:8" ht="24" customHeight="1">
      <c r="A5" s="1304" t="s">
        <v>2149</v>
      </c>
      <c r="B5" s="1304" t="str">
        <f ca="1">IF(C5&lt;B2,"已过期",1119970111)</f>
        <v>已过期</v>
      </c>
      <c r="C5" s="2345">
        <v>45937</v>
      </c>
      <c r="D5" s="2346" t="str">
        <f t="shared" ref="D5:D15" ca="1" si="0">A5&amp;"（注册号："&amp;B5&amp;"）"</f>
        <v>叶凌（注册号：已过期）</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t="str">
        <f ca="1">IF(C7&lt;B2,"已过期",1120000080)</f>
        <v>已过期</v>
      </c>
      <c r="C7" s="2345">
        <v>45937</v>
      </c>
      <c r="D7" s="2346" t="str">
        <f t="shared" ca="1" si="0"/>
        <v>欧红伟（注册号：已过期）</v>
      </c>
      <c r="E7" s="2347" t="s">
        <v>2151</v>
      </c>
      <c r="F7" s="1304">
        <f ca="1">IF(G7&lt;B2,"已过期",2000110082)</f>
        <v>2000110082</v>
      </c>
      <c r="G7" s="2348">
        <v>46387</v>
      </c>
      <c r="H7" s="2349" t="str">
        <f t="shared" ca="1" si="1"/>
        <v>欧红伟（注册号：2000110082）</v>
      </c>
    </row>
    <row r="8" spans="1:8" ht="24" customHeight="1">
      <c r="A8" s="1304" t="s">
        <v>2152</v>
      </c>
      <c r="B8" s="1304" t="str">
        <f ca="1">IF(C8&lt;B2,"已过期",1419970001)</f>
        <v>已过期</v>
      </c>
      <c r="C8" s="2345">
        <v>45937</v>
      </c>
      <c r="D8" s="2346" t="str">
        <f t="shared" ca="1" si="0"/>
        <v>吴薇（注册号：已过期）</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t="str">
        <f ca="1">IF(C11&lt;B2,"已过期",1120070131)</f>
        <v>已过期</v>
      </c>
      <c r="C11" s="2345">
        <v>45937</v>
      </c>
      <c r="D11" s="2346" t="str">
        <f t="shared" ca="1" si="0"/>
        <v>郑燚（注册号：已过期）</v>
      </c>
      <c r="E11" s="2347" t="s">
        <v>2155</v>
      </c>
      <c r="F11" s="1304">
        <f ca="1">IF(G11&lt;B2,"已过期",2014110011)</f>
        <v>2014110011</v>
      </c>
      <c r="G11" s="2348">
        <v>49302</v>
      </c>
      <c r="H11" s="2349" t="str">
        <f t="shared" ca="1" si="1"/>
        <v>郑燚（注册号：2014110011）</v>
      </c>
    </row>
    <row r="12" spans="1:8" ht="24" customHeight="1">
      <c r="A12" s="1304" t="s">
        <v>2156</v>
      </c>
      <c r="B12" s="1304" t="str">
        <f ca="1">IF(C12&lt;B2,"已过期",1120040230)</f>
        <v>已过期</v>
      </c>
      <c r="C12" s="2350">
        <v>45937</v>
      </c>
      <c r="D12" s="2346" t="str">
        <f t="shared" ca="1" si="0"/>
        <v>苏海（注册号：已过期）</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0" t="s">
        <v>2160</v>
      </c>
      <c r="B17" s="3520"/>
      <c r="C17" s="3520"/>
      <c r="D17" s="3520"/>
      <c r="E17" s="3520"/>
      <c r="F17" s="3520"/>
      <c r="G17" s="3520"/>
      <c r="H17" s="3520"/>
    </row>
    <row r="18" spans="1:8" ht="24" customHeight="1">
      <c r="A18" s="3521" t="s">
        <v>2161</v>
      </c>
      <c r="B18" s="3521"/>
      <c r="C18" s="3521"/>
      <c r="D18" s="2343"/>
      <c r="E18" s="3522" t="s">
        <v>2162</v>
      </c>
      <c r="F18" s="3521"/>
      <c r="G18" s="352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157</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2025-12-08T06:19:38Z</dcterms:modified>
</cp:coreProperties>
</file>