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908"/>
  <workbookPr codeName="ThisWorkbook"/>
  <mc:AlternateContent xmlns:mc="http://schemas.openxmlformats.org/markup-compatibility/2006">
    <mc:Choice Requires="x15">
      <x15ac:absPath xmlns:x15ac="http://schemas.microsoft.com/office/spreadsheetml/2010/11/ac" url="/Volumes/诗霖/中行/现代城支行/"/>
    </mc:Choice>
  </mc:AlternateContent>
  <bookViews>
    <workbookView xWindow="700" yWindow="500" windowWidth="20500" windowHeight="1374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结果表" sheetId="9" state="hidden" r:id="rId17"/>
    <sheet name="成本法 (元)" sheetId="69" state="hidden" r:id="rId18"/>
    <sheet name="假设开发法" sheetId="12" state="hidden" r:id="rId19"/>
    <sheet name="租金比较法-商业" sheetId="34" r:id="rId20"/>
    <sheet name="租金案例" sheetId="80" r:id="rId21"/>
    <sheet name="租金案例位置图" sheetId="87" r:id="rId22"/>
    <sheet name="比较法-商业" sheetId="33" r:id="rId23"/>
    <sheet name="收益法倒推-商业" sheetId="78"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sheetId="68" state="hidden" r:id="rId35"/>
    <sheet name="基准地价修正" sheetId="43" state="hidden" r:id="rId36"/>
    <sheet name="修正" sheetId="45" state="hidden" r:id="rId37"/>
    <sheet name="容积率修正" sheetId="46" state="hidden" r:id="rId38"/>
    <sheet name="基准地价（汇总）" sheetId="76" state="hidden" r:id="rId39"/>
    <sheet name="商业案例" sheetId="85"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售价比较法-办公" sheetId="77" state="hidden" r:id="rId48"/>
    <sheet name="售价案例" sheetId="81" state="hidden" r:id="rId49"/>
    <sheet name="案例位置图" sheetId="83" r:id="rId50"/>
    <sheet name="系统读取表" sheetId="74" r:id="rId51"/>
    <sheet name="Sheet3" sheetId="84" state="hidden" r:id="rId52"/>
    <sheet name="周边商铺价格调研表" sheetId="88" r:id="rId53"/>
  </sheets>
  <externalReferences>
    <externalReference r:id="rId54"/>
    <externalReference r:id="rId55"/>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8" hidden="1">'比较法-住宅'!$A$1:$L$49</definedName>
    <definedName name="_xlnm._FilterDatabase" localSheetId="47" hidden="1">'售价比较法-办公'!$A$1:$L$50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_FilterDatabase" localSheetId="19" hidden="1">'租金比较法-商业'!$A$1:$L$50</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4">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8">假设开发法!$A$1:$K$32</definedName>
    <definedName name="_xlnm.Print_Area" localSheetId="16">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3">'收益法倒推-商业'!$A$1:$I$42</definedName>
    <definedName name="_xlnm.Print_Area" localSheetId="47">'售价比较法-办公'!$A$1:$K$55,'售价比较法-办公'!$A$58:$M$132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50">系统读取表!$A$1:$J$26</definedName>
    <definedName name="_xlnm.Print_Area" localSheetId="10">项目基本情况!$A$1:$I$38</definedName>
    <definedName name="_xlnm.Print_Area" localSheetId="19">'租金比较法-商业'!$A$1:$K$55,'租金比较法-商业'!$A$58:$M$132</definedName>
    <definedName name="八级">区片价!$O$1:$O$40</definedName>
    <definedName name="办公层高" localSheetId="23">'[1]比较法-办公'!$B$119:$M$119</definedName>
    <definedName name="办公层高" localSheetId="47">'售价比较法-办公'!$B$119:$M$119</definedName>
    <definedName name="办公层高">'租金比较法-商业'!$B$119:$M$119</definedName>
    <definedName name="办公朝向" localSheetId="23">'[1]比较法-办公'!$B$91:$M$91</definedName>
    <definedName name="办公朝向" localSheetId="47">'售价比较法-办公'!$B$91:$M$91</definedName>
    <definedName name="办公朝向">'租金比较法-商业'!$B$91:$M$91</definedName>
    <definedName name="办公道路级别" localSheetId="23">'[1]比较法-办公'!$B$87:$M$87</definedName>
    <definedName name="办公道路级别" localSheetId="47">'售价比较法-办公'!$B$87:$M$87</definedName>
    <definedName name="办公道路级别">'租金比较法-商业'!$B$87:$M$87</definedName>
    <definedName name="办公公共部分装修" localSheetId="23">'[1]比较法-办公'!$B$108:$M$108</definedName>
    <definedName name="办公公共部分装修" localSheetId="47">'售价比较法-办公'!$B$108:$M$108</definedName>
    <definedName name="办公公共部分装修">'租金比较法-商业'!$B$108:$M$108</definedName>
    <definedName name="办公基础设施水平" localSheetId="23">'[1]比较法-办公'!$B$117:$M$117</definedName>
    <definedName name="办公基础设施水平" localSheetId="47">'售价比较法-办公'!$B$117:$M$117</definedName>
    <definedName name="办公基础设施水平">'租金比较法-商业'!$B$117:$M$117</definedName>
    <definedName name="办公集聚程度" localSheetId="23">[1]定义!$M$1:$M$6</definedName>
    <definedName name="办公集聚程度">定义!$M$1:$M$6</definedName>
    <definedName name="办公建筑结构" localSheetId="23">'[1]比较法-办公'!$B$106:$M$106</definedName>
    <definedName name="办公建筑结构" localSheetId="47">'售价比较法-办公'!$B$106:$M$106</definedName>
    <definedName name="办公建筑结构">'租金比较法-商业'!$B$106:$M$106</definedName>
    <definedName name="办公建筑类型" localSheetId="23">'[1]比较法-办公'!$B$101:$M$101</definedName>
    <definedName name="办公建筑类型" localSheetId="47">'售价比较法-办公'!$B$101:$M$101</definedName>
    <definedName name="办公建筑类型">'租金比较法-商业'!$B$101:$M$101</definedName>
    <definedName name="办公交易情况" localSheetId="23">'[1]比较法-办公'!$A$62:$M$62</definedName>
    <definedName name="办公交易情况" localSheetId="47">'售价比较法-办公'!$A$62:$M$62</definedName>
    <definedName name="办公交易情况">'租金比较法-商业'!$A$62:$M$62</definedName>
    <definedName name="办公楼层" localSheetId="23">'[1]比较法-办公'!$B$89:$M$89</definedName>
    <definedName name="办公楼层" localSheetId="47">'售价比较法-办公'!$B$89:$M$89</definedName>
    <definedName name="办公楼层">'租金比较法-商业'!$B$89:$M$89</definedName>
    <definedName name="办公内部装修" localSheetId="23">'[1]比较法-办公'!$B$123:$M$123</definedName>
    <definedName name="办公内部装修" localSheetId="47">'售价比较法-办公'!$B$123:$M$123</definedName>
    <definedName name="办公内部装修">'租金比较法-商业'!$B$123:$M$123</definedName>
    <definedName name="办公物业管理" localSheetId="23">'[1]比较法-办公'!$B$115:$M$115</definedName>
    <definedName name="办公物业管理" localSheetId="47">'售价比较法-办公'!$B$115:$M$115</definedName>
    <definedName name="办公物业管理">'租金比较法-商业'!$B$115:$M$115</definedName>
    <definedName name="办公用途" localSheetId="23">'[1]比较法-办公'!$B$64:$M$64</definedName>
    <definedName name="办公用途" localSheetId="47">'售价比较法-办公'!$B$64:$M$64</definedName>
    <definedName name="办公用途">'租金比较法-商业'!$B$64:$M$64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评估方法">[2]定义!$B$1:$B$50</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'[1]土地比较法-住宅、综合'!$A$73:$M$73</definedName>
    <definedName name="套工交易情况">'土地比较法-住宅、综合'!$A$73:$M$73</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'[1]土地比较法-住宅、综合'!$B$106:$M$106</definedName>
    <definedName name="套综道路等级">'土地比较法-住宅、综合'!$B$106:$M$106</definedName>
    <definedName name="套综工程地质条件" localSheetId="23">'[1]土地比较法-住宅、综合'!$B$125:$M$125</definedName>
    <definedName name="套综工程地质条件">'土地比较法-住宅、综合'!$B$125:$M$125</definedName>
    <definedName name="套综交易情况" localSheetId="23">'[1]土地比较法-住宅、综合'!$A$73:$M$73</definedName>
    <definedName name="套综交易情况">'土地比较法-住宅、综合'!$A$73:$M$73</definedName>
    <definedName name="套综临街宽度及深度" localSheetId="23">'[1]土地比较法-住宅、综合'!$B$121:$M$121</definedName>
    <definedName name="套综临街宽度及深度">'土地比较法-住宅、综合'!$B$121:$M$121</definedName>
    <definedName name="套综土地级别" localSheetId="23">'[1]土地比较法-住宅、综合'!$B$108:$M$108</definedName>
    <definedName name="套综土地级别">'土地比较法-住宅、综合'!$B$108:$M$108</definedName>
    <definedName name="套综用途" localSheetId="23">'[1]土地比较法-住宅、综合'!$B$75:$M$75</definedName>
    <definedName name="套综用途">'土地比较法-住宅、综合'!$B$75:$M$75</definedName>
    <definedName name="套综宗地内开发程度" localSheetId="23">'[1]土地比较法-住宅、综合'!$B$123:$M$123</definedName>
    <definedName name="套综宗地内开发程度">'土地比较法-住宅、综合'!$B$123:$M$123</definedName>
    <definedName name="套综宗地形状" localSheetId="23">'[1]土地比较法-住宅、综合'!$B$119:$M$119</definedName>
    <definedName name="套综宗地形状">'土地比较法-住宅、综合'!$B$119:$M$119</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'[1]比较法-办公'!$B$113:$M$113</definedName>
    <definedName name="写字楼等级" localSheetId="47">'售价比较法-办公'!$B$113:$M$113</definedName>
    <definedName name="写字楼等级">'租金比较法-商业'!$B$113:$M$113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[1]估价师及机构信息!$A$3:$A$24</definedName>
    <definedName name="注册房地产估价师">估价师及机构信息!$A$3:$A$16</definedName>
  </definedNames>
  <calcPr calcId="150001" concurrentCalc="0"/>
  <extLst>
    <ext xmlns:x14="http://schemas.microsoft.com/office/spreadsheetml/2009/9/main" uri="{79F54976-1DA5-4618-B147-4CDE4B953A38}">
      <x14:workbookPr defaultImageDpi="330"/>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7" i="34" l="1"/>
  <c r="C5" i="33"/>
  <c r="I20" i="78"/>
  <c r="I7" i="78"/>
  <c r="I8" i="78"/>
  <c r="G6" i="88"/>
  <c r="H6" i="88"/>
  <c r="H4" i="88"/>
  <c r="H5" i="88"/>
  <c r="H3" i="88"/>
  <c r="C37" i="78"/>
  <c r="K9" i="6"/>
  <c r="F126" i="33"/>
  <c r="E126" i="33"/>
  <c r="D126" i="33"/>
  <c r="J44" i="33"/>
  <c r="C126" i="33"/>
  <c r="Y6" i="1"/>
  <c r="D3" i="4"/>
  <c r="F8" i="33"/>
  <c r="AA8" i="33"/>
  <c r="R47" i="33"/>
  <c r="C63" i="33"/>
  <c r="F9" i="33"/>
  <c r="AA9" i="33"/>
  <c r="G66" i="33"/>
  <c r="F10" i="33"/>
  <c r="AA10" i="33"/>
  <c r="D77" i="33"/>
  <c r="F15" i="33"/>
  <c r="AA15" i="33"/>
  <c r="F11" i="33"/>
  <c r="AA11" i="33"/>
  <c r="D79" i="33"/>
  <c r="F17" i="33"/>
  <c r="AA17" i="33"/>
  <c r="D81" i="33"/>
  <c r="F19" i="33"/>
  <c r="AA19" i="33"/>
  <c r="D83" i="33"/>
  <c r="E83" i="33"/>
  <c r="D85" i="33"/>
  <c r="D87" i="33"/>
  <c r="F25" i="33"/>
  <c r="D101" i="33"/>
  <c r="F34" i="33"/>
  <c r="AA34" i="33"/>
  <c r="F35" i="33"/>
  <c r="AA35" i="33"/>
  <c r="F37" i="33"/>
  <c r="AA37" i="33"/>
  <c r="F39" i="33"/>
  <c r="AA39" i="33"/>
  <c r="F41" i="33"/>
  <c r="AA41" i="33"/>
  <c r="F38" i="33"/>
  <c r="AA38" i="33"/>
  <c r="F40" i="33"/>
  <c r="AA40" i="33"/>
  <c r="D125" i="33"/>
  <c r="D111" i="33"/>
  <c r="E111" i="33"/>
  <c r="F111" i="33"/>
  <c r="G111" i="33"/>
  <c r="B126" i="33"/>
  <c r="F44" i="33"/>
  <c r="H8" i="33"/>
  <c r="AB8" i="33"/>
  <c r="T47" i="33"/>
  <c r="H9" i="33"/>
  <c r="AB9" i="33"/>
  <c r="H10" i="33"/>
  <c r="AB10" i="33"/>
  <c r="H15" i="33"/>
  <c r="AB15" i="33"/>
  <c r="H11" i="33"/>
  <c r="AB11" i="33"/>
  <c r="H17" i="33"/>
  <c r="AB17" i="33"/>
  <c r="H19" i="33"/>
  <c r="AB19" i="33"/>
  <c r="H23" i="33"/>
  <c r="AB23" i="33"/>
  <c r="H25" i="33"/>
  <c r="AB25" i="33"/>
  <c r="H34" i="33"/>
  <c r="AB34" i="33"/>
  <c r="H35" i="33"/>
  <c r="AB35" i="33"/>
  <c r="H37" i="33"/>
  <c r="AB37" i="33"/>
  <c r="H39" i="33"/>
  <c r="AB39" i="33"/>
  <c r="H41" i="33"/>
  <c r="AB41" i="33"/>
  <c r="H38" i="33"/>
  <c r="AB38" i="33"/>
  <c r="H40" i="33"/>
  <c r="AB40" i="33"/>
  <c r="H43" i="33"/>
  <c r="AB43" i="33"/>
  <c r="H44" i="33"/>
  <c r="AB44" i="33"/>
  <c r="J8" i="33"/>
  <c r="AC8" i="33"/>
  <c r="V47" i="33"/>
  <c r="J9" i="33"/>
  <c r="AC9" i="33"/>
  <c r="J10" i="33"/>
  <c r="AC10" i="33"/>
  <c r="J15" i="33"/>
  <c r="AC15" i="33"/>
  <c r="J11" i="33"/>
  <c r="AC11" i="33"/>
  <c r="J19" i="33"/>
  <c r="AC19" i="33"/>
  <c r="J25" i="33"/>
  <c r="AC25" i="33"/>
  <c r="J34" i="33"/>
  <c r="AC34" i="33"/>
  <c r="J35" i="33"/>
  <c r="AC35" i="33"/>
  <c r="J37" i="33"/>
  <c r="AC37" i="33"/>
  <c r="J39" i="33"/>
  <c r="AC39" i="33"/>
  <c r="J41" i="33"/>
  <c r="AC41" i="33"/>
  <c r="J38" i="33"/>
  <c r="AC38" i="33"/>
  <c r="J40" i="33"/>
  <c r="AC40" i="33"/>
  <c r="AC44" i="33"/>
  <c r="G2" i="43"/>
  <c r="I17" i="43"/>
  <c r="I2" i="43"/>
  <c r="M2" i="43"/>
  <c r="H17" i="43"/>
  <c r="J17" i="43"/>
  <c r="L17" i="43"/>
  <c r="N17" i="43"/>
  <c r="C17" i="43"/>
  <c r="N2" i="43"/>
  <c r="D52" i="43"/>
  <c r="D55" i="43"/>
  <c r="F33" i="43"/>
  <c r="F35" i="43"/>
  <c r="F37" i="43"/>
  <c r="F39" i="43"/>
  <c r="B15" i="34"/>
  <c r="T48" i="34"/>
  <c r="D88" i="34"/>
  <c r="E88" i="34"/>
  <c r="D78" i="34"/>
  <c r="E78" i="34"/>
  <c r="F15" i="34"/>
  <c r="AA15" i="34"/>
  <c r="D80" i="34"/>
  <c r="H17" i="34"/>
  <c r="V48" i="34"/>
  <c r="F17" i="34"/>
  <c r="AA17" i="34"/>
  <c r="E15" i="4"/>
  <c r="C1" i="73"/>
  <c r="J1" i="73"/>
  <c r="J20" i="43"/>
  <c r="M3" i="43"/>
  <c r="C7" i="43"/>
  <c r="B2" i="1"/>
  <c r="G19" i="43"/>
  <c r="BB13" i="3"/>
  <c r="BC13" i="3"/>
  <c r="H13" i="3"/>
  <c r="I5" i="3"/>
  <c r="F19" i="6"/>
  <c r="BC10" i="3"/>
  <c r="C18" i="43"/>
  <c r="A6" i="1"/>
  <c r="G1" i="68"/>
  <c r="F131" i="34"/>
  <c r="E131" i="34"/>
  <c r="D131" i="34"/>
  <c r="F15" i="4"/>
  <c r="I5" i="78"/>
  <c r="AH6" i="71"/>
  <c r="AG6" i="71"/>
  <c r="AE6" i="71"/>
  <c r="AF6" i="71"/>
  <c r="AD6" i="71"/>
  <c r="C25" i="77"/>
  <c r="D5" i="9"/>
  <c r="F93" i="77"/>
  <c r="E93" i="77"/>
  <c r="D93" i="77"/>
  <c r="C29" i="77"/>
  <c r="C93" i="77"/>
  <c r="J29" i="77"/>
  <c r="AC29" i="77"/>
  <c r="I11" i="77"/>
  <c r="G11" i="77"/>
  <c r="E11" i="77"/>
  <c r="C6" i="77"/>
  <c r="C5" i="77"/>
  <c r="E5" i="77"/>
  <c r="G5" i="77"/>
  <c r="I5" i="77"/>
  <c r="E25" i="77"/>
  <c r="I11" i="34"/>
  <c r="G11" i="34"/>
  <c r="E11" i="34"/>
  <c r="E6" i="77"/>
  <c r="H26" i="78"/>
  <c r="C22" i="78"/>
  <c r="H12" i="78"/>
  <c r="AD6" i="1"/>
  <c r="E29" i="78"/>
  <c r="E25" i="78"/>
  <c r="F19" i="78"/>
  <c r="F16" i="78"/>
  <c r="E15" i="78"/>
  <c r="C15" i="78"/>
  <c r="M10" i="78"/>
  <c r="P9" i="78"/>
  <c r="O10" i="78"/>
  <c r="M4" i="78"/>
  <c r="N11" i="78"/>
  <c r="B131" i="77"/>
  <c r="B129" i="77"/>
  <c r="H46" i="77"/>
  <c r="AB46" i="77"/>
  <c r="B127" i="77"/>
  <c r="J45" i="77"/>
  <c r="AC45" i="77"/>
  <c r="D126" i="77"/>
  <c r="E126" i="77"/>
  <c r="F126" i="77"/>
  <c r="G126" i="77"/>
  <c r="D124" i="77"/>
  <c r="E124"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H31" i="77"/>
  <c r="AB31" i="77"/>
  <c r="B95" i="77"/>
  <c r="B93" i="77"/>
  <c r="D92" i="77"/>
  <c r="E92" i="77"/>
  <c r="F92" i="77"/>
  <c r="G92" i="77"/>
  <c r="H92" i="77"/>
  <c r="I92" i="77"/>
  <c r="J92" i="77"/>
  <c r="K92" i="77"/>
  <c r="L92" i="77"/>
  <c r="M92" i="77"/>
  <c r="B91" i="77"/>
  <c r="D90" i="77"/>
  <c r="E90" i="77"/>
  <c r="F90" i="77"/>
  <c r="G90" i="77"/>
  <c r="H90" i="77"/>
  <c r="I90" i="77"/>
  <c r="J90" i="77"/>
  <c r="K90" i="77"/>
  <c r="L90" i="77"/>
  <c r="M90" i="77"/>
  <c r="B89" i="77"/>
  <c r="D88" i="77"/>
  <c r="E88" i="77"/>
  <c r="F88" i="77"/>
  <c r="G88" i="77"/>
  <c r="H88" i="77"/>
  <c r="I88" i="77"/>
  <c r="J88" i="77"/>
  <c r="K88" i="77"/>
  <c r="L88" i="77"/>
  <c r="M88" i="77"/>
  <c r="D86" i="77"/>
  <c r="E86" i="77"/>
  <c r="F86" i="77"/>
  <c r="G86" i="77"/>
  <c r="D84" i="77"/>
  <c r="E84" i="77"/>
  <c r="D82" i="77"/>
  <c r="D80" i="77"/>
  <c r="E80" i="77"/>
  <c r="F80" i="77"/>
  <c r="G80" i="77"/>
  <c r="D78" i="77"/>
  <c r="E78" i="77"/>
  <c r="F78" i="77"/>
  <c r="G78" i="77"/>
  <c r="B75" i="77"/>
  <c r="B73" i="77"/>
  <c r="B71" i="77"/>
  <c r="D70" i="77"/>
  <c r="E70" i="77"/>
  <c r="F70" i="77"/>
  <c r="G70" i="77"/>
  <c r="H70" i="77"/>
  <c r="I70" i="77"/>
  <c r="J70" i="77"/>
  <c r="K70" i="77"/>
  <c r="L70" i="77"/>
  <c r="M70" i="77"/>
  <c r="M68" i="77"/>
  <c r="L68" i="77"/>
  <c r="K68" i="77"/>
  <c r="J68" i="77"/>
  <c r="I68" i="77"/>
  <c r="H68" i="77"/>
  <c r="G68" i="77"/>
  <c r="F68" i="77"/>
  <c r="E68" i="77"/>
  <c r="D68" i="77"/>
  <c r="C68" i="77"/>
  <c r="F67" i="77"/>
  <c r="C64" i="77"/>
  <c r="I55" i="77"/>
  <c r="J55" i="77"/>
  <c r="G55" i="77"/>
  <c r="H55" i="77"/>
  <c r="E55" i="77"/>
  <c r="F55" i="77"/>
  <c r="P50" i="77"/>
  <c r="P49" i="77"/>
  <c r="K49" i="77"/>
  <c r="V48" i="77"/>
  <c r="T48" i="77"/>
  <c r="R48" i="77"/>
  <c r="P48" i="77"/>
  <c r="Q47" i="77"/>
  <c r="Z47" i="77"/>
  <c r="J47" i="77"/>
  <c r="AC47" i="77"/>
  <c r="H47" i="77"/>
  <c r="AB47" i="77"/>
  <c r="F47" i="77"/>
  <c r="AA47" i="77"/>
  <c r="Q46" i="77"/>
  <c r="Z46" i="77"/>
  <c r="J46" i="77"/>
  <c r="AC46" i="77"/>
  <c r="F46" i="77"/>
  <c r="AA46" i="77"/>
  <c r="Q45" i="77"/>
  <c r="Z45" i="77"/>
  <c r="Q44" i="77"/>
  <c r="Z44" i="77"/>
  <c r="J44" i="77"/>
  <c r="AC44" i="77"/>
  <c r="H44" i="77"/>
  <c r="AB44" i="77"/>
  <c r="F44" i="77"/>
  <c r="AA44" i="77"/>
  <c r="Q43" i="77"/>
  <c r="Z43" i="77"/>
  <c r="J43" i="77"/>
  <c r="AC43" i="77"/>
  <c r="H43" i="77"/>
  <c r="AB43" i="77"/>
  <c r="F43" i="77"/>
  <c r="AA43" i="77"/>
  <c r="Q42" i="77"/>
  <c r="Z42" i="77"/>
  <c r="J42" i="77"/>
  <c r="AC42" i="77"/>
  <c r="H42" i="77"/>
  <c r="AB42" i="77"/>
  <c r="F42" i="77"/>
  <c r="AA42" i="77"/>
  <c r="Q41" i="77"/>
  <c r="Z41" i="77"/>
  <c r="J41" i="77"/>
  <c r="AC41" i="77"/>
  <c r="H41" i="77"/>
  <c r="AB41" i="77"/>
  <c r="F41" i="77"/>
  <c r="AA41" i="77"/>
  <c r="Q40" i="77"/>
  <c r="Z40" i="77"/>
  <c r="J40" i="77"/>
  <c r="AC40" i="77"/>
  <c r="H40" i="77"/>
  <c r="AB40" i="77"/>
  <c r="F40" i="77"/>
  <c r="AA40" i="77"/>
  <c r="Q39" i="77"/>
  <c r="Z39" i="77"/>
  <c r="J39" i="77"/>
  <c r="AC39" i="77"/>
  <c r="H39" i="77"/>
  <c r="AB39" i="77"/>
  <c r="F39" i="77"/>
  <c r="AA39" i="77"/>
  <c r="Q38" i="77"/>
  <c r="Z38" i="77"/>
  <c r="J38" i="77"/>
  <c r="AC38" i="77"/>
  <c r="H38" i="77"/>
  <c r="AB38" i="77"/>
  <c r="F38" i="77"/>
  <c r="AA38" i="77"/>
  <c r="Q37" i="77"/>
  <c r="Z37" i="77"/>
  <c r="J37" i="77"/>
  <c r="AC37" i="77"/>
  <c r="H37" i="77"/>
  <c r="AB37" i="77"/>
  <c r="F37" i="77"/>
  <c r="AA37" i="77"/>
  <c r="Q36" i="77"/>
  <c r="Z36" i="77"/>
  <c r="J36" i="77"/>
  <c r="AC36" i="77"/>
  <c r="H36" i="77"/>
  <c r="AB36" i="77"/>
  <c r="F36" i="77"/>
  <c r="AA36" i="77"/>
  <c r="Q35" i="77"/>
  <c r="Z35" i="77"/>
  <c r="J35" i="77"/>
  <c r="AC35" i="77"/>
  <c r="H35" i="77"/>
  <c r="AB35" i="77"/>
  <c r="F35" i="77"/>
  <c r="AA35" i="77"/>
  <c r="Q34" i="77"/>
  <c r="Z34" i="77"/>
  <c r="Q33" i="77"/>
  <c r="Z33" i="77"/>
  <c r="J33" i="77"/>
  <c r="AC33" i="77"/>
  <c r="H33" i="77"/>
  <c r="AB33" i="77"/>
  <c r="F33" i="77"/>
  <c r="AA33" i="77"/>
  <c r="Q32" i="77"/>
  <c r="Z32" i="77"/>
  <c r="J32" i="77"/>
  <c r="AC32" i="77"/>
  <c r="H32" i="77"/>
  <c r="AB32" i="77"/>
  <c r="F32" i="77"/>
  <c r="AA32" i="77"/>
  <c r="Q31" i="77"/>
  <c r="Z31" i="77"/>
  <c r="J31" i="77"/>
  <c r="AC31" i="77"/>
  <c r="F31" i="77"/>
  <c r="AA31" i="77"/>
  <c r="Q30" i="77"/>
  <c r="Z30" i="77"/>
  <c r="J30" i="77"/>
  <c r="H30" i="77"/>
  <c r="AB30" i="77"/>
  <c r="F30" i="77"/>
  <c r="AA30" i="77"/>
  <c r="Q29" i="77"/>
  <c r="Z29" i="77"/>
  <c r="H29" i="77"/>
  <c r="AB29" i="77"/>
  <c r="Q28" i="77"/>
  <c r="Z28" i="77"/>
  <c r="J28" i="77"/>
  <c r="H28" i="77"/>
  <c r="AB28" i="77"/>
  <c r="F28" i="77"/>
  <c r="AA28" i="77"/>
  <c r="Q27" i="77"/>
  <c r="Z27" i="77"/>
  <c r="J27" i="77"/>
  <c r="AC27" i="77"/>
  <c r="H27" i="77"/>
  <c r="F27" i="77"/>
  <c r="AA27" i="77"/>
  <c r="Q25" i="77"/>
  <c r="Z25" i="77"/>
  <c r="J25" i="77"/>
  <c r="AC25" i="77"/>
  <c r="H25" i="77"/>
  <c r="AB25" i="77"/>
  <c r="F25" i="77"/>
  <c r="Q23" i="77"/>
  <c r="Z23" i="77"/>
  <c r="J23" i="77"/>
  <c r="AC23" i="77"/>
  <c r="H23" i="77"/>
  <c r="AB23" i="77"/>
  <c r="F23" i="77"/>
  <c r="AA23" i="77"/>
  <c r="C23" i="77"/>
  <c r="Q21" i="77"/>
  <c r="Z21" i="77"/>
  <c r="C21" i="77"/>
  <c r="Q19" i="77"/>
  <c r="Z19" i="77"/>
  <c r="J19" i="77"/>
  <c r="F19" i="77"/>
  <c r="AA19" i="77"/>
  <c r="C19" i="77"/>
  <c r="Q17" i="77"/>
  <c r="Z17" i="77"/>
  <c r="J17" i="77"/>
  <c r="AC17" i="77"/>
  <c r="H17" i="77"/>
  <c r="AB17" i="77"/>
  <c r="F17" i="77"/>
  <c r="AA17" i="77"/>
  <c r="C17" i="77"/>
  <c r="Q15" i="77"/>
  <c r="Z15" i="77"/>
  <c r="J15" i="77"/>
  <c r="AC15" i="77"/>
  <c r="H15" i="77"/>
  <c r="AB15" i="77"/>
  <c r="F15" i="77"/>
  <c r="C15" i="77"/>
  <c r="Q14" i="77"/>
  <c r="Z14" i="77"/>
  <c r="Q13" i="77"/>
  <c r="Z13" i="77"/>
  <c r="J13" i="77"/>
  <c r="AC13" i="77"/>
  <c r="H13" i="77"/>
  <c r="AB13" i="77"/>
  <c r="F13" i="77"/>
  <c r="AA13" i="77"/>
  <c r="Q12" i="77"/>
  <c r="Z12" i="77"/>
  <c r="Q11" i="77"/>
  <c r="Z11" i="77"/>
  <c r="J11" i="77"/>
  <c r="AC11" i="77"/>
  <c r="F11" i="77"/>
  <c r="AA11" i="77"/>
  <c r="Q10" i="77"/>
  <c r="Z10" i="77"/>
  <c r="Q9" i="77"/>
  <c r="Z9" i="77"/>
  <c r="J8" i="77"/>
  <c r="W8" i="77"/>
  <c r="H8" i="77"/>
  <c r="AB8" i="77"/>
  <c r="F8" i="77"/>
  <c r="S8" i="77"/>
  <c r="H11" i="77"/>
  <c r="AB11" i="77"/>
  <c r="F9" i="77"/>
  <c r="AA9" i="77"/>
  <c r="U8" i="77"/>
  <c r="C21" i="78"/>
  <c r="E19" i="78"/>
  <c r="E24" i="78"/>
  <c r="AC8" i="77"/>
  <c r="U11" i="77"/>
  <c r="W15" i="77"/>
  <c r="S17" i="77"/>
  <c r="S19" i="77"/>
  <c r="W11" i="77"/>
  <c r="S13" i="77"/>
  <c r="U15" i="77"/>
  <c r="U17" i="77"/>
  <c r="U23" i="77"/>
  <c r="W25" i="77"/>
  <c r="S28" i="77"/>
  <c r="S30" i="77"/>
  <c r="U31" i="77"/>
  <c r="S32" i="77"/>
  <c r="W32" i="77"/>
  <c r="U33" i="77"/>
  <c r="U35" i="77"/>
  <c r="S36" i="77"/>
  <c r="W36" i="77"/>
  <c r="U37" i="77"/>
  <c r="S38" i="77"/>
  <c r="W38" i="77"/>
  <c r="U39" i="77"/>
  <c r="S40" i="77"/>
  <c r="W40" i="77"/>
  <c r="U41" i="77"/>
  <c r="S42" i="77"/>
  <c r="W42" i="77"/>
  <c r="U43" i="77"/>
  <c r="S44" i="77"/>
  <c r="W44" i="77"/>
  <c r="S46" i="77"/>
  <c r="W46" i="77"/>
  <c r="W47" i="77"/>
  <c r="W23" i="77"/>
  <c r="U25" i="77"/>
  <c r="S27" i="77"/>
  <c r="U28" i="77"/>
  <c r="U30" i="77"/>
  <c r="S31" i="77"/>
  <c r="W31" i="77"/>
  <c r="U32" i="77"/>
  <c r="S33" i="77"/>
  <c r="W33" i="77"/>
  <c r="S35" i="77"/>
  <c r="W35" i="77"/>
  <c r="U36" i="77"/>
  <c r="S37" i="77"/>
  <c r="W37" i="77"/>
  <c r="U38" i="77"/>
  <c r="S39" i="77"/>
  <c r="W39" i="77"/>
  <c r="U40" i="77"/>
  <c r="S41" i="77"/>
  <c r="W41" i="77"/>
  <c r="U42" i="77"/>
  <c r="S43" i="77"/>
  <c r="W43" i="77"/>
  <c r="U44" i="77"/>
  <c r="W45" i="77"/>
  <c r="U46" i="77"/>
  <c r="S47" i="77"/>
  <c r="U47" i="77"/>
  <c r="I6" i="77"/>
  <c r="G6" i="77"/>
  <c r="S9" i="77"/>
  <c r="H16" i="49"/>
  <c r="D16" i="49"/>
  <c r="D15" i="49"/>
  <c r="B2" i="49"/>
  <c r="F15" i="49"/>
  <c r="H15" i="49"/>
  <c r="K42" i="40"/>
  <c r="K47" i="39"/>
  <c r="K36" i="36"/>
  <c r="E59" i="9"/>
  <c r="K38" i="35"/>
  <c r="K42" i="37"/>
  <c r="K49" i="34"/>
  <c r="K48" i="33"/>
  <c r="K48" i="21"/>
  <c r="H104" i="9"/>
  <c r="F59" i="9"/>
  <c r="AH5" i="71"/>
  <c r="AG5" i="71"/>
  <c r="AE5" i="71"/>
  <c r="AF5" i="71"/>
  <c r="AD5" i="71"/>
  <c r="Q5" i="71"/>
  <c r="P5" i="71"/>
  <c r="O5" i="71"/>
  <c r="N5" i="71"/>
  <c r="AH7" i="71"/>
  <c r="AG7" i="71"/>
  <c r="AE7" i="71"/>
  <c r="AF7" i="71"/>
  <c r="AD7" i="71"/>
  <c r="Q7" i="71"/>
  <c r="P7" i="71"/>
  <c r="O7" i="71"/>
  <c r="N7" i="71"/>
  <c r="Q9" i="71"/>
  <c r="P9" i="71"/>
  <c r="O9" i="71"/>
  <c r="N9" i="71"/>
  <c r="AH8" i="71"/>
  <c r="AG8" i="71"/>
  <c r="AE8" i="71"/>
  <c r="AF8" i="7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C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O13" i="71"/>
  <c r="O14" i="71"/>
  <c r="N13" i="71"/>
  <c r="N14" i="71"/>
  <c r="N15" i="71"/>
  <c r="AH14" i="71"/>
  <c r="AG14" i="71"/>
  <c r="AE14" i="71"/>
  <c r="AF14" i="71"/>
  <c r="AD14" i="71"/>
  <c r="Q15" i="71"/>
  <c r="P15" i="71"/>
  <c r="O15" i="71"/>
  <c r="D17" i="71"/>
  <c r="AH15" i="71"/>
  <c r="AG15" i="71"/>
  <c r="AE15" i="71"/>
  <c r="AF15" i="71"/>
  <c r="AD15" i="71"/>
  <c r="AD16" i="71"/>
  <c r="AG16" i="71"/>
  <c r="AH16" i="71"/>
  <c r="AE16" i="71"/>
  <c r="AF16" i="71"/>
  <c r="N16" i="71"/>
  <c r="Q16" i="71"/>
  <c r="F16" i="71"/>
  <c r="F15" i="71"/>
  <c r="F14" i="71"/>
  <c r="P16" i="71"/>
  <c r="E16" i="71"/>
  <c r="O16" i="71"/>
  <c r="Q17" i="71"/>
  <c r="P17" i="71"/>
  <c r="O17" i="71"/>
  <c r="N17" i="71"/>
  <c r="A2" i="53"/>
  <c r="K59" i="67"/>
  <c r="P61" i="67"/>
  <c r="K59" i="15"/>
  <c r="P74" i="15"/>
  <c r="P61" i="15"/>
  <c r="D116" i="39"/>
  <c r="E116" i="39"/>
  <c r="F116" i="39"/>
  <c r="G116" i="39"/>
  <c r="H116" i="39"/>
  <c r="I116" i="39"/>
  <c r="J116" i="39"/>
  <c r="K116" i="39"/>
  <c r="L116" i="39"/>
  <c r="M116" i="39"/>
  <c r="C116" i="39"/>
  <c r="A21" i="62"/>
  <c r="A20" i="62"/>
  <c r="A22" i="51"/>
  <c r="A21" i="51"/>
  <c r="A20" i="51"/>
  <c r="A15" i="62"/>
  <c r="B61" i="72"/>
  <c r="A14" i="62"/>
  <c r="A13" i="62"/>
  <c r="B59" i="72"/>
  <c r="A19" i="62"/>
  <c r="B65" i="72"/>
  <c r="A12" i="62"/>
  <c r="B58" i="72"/>
  <c r="A120" i="9"/>
  <c r="H2" i="52"/>
  <c r="A1" i="52"/>
  <c r="A3" i="53"/>
  <c r="Q18" i="71"/>
  <c r="P18" i="71"/>
  <c r="O18" i="71"/>
  <c r="N18" i="71"/>
  <c r="A15" i="51"/>
  <c r="B12" i="72"/>
  <c r="C76" i="9"/>
  <c r="I107" i="40"/>
  <c r="K6" i="4"/>
  <c r="M56" i="9"/>
  <c r="B22" i="31"/>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B54" i="72"/>
  <c r="E111" i="9"/>
  <c r="A126" i="9"/>
  <c r="E109" i="9"/>
  <c r="A124" i="9"/>
  <c r="B44" i="72"/>
  <c r="B42" i="72"/>
  <c r="B69" i="72"/>
  <c r="B68" i="72"/>
  <c r="B63" i="72"/>
  <c r="B62" i="72"/>
  <c r="B16" i="72"/>
  <c r="B60" i="72"/>
  <c r="B67" i="72"/>
  <c r="B66" i="72"/>
  <c r="B10" i="72"/>
  <c r="C53" i="10"/>
  <c r="B51" i="10"/>
  <c r="B19" i="72"/>
  <c r="B49" i="48"/>
  <c r="B5" i="72"/>
  <c r="I19" i="43"/>
  <c r="D81" i="71"/>
  <c r="F80" i="71"/>
  <c r="F79" i="71"/>
  <c r="F78" i="71"/>
  <c r="E80" i="71"/>
  <c r="E79" i="71"/>
  <c r="E78" i="71"/>
  <c r="C80" i="71"/>
  <c r="D80" i="71"/>
  <c r="B80" i="71"/>
  <c r="B79" i="71"/>
  <c r="B78" i="71"/>
  <c r="D77" i="71"/>
  <c r="F76" i="71"/>
  <c r="F75" i="71"/>
  <c r="F74" i="71"/>
  <c r="E76" i="71"/>
  <c r="E75" i="71"/>
  <c r="E74" i="71"/>
  <c r="C76" i="71"/>
  <c r="D76" i="71"/>
  <c r="B76"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AB31" i="71"/>
  <c r="P31" i="71"/>
  <c r="AA31" i="71"/>
  <c r="O31" i="71"/>
  <c r="Y31" i="71"/>
  <c r="Z31" i="71"/>
  <c r="N31" i="71"/>
  <c r="X31" i="71"/>
  <c r="Q30" i="71"/>
  <c r="AB30" i="71"/>
  <c r="P30" i="71"/>
  <c r="O30" i="71"/>
  <c r="Y30" i="71"/>
  <c r="Z30" i="71"/>
  <c r="N30" i="71"/>
  <c r="Q29" i="71"/>
  <c r="F30" i="71"/>
  <c r="F31" i="71"/>
  <c r="F32" i="71"/>
  <c r="V32" i="71"/>
  <c r="P29" i="71"/>
  <c r="O29" i="71"/>
  <c r="N29" i="71"/>
  <c r="B30" i="71"/>
  <c r="B31" i="71"/>
  <c r="B32" i="71"/>
  <c r="S32" i="71"/>
  <c r="D29" i="71"/>
  <c r="Q28" i="71"/>
  <c r="AB28" i="71"/>
  <c r="P28" i="71"/>
  <c r="O28" i="71"/>
  <c r="Y28" i="71"/>
  <c r="Z28" i="71"/>
  <c r="N28" i="71"/>
  <c r="Q27" i="71"/>
  <c r="AB27" i="71"/>
  <c r="P27" i="71"/>
  <c r="O27" i="71"/>
  <c r="Y27" i="71"/>
  <c r="Z27" i="71"/>
  <c r="N27" i="71"/>
  <c r="Q26" i="71"/>
  <c r="P26" i="71"/>
  <c r="O26" i="71"/>
  <c r="N26" i="71"/>
  <c r="Q25" i="71"/>
  <c r="F26" i="71"/>
  <c r="F27" i="71"/>
  <c r="F28" i="71"/>
  <c r="V28" i="71"/>
  <c r="P25" i="71"/>
  <c r="O25" i="71"/>
  <c r="C26" i="71"/>
  <c r="N25" i="71"/>
  <c r="X25" i="71"/>
  <c r="D25" i="71"/>
  <c r="Q24" i="71"/>
  <c r="AB24" i="71"/>
  <c r="P24" i="71"/>
  <c r="AA24" i="71"/>
  <c r="O24" i="71"/>
  <c r="Y24" i="71"/>
  <c r="Z24" i="71"/>
  <c r="N24" i="71"/>
  <c r="Q23" i="71"/>
  <c r="P23" i="71"/>
  <c r="AA22" i="71"/>
  <c r="O23" i="71"/>
  <c r="N23" i="71"/>
  <c r="X23" i="71"/>
  <c r="Q22" i="71"/>
  <c r="AB22" i="71"/>
  <c r="P22" i="71"/>
  <c r="O22" i="71"/>
  <c r="N22" i="71"/>
  <c r="Q21" i="71"/>
  <c r="F22" i="71"/>
  <c r="F23" i="71"/>
  <c r="F24" i="71"/>
  <c r="V24" i="71"/>
  <c r="P21" i="71"/>
  <c r="E22" i="71"/>
  <c r="E23" i="71"/>
  <c r="E24" i="71"/>
  <c r="U24" i="71"/>
  <c r="O21" i="71"/>
  <c r="Y18" i="71"/>
  <c r="Z18" i="71"/>
  <c r="N21" i="71"/>
  <c r="D21" i="71"/>
  <c r="O20" i="71"/>
  <c r="N20" i="71"/>
  <c r="B22" i="71"/>
  <c r="B26" i="71"/>
  <c r="B27" i="71"/>
  <c r="B28" i="71"/>
  <c r="S28" i="71"/>
  <c r="E30" i="71"/>
  <c r="E31" i="71"/>
  <c r="E32" i="71"/>
  <c r="U32" i="71"/>
  <c r="AA29" i="71"/>
  <c r="N60" i="71"/>
  <c r="E26" i="71"/>
  <c r="E27" i="71"/>
  <c r="E28" i="71"/>
  <c r="U28" i="71"/>
  <c r="AA25" i="71"/>
  <c r="X22" i="71"/>
  <c r="X24" i="71"/>
  <c r="C27" i="71"/>
  <c r="AB25" i="71"/>
  <c r="AA26" i="71"/>
  <c r="AA27" i="71"/>
  <c r="X28" i="71"/>
  <c r="AA28" i="71"/>
  <c r="C30" i="71"/>
  <c r="Y29" i="71"/>
  <c r="Z29" i="71"/>
  <c r="AB29" i="71"/>
  <c r="X30" i="71"/>
  <c r="AA30" i="71"/>
  <c r="F43" i="71"/>
  <c r="F44" i="71"/>
  <c r="V44" i="71"/>
  <c r="C20" i="71"/>
  <c r="C19" i="71"/>
  <c r="B20" i="71"/>
  <c r="B19" i="71"/>
  <c r="B18" i="71"/>
  <c r="X17" i="71"/>
  <c r="X19" i="71"/>
  <c r="D26" i="71"/>
  <c r="C31" i="71"/>
  <c r="D30" i="71"/>
  <c r="C39" i="71"/>
  <c r="D39" i="71"/>
  <c r="D38" i="71"/>
  <c r="C43" i="71"/>
  <c r="D42" i="71"/>
  <c r="P20" i="71"/>
  <c r="AA3" i="71"/>
  <c r="E47" i="71"/>
  <c r="E48" i="71"/>
  <c r="U48" i="71"/>
  <c r="E51" i="71"/>
  <c r="E52" i="71"/>
  <c r="U52" i="71"/>
  <c r="E55" i="71"/>
  <c r="E56" i="71"/>
  <c r="U56" i="71"/>
  <c r="U60" i="71"/>
  <c r="E59" i="71"/>
  <c r="Q20" i="71"/>
  <c r="F20" i="71"/>
  <c r="F19" i="71"/>
  <c r="F18" i="71"/>
  <c r="C51" i="71"/>
  <c r="D50" i="71"/>
  <c r="C55" i="71"/>
  <c r="D54" i="71"/>
  <c r="N59" i="71"/>
  <c r="B58" i="71"/>
  <c r="N58" i="71"/>
  <c r="T60" i="71"/>
  <c r="O60" i="71"/>
  <c r="D60" i="71"/>
  <c r="C59" i="71"/>
  <c r="D59" i="71"/>
  <c r="Q60" i="71"/>
  <c r="C63" i="71"/>
  <c r="C62" i="71"/>
  <c r="D62" i="71"/>
  <c r="E63" i="71"/>
  <c r="E62" i="71"/>
  <c r="D64" i="71"/>
  <c r="C67" i="71"/>
  <c r="D67" i="71"/>
  <c r="E67" i="71"/>
  <c r="E66" i="71"/>
  <c r="D68" i="71"/>
  <c r="C71" i="71"/>
  <c r="D71" i="71"/>
  <c r="E71" i="71"/>
  <c r="E70" i="71"/>
  <c r="D72" i="71"/>
  <c r="C75" i="71"/>
  <c r="C74" i="71"/>
  <c r="D74" i="71"/>
  <c r="C79" i="71"/>
  <c r="T20" i="71"/>
  <c r="S20" i="71"/>
  <c r="AB17" i="71"/>
  <c r="AB19" i="71"/>
  <c r="E20" i="71"/>
  <c r="E19" i="71"/>
  <c r="E18" i="71"/>
  <c r="AA19" i="71"/>
  <c r="D20" i="71"/>
  <c r="U20" i="71"/>
  <c r="C58" i="71"/>
  <c r="D58" i="71"/>
  <c r="O59" i="71"/>
  <c r="C56" i="71"/>
  <c r="D55" i="71"/>
  <c r="D75" i="71"/>
  <c r="D79" i="71"/>
  <c r="C78" i="71"/>
  <c r="D78" i="71"/>
  <c r="C70" i="71"/>
  <c r="D70" i="71"/>
  <c r="C52" i="71"/>
  <c r="T52" i="71"/>
  <c r="D51" i="71"/>
  <c r="P59" i="71"/>
  <c r="E58" i="71"/>
  <c r="P57" i="71"/>
  <c r="C44" i="71"/>
  <c r="T44" i="71"/>
  <c r="D43" i="71"/>
  <c r="C32" i="71"/>
  <c r="T32" i="71"/>
  <c r="D31" i="71"/>
  <c r="V20" i="71"/>
  <c r="P58" i="71"/>
  <c r="O57" i="71"/>
  <c r="D32" i="71"/>
  <c r="M19" i="43"/>
  <c r="D44"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C21" i="34"/>
  <c r="Q21" i="33"/>
  <c r="Z21" i="33"/>
  <c r="C21" i="33"/>
  <c r="C21" i="21"/>
  <c r="Q21" i="21"/>
  <c r="Z21" i="21"/>
  <c r="H19" i="21"/>
  <c r="D83" i="21"/>
  <c r="F21" i="21"/>
  <c r="AA21" i="21"/>
  <c r="D81" i="21"/>
  <c r="G20" i="20"/>
  <c r="B86" i="43"/>
  <c r="C22" i="20"/>
  <c r="B75" i="43"/>
  <c r="B55" i="43"/>
  <c r="B66" i="43"/>
  <c r="C25" i="40"/>
  <c r="C29" i="39"/>
  <c r="S25" i="40"/>
  <c r="S29" i="39"/>
  <c r="U18" i="36"/>
  <c r="H25" i="40"/>
  <c r="U25" i="40"/>
  <c r="J25" i="40"/>
  <c r="W25" i="40"/>
  <c r="H29" i="39"/>
  <c r="U29" i="39"/>
  <c r="J29" i="39"/>
  <c r="W29" i="39"/>
  <c r="J18" i="36"/>
  <c r="W18" i="36"/>
  <c r="F68" i="35"/>
  <c r="H18" i="35"/>
  <c r="U18" i="35"/>
  <c r="S18" i="35"/>
  <c r="G68" i="35"/>
  <c r="J18" i="35"/>
  <c r="H21" i="37"/>
  <c r="F21" i="37"/>
  <c r="S21" i="37"/>
  <c r="F83" i="33"/>
  <c r="G83" i="33"/>
  <c r="E83" i="21"/>
  <c r="F83" i="21"/>
  <c r="G83" i="21"/>
  <c r="H1" i="69"/>
  <c r="AB25" i="40"/>
  <c r="AB29" i="39"/>
  <c r="AC18" i="36"/>
  <c r="AB21" i="37"/>
  <c r="U21" i="37"/>
  <c r="AB18" i="35"/>
  <c r="AC18" i="35"/>
  <c r="W18" i="35"/>
  <c r="J21" i="37"/>
  <c r="W21" i="37"/>
  <c r="H21" i="21"/>
  <c r="F38" i="69"/>
  <c r="E37" i="69"/>
  <c r="F36" i="69"/>
  <c r="F35" i="69"/>
  <c r="F21" i="69"/>
  <c r="F40" i="69"/>
  <c r="F20" i="69"/>
  <c r="F39" i="69"/>
  <c r="E10" i="69"/>
  <c r="E9" i="69"/>
  <c r="AC21" i="37"/>
  <c r="AB21" i="21"/>
  <c r="U21" i="21"/>
  <c r="J21" i="21"/>
  <c r="W21" i="21"/>
  <c r="F38" i="68"/>
  <c r="E37" i="68"/>
  <c r="F36" i="68"/>
  <c r="F35" i="68"/>
  <c r="F21" i="68"/>
  <c r="F40" i="68"/>
  <c r="F20" i="68"/>
  <c r="F39" i="68"/>
  <c r="E10" i="68"/>
  <c r="E9" i="68"/>
  <c r="AC21" i="21"/>
  <c r="Q72" i="67"/>
  <c r="Q59" i="67"/>
  <c r="Q58" i="67"/>
  <c r="Q51" i="67"/>
  <c r="J50" i="67"/>
  <c r="M47" i="67"/>
  <c r="D46" i="67"/>
  <c r="F33" i="67"/>
  <c r="F61" i="67"/>
  <c r="F23" i="67"/>
  <c r="D24" i="67"/>
  <c r="F21" i="67"/>
  <c r="F20" i="67"/>
  <c r="M19" i="67"/>
  <c r="F18" i="67"/>
  <c r="F17" i="67"/>
  <c r="F15" i="67"/>
  <c r="S2" i="4"/>
  <c r="C51" i="10"/>
  <c r="A13" i="51"/>
  <c r="B11" i="72"/>
  <c r="S1" i="4"/>
  <c r="B1" i="4"/>
  <c r="C27" i="66"/>
  <c r="C31"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G10" i="1"/>
  <c r="D11" i="1"/>
  <c r="D12" i="1"/>
  <c r="D13" i="1"/>
  <c r="D7" i="1"/>
  <c r="D8" i="1"/>
  <c r="A7" i="1"/>
  <c r="B7" i="1"/>
  <c r="E7" i="1"/>
  <c r="A8" i="1"/>
  <c r="K8" i="1"/>
  <c r="M8" i="1"/>
  <c r="A9" i="1"/>
  <c r="K9" i="1"/>
  <c r="M9" i="1"/>
  <c r="A10" i="1"/>
  <c r="K10" i="1"/>
  <c r="M10" i="1"/>
  <c r="A11" i="1"/>
  <c r="K11" i="1"/>
  <c r="M11" i="1"/>
  <c r="A12" i="1"/>
  <c r="K12" i="1"/>
  <c r="M12" i="1"/>
  <c r="A13" i="1"/>
  <c r="K13" i="1"/>
  <c r="M13" i="1"/>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D15" i="4"/>
  <c r="F7" i="1"/>
  <c r="G7" i="1"/>
  <c r="L21" i="4"/>
  <c r="F19" i="4"/>
  <c r="F2" i="52"/>
  <c r="B50" i="72"/>
  <c r="D2" i="52"/>
  <c r="B46" i="72"/>
  <c r="B8" i="53"/>
  <c r="B23" i="72"/>
  <c r="L4" i="9"/>
  <c r="B17" i="72"/>
  <c r="B15" i="72"/>
  <c r="A3" i="51"/>
  <c r="C8" i="11"/>
  <c r="B40" i="48"/>
  <c r="B3" i="72"/>
  <c r="N1" i="43"/>
  <c r="F35" i="4"/>
  <c r="J55" i="39"/>
  <c r="H34" i="43"/>
  <c r="H35" i="43"/>
  <c r="H36" i="43"/>
  <c r="H37" i="43"/>
  <c r="H38" i="43"/>
  <c r="H39" i="43"/>
  <c r="H33" i="43"/>
  <c r="F15" i="43"/>
  <c r="E15" i="43"/>
  <c r="D15" i="43"/>
  <c r="C15" i="43"/>
  <c r="C10" i="43"/>
  <c r="C11" i="43"/>
  <c r="C9" i="43"/>
  <c r="A7" i="43"/>
  <c r="F33" i="15"/>
  <c r="F61" i="15"/>
  <c r="M19" i="15"/>
  <c r="BR13" i="3"/>
  <c r="O10" i="1"/>
  <c r="P10" i="1"/>
  <c r="B22" i="1"/>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c r="O13" i="1"/>
  <c r="P13" i="1"/>
  <c r="E22" i="6"/>
  <c r="E23" i="6"/>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D10" i="3"/>
  <c r="BB10"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J23" i="36"/>
  <c r="AC23"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B57" i="35"/>
  <c r="B61" i="35"/>
  <c r="B59" i="35"/>
  <c r="B131" i="34"/>
  <c r="B129" i="34"/>
  <c r="B127" i="34"/>
  <c r="J45" i="34"/>
  <c r="B99" i="34"/>
  <c r="B97" i="34"/>
  <c r="J31" i="34"/>
  <c r="AC31" i="34"/>
  <c r="B95" i="34"/>
  <c r="B93" i="34"/>
  <c r="B75" i="34"/>
  <c r="B73" i="34"/>
  <c r="H13" i="34"/>
  <c r="B71" i="34"/>
  <c r="B130" i="33"/>
  <c r="B128" i="33"/>
  <c r="B98" i="33"/>
  <c r="B96" i="33"/>
  <c r="J30"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H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F67" i="34"/>
  <c r="G67" i="34"/>
  <c r="D126" i="34"/>
  <c r="D124" i="34"/>
  <c r="E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D92" i="34"/>
  <c r="E92" i="34"/>
  <c r="F92" i="34"/>
  <c r="G92" i="34"/>
  <c r="H92" i="34"/>
  <c r="I92" i="34"/>
  <c r="J92" i="34"/>
  <c r="K92" i="34"/>
  <c r="L92" i="34"/>
  <c r="M92" i="34"/>
  <c r="B91" i="34"/>
  <c r="F28" i="34"/>
  <c r="B89" i="34"/>
  <c r="J27" i="34"/>
  <c r="D86" i="34"/>
  <c r="E86" i="34"/>
  <c r="F86" i="34"/>
  <c r="G86" i="34"/>
  <c r="D82" i="34"/>
  <c r="E82" i="34"/>
  <c r="F82" i="34"/>
  <c r="G82" i="34"/>
  <c r="D70" i="34"/>
  <c r="E70" i="34"/>
  <c r="M68" i="34"/>
  <c r="L68" i="34"/>
  <c r="K68" i="34"/>
  <c r="J68" i="34"/>
  <c r="I68" i="34"/>
  <c r="H68" i="34"/>
  <c r="G68" i="34"/>
  <c r="F68" i="34"/>
  <c r="E68" i="34"/>
  <c r="D68" i="34"/>
  <c r="C68" i="34"/>
  <c r="C64" i="34"/>
  <c r="P50" i="34"/>
  <c r="P49"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F9" i="34"/>
  <c r="AA9" i="34"/>
  <c r="J8" i="34"/>
  <c r="AC8" i="34"/>
  <c r="H8" i="34"/>
  <c r="U8" i="34"/>
  <c r="F8" i="34"/>
  <c r="AA8" i="34"/>
  <c r="D121" i="33"/>
  <c r="E121" i="33"/>
  <c r="F109" i="33"/>
  <c r="E109" i="33"/>
  <c r="D109" i="33"/>
  <c r="C109" i="33"/>
  <c r="D91" i="33"/>
  <c r="E91" i="33"/>
  <c r="B88" i="33"/>
  <c r="J26" i="33"/>
  <c r="C23" i="33"/>
  <c r="C19" i="33"/>
  <c r="C17" i="33"/>
  <c r="C15" i="33"/>
  <c r="C15" i="21"/>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E85"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F42" i="21"/>
  <c r="AA42" i="21"/>
  <c r="D119" i="21"/>
  <c r="E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B92" i="21"/>
  <c r="B90" i="2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26" i="21"/>
  <c r="W26" i="21"/>
  <c r="F26" i="21"/>
  <c r="S26" i="21"/>
  <c r="AB41" i="21"/>
  <c r="S41" i="21"/>
  <c r="AA41" i="21"/>
  <c r="F45" i="39"/>
  <c r="S45" i="39"/>
  <c r="J45" i="39"/>
  <c r="W45" i="39"/>
  <c r="J44" i="39"/>
  <c r="F36" i="39"/>
  <c r="H36" i="39"/>
  <c r="AB36" i="39"/>
  <c r="J35" i="39"/>
  <c r="F35" i="39"/>
  <c r="J36" i="39"/>
  <c r="AC36" i="39"/>
  <c r="U9" i="39"/>
  <c r="W40" i="39"/>
  <c r="W25" i="37"/>
  <c r="U30" i="37"/>
  <c r="W31" i="37"/>
  <c r="E103" i="37"/>
  <c r="F103" i="37"/>
  <c r="G103" i="37"/>
  <c r="H103" i="37"/>
  <c r="I103" i="37"/>
  <c r="J103" i="37"/>
  <c r="K103" i="37"/>
  <c r="L103" i="37"/>
  <c r="M103" i="37"/>
  <c r="F39" i="37"/>
  <c r="S39" i="37"/>
  <c r="F29" i="36"/>
  <c r="AA29" i="36"/>
  <c r="W8" i="36"/>
  <c r="F16" i="36"/>
  <c r="AA16" i="36"/>
  <c r="U9" i="36"/>
  <c r="W28" i="36"/>
  <c r="S30" i="36"/>
  <c r="AC31" i="36"/>
  <c r="W31" i="36"/>
  <c r="U31" i="36"/>
  <c r="J33" i="36"/>
  <c r="W33" i="36"/>
  <c r="H22" i="35"/>
  <c r="AB22" i="35"/>
  <c r="AC27" i="35"/>
  <c r="W28" i="35"/>
  <c r="U31" i="35"/>
  <c r="W22" i="35"/>
  <c r="S31" i="35"/>
  <c r="F36" i="34"/>
  <c r="S36" i="34"/>
  <c r="J35" i="34"/>
  <c r="AC35" i="34"/>
  <c r="F26" i="33"/>
  <c r="AA26" i="33"/>
  <c r="S9" i="33"/>
  <c r="U35" i="33"/>
  <c r="S40" i="33"/>
  <c r="W39" i="33"/>
  <c r="H39" i="37"/>
  <c r="AB39" i="37"/>
  <c r="S27" i="35"/>
  <c r="F11" i="40"/>
  <c r="AA11" i="40"/>
  <c r="H11" i="40"/>
  <c r="AB11" i="40"/>
  <c r="W8" i="40"/>
  <c r="AA9" i="40"/>
  <c r="AC9" i="40"/>
  <c r="U9" i="40"/>
  <c r="S34" i="40"/>
  <c r="U34" i="40"/>
  <c r="S38" i="40"/>
  <c r="F42" i="39"/>
  <c r="F41" i="39"/>
  <c r="H40" i="39"/>
  <c r="AB40" i="39"/>
  <c r="H39" i="39"/>
  <c r="U39" i="39"/>
  <c r="S38" i="39"/>
  <c r="S34" i="39"/>
  <c r="H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B12" i="35"/>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24" i="36"/>
  <c r="AA24" i="36"/>
  <c r="F34" i="36"/>
  <c r="S34" i="36"/>
  <c r="S10" i="36"/>
  <c r="AB8" i="36"/>
  <c r="S8" i="36"/>
  <c r="U8" i="35"/>
  <c r="F14" i="35"/>
  <c r="AA14" i="35"/>
  <c r="F23" i="35"/>
  <c r="AA23" i="35"/>
  <c r="J32" i="35"/>
  <c r="AC32" i="35"/>
  <c r="J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U42" i="34"/>
  <c r="H40" i="34"/>
  <c r="U40" i="34"/>
  <c r="E114" i="34"/>
  <c r="F114" i="34"/>
  <c r="G114" i="34"/>
  <c r="H114" i="34"/>
  <c r="I114" i="34"/>
  <c r="J114" i="34"/>
  <c r="K114" i="34"/>
  <c r="L114" i="34"/>
  <c r="M114" i="34"/>
  <c r="H36" i="34"/>
  <c r="U36" i="34"/>
  <c r="F27" i="34"/>
  <c r="AA27" i="34"/>
  <c r="H23" i="34"/>
  <c r="U23" i="34"/>
  <c r="J23" i="34"/>
  <c r="W23" i="34"/>
  <c r="F19" i="34"/>
  <c r="AA19" i="34"/>
  <c r="S38" i="33"/>
  <c r="E113" i="33"/>
  <c r="S26"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S29" i="35"/>
  <c r="H29" i="35"/>
  <c r="AB29" i="35"/>
  <c r="H33" i="37"/>
  <c r="F33" i="37"/>
  <c r="AA33" i="37"/>
  <c r="U34" i="37"/>
  <c r="S34" i="37"/>
  <c r="AA34" i="37"/>
  <c r="AB42" i="34"/>
  <c r="J40" i="34"/>
  <c r="AC40" i="34"/>
  <c r="H38" i="34"/>
  <c r="AB38" i="34"/>
  <c r="J36" i="34"/>
  <c r="W36" i="34"/>
  <c r="F23" i="34"/>
  <c r="AA23" i="34"/>
  <c r="J19" i="34"/>
  <c r="AC19" i="34"/>
  <c r="S15" i="34"/>
  <c r="S41" i="33"/>
  <c r="F113" i="33"/>
  <c r="G113" i="33"/>
  <c r="H113" i="33"/>
  <c r="I113" i="33"/>
  <c r="J113" i="33"/>
  <c r="K113" i="33"/>
  <c r="L113" i="33"/>
  <c r="M113" i="33"/>
  <c r="F28" i="40"/>
  <c r="AA28" i="40"/>
  <c r="AA29" i="35"/>
  <c r="AA42" i="34"/>
  <c r="S42" i="34"/>
  <c r="W11" i="33"/>
  <c r="U23" i="40"/>
  <c r="H123" i="21"/>
  <c r="I123" i="21"/>
  <c r="J123" i="21"/>
  <c r="K123" i="21"/>
  <c r="L123" i="21"/>
  <c r="M123" i="21"/>
  <c r="J42" i="21"/>
  <c r="AC42" i="21"/>
  <c r="H42" i="21"/>
  <c r="U42" i="21"/>
  <c r="J44" i="34"/>
  <c r="W44" i="34"/>
  <c r="J10" i="35"/>
  <c r="W10" i="35"/>
  <c r="BL587" i="3"/>
  <c r="J14" i="21"/>
  <c r="W14" i="21"/>
  <c r="F14" i="21"/>
  <c r="S14" i="21"/>
  <c r="H14" i="21"/>
  <c r="U14" i="21"/>
  <c r="H28" i="21"/>
  <c r="AB28" i="21"/>
  <c r="F28" i="21"/>
  <c r="AA28" i="21"/>
  <c r="J28" i="21"/>
  <c r="W28" i="21"/>
  <c r="H30" i="21"/>
  <c r="U30" i="21"/>
  <c r="F30" i="21"/>
  <c r="S30" i="21"/>
  <c r="J30" i="21"/>
  <c r="AC30" i="21"/>
  <c r="F119" i="21"/>
  <c r="G119" i="21"/>
  <c r="H119" i="21"/>
  <c r="I119" i="21"/>
  <c r="J119" i="21"/>
  <c r="K119" i="21"/>
  <c r="L119" i="21"/>
  <c r="M119" i="21"/>
  <c r="H26" i="33"/>
  <c r="F33" i="35"/>
  <c r="S33" i="35"/>
  <c r="J33" i="35"/>
  <c r="AC33" i="35"/>
  <c r="F30" i="35"/>
  <c r="S30" i="35"/>
  <c r="E89" i="35"/>
  <c r="F89" i="35"/>
  <c r="G89" i="35"/>
  <c r="H89" i="35"/>
  <c r="I89" i="35"/>
  <c r="J89" i="35"/>
  <c r="K89" i="35"/>
  <c r="L89" i="35"/>
  <c r="M89" i="35"/>
  <c r="H10" i="36"/>
  <c r="AB10" i="36"/>
  <c r="J14" i="36"/>
  <c r="AC14" i="36"/>
  <c r="H14" i="36"/>
  <c r="U14" i="36"/>
  <c r="F28" i="36"/>
  <c r="AA28" i="36"/>
  <c r="J31" i="21"/>
  <c r="AC31" i="21"/>
  <c r="F31" i="21"/>
  <c r="S31" i="21"/>
  <c r="F45" i="21"/>
  <c r="AA45" i="21"/>
  <c r="F27" i="33"/>
  <c r="AA27" i="33"/>
  <c r="J13" i="33"/>
  <c r="H13" i="33"/>
  <c r="F13" i="33"/>
  <c r="S13" i="33"/>
  <c r="J29" i="33"/>
  <c r="AC29" i="33"/>
  <c r="H29" i="33"/>
  <c r="U29" i="33"/>
  <c r="F29" i="33"/>
  <c r="S29" i="33"/>
  <c r="J31" i="33"/>
  <c r="H31" i="33"/>
  <c r="U31" i="33"/>
  <c r="F31" i="33"/>
  <c r="H45" i="33"/>
  <c r="J45" i="33"/>
  <c r="W45" i="33"/>
  <c r="F45" i="33"/>
  <c r="AA45" i="33"/>
  <c r="J14" i="34"/>
  <c r="W14" i="34"/>
  <c r="F14" i="34"/>
  <c r="H14" i="34"/>
  <c r="H30" i="34"/>
  <c r="U30" i="34"/>
  <c r="F30" i="34"/>
  <c r="S30" i="34"/>
  <c r="J30" i="34"/>
  <c r="W30" i="34"/>
  <c r="H32" i="34"/>
  <c r="U32" i="34"/>
  <c r="F32" i="34"/>
  <c r="S32" i="34"/>
  <c r="J32" i="34"/>
  <c r="W32" i="34"/>
  <c r="H11" i="35"/>
  <c r="U11" i="35"/>
  <c r="J11" i="35"/>
  <c r="AC11" i="35"/>
  <c r="F11" i="35"/>
  <c r="S11" i="35"/>
  <c r="J26" i="36"/>
  <c r="W26" i="36"/>
  <c r="H28" i="36"/>
  <c r="U28" i="36"/>
  <c r="H32" i="36"/>
  <c r="AB32" i="36"/>
  <c r="J32" i="36"/>
  <c r="W32"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30" i="33"/>
  <c r="AB30" i="33"/>
  <c r="F30" i="33"/>
  <c r="J46" i="33"/>
  <c r="AC46" i="33"/>
  <c r="F46" i="33"/>
  <c r="AA46" i="33"/>
  <c r="H46" i="33"/>
  <c r="AB46" i="33"/>
  <c r="H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H14" i="39"/>
  <c r="AB14" i="39"/>
  <c r="F12" i="40"/>
  <c r="S12" i="40"/>
  <c r="H12" i="40"/>
  <c r="AB12" i="40"/>
  <c r="H30" i="40"/>
  <c r="AB30" i="40"/>
  <c r="F33" i="40"/>
  <c r="AA33" i="40"/>
  <c r="H33" i="40"/>
  <c r="J35" i="40"/>
  <c r="AC35" i="40"/>
  <c r="J37" i="40"/>
  <c r="AC37" i="40"/>
  <c r="H13" i="40"/>
  <c r="U13" i="40"/>
  <c r="J13" i="40"/>
  <c r="W13" i="40"/>
  <c r="F13" i="40"/>
  <c r="AA13" i="40"/>
  <c r="F14" i="37"/>
  <c r="F27" i="37"/>
  <c r="AA27" i="37"/>
  <c r="F13" i="39"/>
  <c r="J13" i="39"/>
  <c r="W13" i="39"/>
  <c r="H13" i="39"/>
  <c r="H14" i="40"/>
  <c r="J14" i="40"/>
  <c r="W14" i="40"/>
  <c r="F14" i="40"/>
  <c r="J14" i="37"/>
  <c r="J27" i="37"/>
  <c r="AC27" i="37"/>
  <c r="AA13" i="35"/>
  <c r="J36" i="37"/>
  <c r="AC36" i="37"/>
  <c r="G105" i="37"/>
  <c r="AB11" i="35"/>
  <c r="J10" i="36"/>
  <c r="AC10" i="36"/>
  <c r="AC13" i="36"/>
  <c r="W13" i="36"/>
  <c r="W11" i="35"/>
  <c r="S45" i="33"/>
  <c r="W29" i="33"/>
  <c r="BA585" i="3"/>
  <c r="AZ585" i="3"/>
  <c r="F17" i="21"/>
  <c r="AA17" i="21"/>
  <c r="H17" i="21"/>
  <c r="AB17" i="21"/>
  <c r="F15" i="21"/>
  <c r="S15" i="21"/>
  <c r="AB11" i="21"/>
  <c r="J41" i="39"/>
  <c r="W41" i="39"/>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c r="BA552" i="3"/>
  <c r="AZ552" i="3"/>
  <c r="BA548" i="3"/>
  <c r="AZ548" i="3"/>
  <c r="BA546" i="3"/>
  <c r="BA544" i="3"/>
  <c r="AZ544" i="3"/>
  <c r="BA542" i="3"/>
  <c r="BA540" i="3"/>
  <c r="AZ540" i="3"/>
  <c r="BA538" i="3"/>
  <c r="AZ538" i="3"/>
  <c r="BA536" i="3"/>
  <c r="AZ536" i="3"/>
  <c r="BA534" i="3"/>
  <c r="BA532" i="3"/>
  <c r="AZ532" i="3"/>
  <c r="BA530" i="3"/>
  <c r="BA528" i="3"/>
  <c r="AZ528" i="3"/>
  <c r="BA526" i="3"/>
  <c r="AZ526" i="3"/>
  <c r="BA524" i="3"/>
  <c r="BA522" i="3"/>
  <c r="AZ522" i="3"/>
  <c r="BA520" i="3"/>
  <c r="BA518" i="3"/>
  <c r="AZ518" i="3"/>
  <c r="BA516" i="3"/>
  <c r="AZ516" i="3"/>
  <c r="BA514" i="3"/>
  <c r="BA512" i="3"/>
  <c r="AZ512" i="3"/>
  <c r="BA510" i="3"/>
  <c r="AZ510" i="3"/>
  <c r="BA508" i="3"/>
  <c r="BA506" i="3"/>
  <c r="BA504" i="3"/>
  <c r="BA502" i="3"/>
  <c r="AZ502" i="3"/>
  <c r="BA500" i="3"/>
  <c r="BA498" i="3"/>
  <c r="AZ498" i="3"/>
  <c r="BA496" i="3"/>
  <c r="BA494" i="3"/>
  <c r="BA587" i="3"/>
  <c r="AZ587" i="3"/>
  <c r="BA583" i="3"/>
  <c r="BA581" i="3"/>
  <c r="BA579" i="3"/>
  <c r="BA577" i="3"/>
  <c r="AZ577" i="3"/>
  <c r="BA575" i="3"/>
  <c r="AZ575" i="3"/>
  <c r="BA573" i="3"/>
  <c r="BA571" i="3"/>
  <c r="BA569" i="3"/>
  <c r="AZ569" i="3"/>
  <c r="BA567" i="3"/>
  <c r="AZ567" i="3"/>
  <c r="BA565" i="3"/>
  <c r="BA563" i="3"/>
  <c r="BA561" i="3"/>
  <c r="BA559" i="3"/>
  <c r="BA555" i="3"/>
  <c r="BA553" i="3"/>
  <c r="BA549" i="3"/>
  <c r="BA547" i="3"/>
  <c r="BA545" i="3"/>
  <c r="AZ545" i="3"/>
  <c r="BA543" i="3"/>
  <c r="BA541" i="3"/>
  <c r="AZ541" i="3"/>
  <c r="BA539" i="3"/>
  <c r="BA537" i="3"/>
  <c r="AZ537" i="3"/>
  <c r="BA535" i="3"/>
  <c r="BA533" i="3"/>
  <c r="AZ533" i="3"/>
  <c r="BA531" i="3"/>
  <c r="BA529" i="3"/>
  <c r="AZ529" i="3"/>
  <c r="BA527" i="3"/>
  <c r="BA525" i="3"/>
  <c r="AZ525" i="3"/>
  <c r="BA523" i="3"/>
  <c r="BA519" i="3"/>
  <c r="AZ519" i="3"/>
  <c r="BA517" i="3"/>
  <c r="BA515" i="3"/>
  <c r="BA513" i="3"/>
  <c r="BA511" i="3"/>
  <c r="AZ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AZ581" i="3"/>
  <c r="BQ579" i="3"/>
  <c r="BL579" i="3"/>
  <c r="AZ579" i="3"/>
  <c r="BQ577" i="3"/>
  <c r="BL577" i="3"/>
  <c r="BQ575" i="3"/>
  <c r="BL575" i="3"/>
  <c r="BQ573" i="3"/>
  <c r="BL573" i="3"/>
  <c r="AZ573" i="3"/>
  <c r="BQ571" i="3"/>
  <c r="BL571" i="3"/>
  <c r="AZ571" i="3"/>
  <c r="BQ569" i="3"/>
  <c r="BL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L549" i="3"/>
  <c r="AZ549" i="3"/>
  <c r="BQ547" i="3"/>
  <c r="BL547" i="3"/>
  <c r="AZ547" i="3"/>
  <c r="BQ545" i="3"/>
  <c r="BL545" i="3"/>
  <c r="BQ543" i="3"/>
  <c r="BL543" i="3"/>
  <c r="AZ543" i="3"/>
  <c r="BQ541" i="3"/>
  <c r="BL541" i="3"/>
  <c r="BQ539" i="3"/>
  <c r="BL539" i="3"/>
  <c r="AZ539" i="3"/>
  <c r="BQ537" i="3"/>
  <c r="BL537" i="3"/>
  <c r="BQ535" i="3"/>
  <c r="BL535" i="3"/>
  <c r="AZ535" i="3"/>
  <c r="BQ533" i="3"/>
  <c r="BL533" i="3"/>
  <c r="BQ531" i="3"/>
  <c r="BL531" i="3"/>
  <c r="AZ531" i="3"/>
  <c r="BQ529" i="3"/>
  <c r="BL529" i="3"/>
  <c r="BQ527" i="3"/>
  <c r="BL527" i="3"/>
  <c r="AZ527" i="3"/>
  <c r="BQ525" i="3"/>
  <c r="BL525" i="3"/>
  <c r="BQ523" i="3"/>
  <c r="BL523" i="3"/>
  <c r="AZ523" i="3"/>
  <c r="BA521" i="3"/>
  <c r="AC521" i="3"/>
  <c r="G521" i="3"/>
  <c r="BQ521" i="3"/>
  <c r="BL521" i="3"/>
  <c r="AZ521" i="3"/>
  <c r="BL520" i="3"/>
  <c r="G519" i="3"/>
  <c r="G517" i="3"/>
  <c r="G515" i="3"/>
  <c r="G513" i="3"/>
  <c r="G511" i="3"/>
  <c r="BQ519" i="3"/>
  <c r="BL519" i="3"/>
  <c r="BQ517" i="3"/>
  <c r="BL517" i="3"/>
  <c r="AZ517" i="3"/>
  <c r="BQ515" i="3"/>
  <c r="BL515" i="3"/>
  <c r="AZ515" i="3"/>
  <c r="BQ513" i="3"/>
  <c r="BL513" i="3"/>
  <c r="AZ513" i="3"/>
  <c r="BQ511" i="3"/>
  <c r="BL511"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J25" i="21"/>
  <c r="AC25" i="21"/>
  <c r="E125" i="33"/>
  <c r="F125" i="33"/>
  <c r="G125" i="33"/>
  <c r="H17" i="37"/>
  <c r="U17" i="37"/>
  <c r="AB27" i="37"/>
  <c r="E123" i="33"/>
  <c r="F123" i="33"/>
  <c r="G123" i="33"/>
  <c r="H123" i="33"/>
  <c r="I123" i="33"/>
  <c r="J123" i="33"/>
  <c r="K123" i="33"/>
  <c r="L123" i="33"/>
  <c r="M123"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U43" i="33"/>
  <c r="S28" i="31"/>
  <c r="S27" i="31"/>
  <c r="S26" i="31"/>
  <c r="AC32" i="36"/>
  <c r="AC33" i="36"/>
  <c r="U35" i="35"/>
  <c r="AA12" i="35"/>
  <c r="AB28" i="37"/>
  <c r="U39" i="37"/>
  <c r="W26" i="37"/>
  <c r="AC8" i="37"/>
  <c r="U26" i="37"/>
  <c r="AA13" i="33"/>
  <c r="AC45" i="33"/>
  <c r="W44" i="33"/>
  <c r="U11" i="33"/>
  <c r="U19" i="21"/>
  <c r="AB38" i="21"/>
  <c r="W40" i="37"/>
  <c r="H37" i="21"/>
  <c r="U37" i="21"/>
  <c r="S42" i="21"/>
  <c r="H19" i="34"/>
  <c r="AB19" i="34"/>
  <c r="F36" i="35"/>
  <c r="S36" i="35"/>
  <c r="J12" i="37"/>
  <c r="W12" i="37"/>
  <c r="H12" i="37"/>
  <c r="AB12" i="37"/>
  <c r="F12" i="37"/>
  <c r="S12" i="37"/>
  <c r="E71" i="37"/>
  <c r="F71" i="37"/>
  <c r="G71" i="37"/>
  <c r="F15" i="37"/>
  <c r="AA15" i="37"/>
  <c r="E94" i="37"/>
  <c r="F94" i="37"/>
  <c r="G94" i="37"/>
  <c r="H94" i="37"/>
  <c r="I94" i="37"/>
  <c r="J94" i="37"/>
  <c r="K94" i="37"/>
  <c r="L94" i="37"/>
  <c r="M94" i="37"/>
  <c r="F31" i="37"/>
  <c r="S31" i="37"/>
  <c r="J42" i="39"/>
  <c r="AC42" i="39"/>
  <c r="H21" i="40"/>
  <c r="AB21" i="40"/>
  <c r="AC12" i="37"/>
  <c r="H31" i="37"/>
  <c r="U31" i="37"/>
  <c r="J15" i="37"/>
  <c r="W15" i="37"/>
  <c r="AT6" i="3"/>
  <c r="H5" i="3"/>
  <c r="C12" i="43"/>
  <c r="H19" i="40"/>
  <c r="U19" i="40"/>
  <c r="G88" i="40"/>
  <c r="F19" i="40"/>
  <c r="S19" i="40"/>
  <c r="AC13" i="40"/>
  <c r="W23" i="39"/>
  <c r="AC43" i="39"/>
  <c r="W43" i="39"/>
  <c r="U45" i="39"/>
  <c r="AB45" i="39"/>
  <c r="AB44" i="39"/>
  <c r="U44" i="39"/>
  <c r="H37" i="39"/>
  <c r="AB37" i="39"/>
  <c r="AC37" i="39"/>
  <c r="W37" i="39"/>
  <c r="H25" i="39"/>
  <c r="AB25" i="39"/>
  <c r="J25" i="39"/>
  <c r="F25" i="39"/>
  <c r="AA25" i="39"/>
  <c r="F15" i="39"/>
  <c r="AA15" i="39"/>
  <c r="H15" i="39"/>
  <c r="U15" i="39"/>
  <c r="J15" i="39"/>
  <c r="W15" i="39"/>
  <c r="H41" i="39"/>
  <c r="W27" i="39"/>
  <c r="U40" i="39"/>
  <c r="W9" i="39"/>
  <c r="W8" i="39"/>
  <c r="J19" i="40"/>
  <c r="AC19" i="40"/>
  <c r="J50" i="40"/>
  <c r="H103" i="9"/>
  <c r="D8" i="53"/>
  <c r="B16" i="53"/>
  <c r="B33" i="72"/>
  <c r="C7" i="37"/>
  <c r="C52" i="37"/>
  <c r="D52" i="37"/>
  <c r="E52" i="37"/>
  <c r="F52" i="37"/>
  <c r="G52" i="37"/>
  <c r="H52" i="37"/>
  <c r="W35" i="40"/>
  <c r="A118" i="9"/>
  <c r="A4" i="52"/>
  <c r="B41" i="72"/>
  <c r="J11" i="39"/>
  <c r="W11" i="39"/>
  <c r="F11" i="39"/>
  <c r="AA11" i="39"/>
  <c r="A12" i="52"/>
  <c r="B56" i="72"/>
  <c r="S11" i="39"/>
  <c r="G4" i="4"/>
  <c r="I4" i="4"/>
  <c r="K5" i="4"/>
  <c r="B47" i="48"/>
  <c r="A2" i="9"/>
  <c r="AZ20" i="3"/>
  <c r="AZ24" i="3"/>
  <c r="AZ28" i="3"/>
  <c r="AZ32" i="3"/>
  <c r="AZ497" i="3"/>
  <c r="AZ494" i="3"/>
  <c r="AZ514"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AZ356" i="3"/>
  <c r="G357" i="3"/>
  <c r="G360" i="3"/>
  <c r="BL361" i="3"/>
  <c r="BA363" i="3"/>
  <c r="AZ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H5" i="3"/>
  <c r="BF5" i="3"/>
  <c r="BD5" i="3"/>
  <c r="AZ317" i="3"/>
  <c r="AZ333" i="3"/>
  <c r="BQ5" i="3"/>
  <c r="F28" i="6"/>
  <c r="E28" i="6"/>
  <c r="K14" i="1"/>
  <c r="AC5" i="3"/>
  <c r="AZ506" i="3"/>
  <c r="AZ496" i="3"/>
  <c r="G548" i="3"/>
  <c r="G538" i="3"/>
  <c r="G520" i="3"/>
  <c r="G502" i="3"/>
  <c r="BS5" i="3"/>
  <c r="BP5" i="3"/>
  <c r="BN5" i="3"/>
  <c r="AZ343" i="3"/>
  <c r="BK5" i="3"/>
  <c r="BI5" i="3"/>
  <c r="BG5" i="3"/>
  <c r="BE5" i="3"/>
  <c r="BC5" i="3"/>
  <c r="G17" i="3"/>
  <c r="BA17" i="3"/>
  <c r="BT5" i="3"/>
  <c r="AZ350" i="3"/>
  <c r="AZ352" i="3"/>
  <c r="AZ360" i="3"/>
  <c r="AZ368" i="3"/>
  <c r="BA15" i="3"/>
  <c r="BR5" i="3"/>
  <c r="G28" i="6"/>
  <c r="G30" i="6"/>
  <c r="AZ380" i="3"/>
  <c r="AZ388" i="3"/>
  <c r="AZ396" i="3"/>
  <c r="AZ499" i="3"/>
  <c r="G509" i="3"/>
  <c r="BL493" i="3"/>
  <c r="AZ493" i="3"/>
  <c r="AZ491" i="3"/>
  <c r="AZ376" i="3"/>
  <c r="AZ382" i="3"/>
  <c r="U36" i="40"/>
  <c r="F81" i="43"/>
  <c r="H83" i="43"/>
  <c r="H113" i="43"/>
  <c r="N3" i="43"/>
  <c r="F70" i="43"/>
  <c r="H73" i="43"/>
  <c r="M11" i="43"/>
  <c r="D17" i="43"/>
  <c r="U17" i="39"/>
  <c r="S14" i="35"/>
  <c r="U43" i="21"/>
  <c r="U35" i="21"/>
  <c r="AC35" i="21"/>
  <c r="U10" i="21"/>
  <c r="AC11" i="39"/>
  <c r="AZ501" i="3"/>
  <c r="W37" i="37"/>
  <c r="S15" i="37"/>
  <c r="U13" i="37"/>
  <c r="U12" i="40"/>
  <c r="AA12" i="40"/>
  <c r="W37" i="33"/>
  <c r="F106" i="33"/>
  <c r="G106" i="33"/>
  <c r="H106" i="33"/>
  <c r="I106" i="33"/>
  <c r="J106" i="33"/>
  <c r="K106" i="33"/>
  <c r="L106" i="33"/>
  <c r="M106" i="33"/>
  <c r="W34" i="33"/>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F32" i="37"/>
  <c r="AA32" i="37"/>
  <c r="G96" i="37"/>
  <c r="H96" i="37"/>
  <c r="I96" i="37"/>
  <c r="J96" i="37"/>
  <c r="K96" i="37"/>
  <c r="L96" i="37"/>
  <c r="M96" i="37"/>
  <c r="F20" i="36"/>
  <c r="AA20" i="36"/>
  <c r="H23" i="39"/>
  <c r="U23" i="39"/>
  <c r="D48" i="9"/>
  <c r="M52" i="9"/>
  <c r="AE9" i="1"/>
  <c r="D93" i="9"/>
  <c r="G29" i="6"/>
  <c r="AC26" i="33"/>
  <c r="W26" i="33"/>
  <c r="AB34" i="36"/>
  <c r="U34" i="36"/>
  <c r="AB33" i="36"/>
  <c r="U33" i="36"/>
  <c r="AC39" i="40"/>
  <c r="W39" i="40"/>
  <c r="AZ401" i="3"/>
  <c r="AZ412" i="3"/>
  <c r="AZ417" i="3"/>
  <c r="AZ428" i="3"/>
  <c r="AZ433" i="3"/>
  <c r="AZ465" i="3"/>
  <c r="W12" i="33"/>
  <c r="AC12" i="33"/>
  <c r="AA32" i="36"/>
  <c r="S32" i="36"/>
  <c r="AZ550" i="3"/>
  <c r="AZ408" i="3"/>
  <c r="AZ437" i="3"/>
  <c r="AZ441" i="3"/>
  <c r="AZ457" i="3"/>
  <c r="AZ473" i="3"/>
  <c r="AZ490" i="3"/>
  <c r="BL14" i="3"/>
  <c r="AZ266" i="3"/>
  <c r="U30" i="33"/>
  <c r="W28" i="37"/>
  <c r="S19" i="39"/>
  <c r="F12" i="33"/>
  <c r="H12" i="39"/>
  <c r="AB12" i="39"/>
  <c r="F39" i="40"/>
  <c r="AA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H100" i="43"/>
  <c r="C30" i="66"/>
  <c r="E26" i="66"/>
  <c r="S22" i="31"/>
  <c r="J100" i="43"/>
  <c r="AB37" i="40"/>
  <c r="S35" i="40"/>
  <c r="U35" i="40"/>
  <c r="AC36" i="40"/>
  <c r="AA32" i="40"/>
  <c r="S17" i="40"/>
  <c r="S23" i="40"/>
  <c r="AC17" i="40"/>
  <c r="AC15" i="40"/>
  <c r="AA19" i="40"/>
  <c r="S28" i="40"/>
  <c r="AA27" i="40"/>
  <c r="U21" i="40"/>
  <c r="AB19" i="40"/>
  <c r="W42" i="39"/>
  <c r="U37" i="39"/>
  <c r="S43" i="39"/>
  <c r="S37" i="39"/>
  <c r="U35" i="39"/>
  <c r="F32" i="39"/>
  <c r="S32" i="39"/>
  <c r="F107" i="39"/>
  <c r="G107" i="39"/>
  <c r="H107" i="39"/>
  <c r="I107" i="39"/>
  <c r="J107" i="39"/>
  <c r="K107" i="39"/>
  <c r="L107" i="39"/>
  <c r="M107" i="39"/>
  <c r="U25" i="39"/>
  <c r="AB27" i="39"/>
  <c r="U31" i="39"/>
  <c r="S25" i="39"/>
  <c r="J21" i="39"/>
  <c r="F21" i="39"/>
  <c r="S21" i="39"/>
  <c r="G95" i="39"/>
  <c r="H21" i="39"/>
  <c r="U21" i="39"/>
  <c r="W19" i="39"/>
  <c r="U19" i="39"/>
  <c r="S17" i="39"/>
  <c r="AC15" i="39"/>
  <c r="S15" i="39"/>
  <c r="AB15" i="39"/>
  <c r="S9" i="39"/>
  <c r="U14" i="39"/>
  <c r="AC13" i="39"/>
  <c r="U12" i="39"/>
  <c r="U13" i="36"/>
  <c r="AB27" i="36"/>
  <c r="U26" i="36"/>
  <c r="S33" i="36"/>
  <c r="AA26" i="36"/>
  <c r="AA34" i="36"/>
  <c r="S29" i="36"/>
  <c r="AC26" i="36"/>
  <c r="AA22" i="36"/>
  <c r="W14" i="36"/>
  <c r="AB14" i="36"/>
  <c r="U22" i="36"/>
  <c r="S16" i="36"/>
  <c r="AA25" i="36"/>
  <c r="S24"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c r="H9" i="35"/>
  <c r="F26" i="35"/>
  <c r="AA26" i="35"/>
  <c r="J26" i="35"/>
  <c r="AC26" i="35"/>
  <c r="H26" i="35"/>
  <c r="AB40" i="37"/>
  <c r="S25" i="37"/>
  <c r="W27" i="37"/>
  <c r="S26" i="37"/>
  <c r="AC29" i="37"/>
  <c r="U29" i="37"/>
  <c r="AB31" i="37"/>
  <c r="W30" i="37"/>
  <c r="S36" i="37"/>
  <c r="AA38" i="37"/>
  <c r="U32" i="37"/>
  <c r="W38" i="37"/>
  <c r="AC35" i="37"/>
  <c r="W39" i="37"/>
  <c r="S30" i="37"/>
  <c r="S37" i="37"/>
  <c r="AC15" i="37"/>
  <c r="J17" i="37"/>
  <c r="W17" i="37"/>
  <c r="G73" i="37"/>
  <c r="F17" i="37"/>
  <c r="AA17" i="37"/>
  <c r="AB17" i="37"/>
  <c r="F75" i="37"/>
  <c r="F19" i="37"/>
  <c r="AA19" i="37"/>
  <c r="F79" i="37"/>
  <c r="F23" i="37"/>
  <c r="S23" i="37"/>
  <c r="U23" i="37"/>
  <c r="U15" i="37"/>
  <c r="AC13" i="37"/>
  <c r="AA13" i="37"/>
  <c r="AA12" i="37"/>
  <c r="H10" i="37"/>
  <c r="U10" i="37"/>
  <c r="H60" i="37"/>
  <c r="F63" i="37"/>
  <c r="G63" i="37"/>
  <c r="H63" i="37"/>
  <c r="I63" i="37"/>
  <c r="J63" i="37"/>
  <c r="K63" i="37"/>
  <c r="L63" i="37"/>
  <c r="M63" i="37"/>
  <c r="F11" i="37"/>
  <c r="S11" i="37"/>
  <c r="AB8" i="34"/>
  <c r="U44" i="34"/>
  <c r="AC42" i="34"/>
  <c r="U39" i="34"/>
  <c r="AB41" i="34"/>
  <c r="F11" i="34"/>
  <c r="S11" i="34"/>
  <c r="F70" i="34"/>
  <c r="G70" i="34"/>
  <c r="H70" i="34"/>
  <c r="I70" i="34"/>
  <c r="J70" i="34"/>
  <c r="K70" i="34"/>
  <c r="L70" i="34"/>
  <c r="M70" i="34"/>
  <c r="S27" i="33"/>
  <c r="AA29" i="33"/>
  <c r="AB29" i="33"/>
  <c r="W38" i="33"/>
  <c r="F121" i="33"/>
  <c r="G121" i="33"/>
  <c r="H121" i="33"/>
  <c r="I121" i="33"/>
  <c r="J121" i="33"/>
  <c r="K121" i="33"/>
  <c r="L121" i="33"/>
  <c r="M121" i="33"/>
  <c r="G108" i="33"/>
  <c r="H108" i="33"/>
  <c r="I108" i="33"/>
  <c r="J108" i="33"/>
  <c r="K108" i="33"/>
  <c r="L108" i="33"/>
  <c r="M108" i="33"/>
  <c r="S37" i="33"/>
  <c r="S39" i="33"/>
  <c r="F101" i="33"/>
  <c r="J32" i="33"/>
  <c r="AC32" i="33"/>
  <c r="S46" i="33"/>
  <c r="F91" i="33"/>
  <c r="H27" i="33"/>
  <c r="AB27" i="33"/>
  <c r="F85" i="33"/>
  <c r="F81" i="33"/>
  <c r="S19" i="33"/>
  <c r="W19" i="33"/>
  <c r="F79" i="33"/>
  <c r="G79" i="33"/>
  <c r="S15" i="33"/>
  <c r="W15" i="33"/>
  <c r="U9" i="33"/>
  <c r="I66" i="33"/>
  <c r="W43" i="21"/>
  <c r="W36" i="21"/>
  <c r="W41" i="21"/>
  <c r="AB39" i="21"/>
  <c r="AA43" i="21"/>
  <c r="S39" i="21"/>
  <c r="AA38" i="21"/>
  <c r="AA36" i="21"/>
  <c r="AC40" i="21"/>
  <c r="J15" i="21"/>
  <c r="W15" i="21"/>
  <c r="F77" i="21"/>
  <c r="G77" i="21"/>
  <c r="F23" i="21"/>
  <c r="S23" i="21"/>
  <c r="E85" i="21"/>
  <c r="F85" i="21"/>
  <c r="G85" i="21"/>
  <c r="AC11" i="21"/>
  <c r="AA14" i="21"/>
  <c r="AB8" i="21"/>
  <c r="S8" i="21"/>
  <c r="M1" i="43"/>
  <c r="N8" i="43"/>
  <c r="D120" i="9"/>
  <c r="D121" i="9"/>
  <c r="D7" i="52"/>
  <c r="C18" i="9"/>
  <c r="D18" i="9"/>
  <c r="F34" i="67"/>
  <c r="F62" i="67"/>
  <c r="M20" i="67"/>
  <c r="F34" i="15"/>
  <c r="F62" i="15"/>
  <c r="BL17" i="3"/>
  <c r="AZ17" i="3"/>
  <c r="BL13" i="3"/>
  <c r="J56" i="9"/>
  <c r="J57" i="9"/>
  <c r="J59" i="9"/>
  <c r="J61" i="9"/>
  <c r="A24" i="51"/>
  <c r="B18" i="72"/>
  <c r="E5" i="6"/>
  <c r="D9" i="11"/>
  <c r="C9" i="11"/>
  <c r="E32" i="6"/>
  <c r="L19" i="6"/>
  <c r="K1" i="12"/>
  <c r="AR12" i="1"/>
  <c r="AQ12" i="1"/>
  <c r="T12" i="1"/>
  <c r="AR10" i="1"/>
  <c r="E19" i="69"/>
  <c r="E19" i="68"/>
  <c r="E19" i="11"/>
  <c r="E1" i="73"/>
  <c r="G41" i="69"/>
  <c r="G22" i="69"/>
  <c r="G41" i="68"/>
  <c r="G22" i="68"/>
  <c r="G27" i="12"/>
  <c r="G26" i="12"/>
  <c r="G41" i="11"/>
  <c r="G22" i="11"/>
  <c r="G25" i="12"/>
  <c r="E11" i="43"/>
  <c r="E10" i="43"/>
  <c r="E9" i="43"/>
  <c r="E8" i="43"/>
  <c r="E81" i="43"/>
  <c r="B79" i="43"/>
  <c r="E70" i="43"/>
  <c r="B68" i="43"/>
  <c r="F100" i="43"/>
  <c r="N6" i="43"/>
  <c r="M9" i="43"/>
  <c r="N5" i="43"/>
  <c r="M12" i="43"/>
  <c r="B19" i="53"/>
  <c r="B37" i="72"/>
  <c r="C7" i="35"/>
  <c r="C48" i="35"/>
  <c r="D48" i="35"/>
  <c r="E48" i="35"/>
  <c r="F48" i="35"/>
  <c r="G48" i="35"/>
  <c r="H48" i="35"/>
  <c r="I48" i="35"/>
  <c r="J48" i="35"/>
  <c r="K48" i="35"/>
  <c r="L48" i="35"/>
  <c r="M47" i="9"/>
  <c r="A4" i="51"/>
  <c r="B6" i="72"/>
  <c r="C4" i="12"/>
  <c r="L20" i="6"/>
  <c r="B6" i="1"/>
  <c r="E6" i="1"/>
  <c r="S8" i="1"/>
  <c r="AR8" i="1"/>
  <c r="AP6" i="1"/>
  <c r="B9" i="1"/>
  <c r="E9" i="1"/>
  <c r="O7" i="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6" i="34"/>
  <c r="AC14" i="34"/>
  <c r="AA32" i="34"/>
  <c r="AB30" i="34"/>
  <c r="W40" i="34"/>
  <c r="AA36" i="34"/>
  <c r="S8" i="34"/>
  <c r="AB32" i="34"/>
  <c r="U14" i="34"/>
  <c r="AB14" i="34"/>
  <c r="AC23" i="34"/>
  <c r="W35" i="34"/>
  <c r="W46" i="33"/>
  <c r="U39" i="33"/>
  <c r="U38" i="33"/>
  <c r="U44" i="33"/>
  <c r="S30" i="33"/>
  <c r="AA30" i="33"/>
  <c r="AC30" i="33"/>
  <c r="W30" i="33"/>
  <c r="S31" i="33"/>
  <c r="AA31" i="33"/>
  <c r="W13" i="33"/>
  <c r="AC13" i="33"/>
  <c r="U15" i="33"/>
  <c r="S11" i="33"/>
  <c r="U37" i="33"/>
  <c r="W9" i="33"/>
  <c r="W8" i="33"/>
  <c r="AB42" i="21"/>
  <c r="U28" i="21"/>
  <c r="AA11" i="21"/>
  <c r="S45" i="21"/>
  <c r="F33" i="21"/>
  <c r="S33" i="21"/>
  <c r="J33" i="21"/>
  <c r="H33" i="21"/>
  <c r="AB33" i="21"/>
  <c r="F37" i="21"/>
  <c r="AA37" i="21"/>
  <c r="AA26" i="21"/>
  <c r="AB14" i="21"/>
  <c r="U40" i="21"/>
  <c r="AB31" i="21"/>
  <c r="U31" i="21"/>
  <c r="W8" i="21"/>
  <c r="S35" i="21"/>
  <c r="AB37" i="21"/>
  <c r="J37" i="21"/>
  <c r="W37" i="21"/>
  <c r="H15" i="21"/>
  <c r="U15" i="21"/>
  <c r="J17" i="21"/>
  <c r="AC17" i="21"/>
  <c r="AC19" i="21"/>
  <c r="W39" i="21"/>
  <c r="AC14" i="21"/>
  <c r="W30" i="21"/>
  <c r="H45" i="21"/>
  <c r="U45" i="21"/>
  <c r="F29" i="21"/>
  <c r="S29" i="21"/>
  <c r="F13" i="21"/>
  <c r="AA13" i="21"/>
  <c r="AC38" i="21"/>
  <c r="H32" i="21"/>
  <c r="AB32" i="21"/>
  <c r="H9" i="21"/>
  <c r="U9" i="21"/>
  <c r="J9" i="21"/>
  <c r="W9" i="21"/>
  <c r="J32" i="21"/>
  <c r="F32" i="21"/>
  <c r="AA32" i="21"/>
  <c r="AA31" i="21"/>
  <c r="U17" i="21"/>
  <c r="S19" i="21"/>
  <c r="S9" i="21"/>
  <c r="AA9" i="21"/>
  <c r="K141" i="21"/>
  <c r="K144" i="21"/>
  <c r="K143" i="21"/>
  <c r="AB25" i="21"/>
  <c r="AA30" i="21"/>
  <c r="W42" i="21"/>
  <c r="AC45" i="21"/>
  <c r="F10" i="21"/>
  <c r="AA10" i="21"/>
  <c r="K145" i="21"/>
  <c r="W25" i="21"/>
  <c r="AA29"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S7" i="1"/>
  <c r="AQ7" i="1"/>
  <c r="E7" i="70"/>
  <c r="S39" i="40"/>
  <c r="S12" i="33"/>
  <c r="AA12" i="33"/>
  <c r="J32" i="39"/>
  <c r="H32" i="39"/>
  <c r="U32" i="39"/>
  <c r="AA32" i="39"/>
  <c r="AB21" i="39"/>
  <c r="AA21" i="39"/>
  <c r="AC21" i="39"/>
  <c r="W21" i="39"/>
  <c r="S26" i="35"/>
  <c r="U9" i="35"/>
  <c r="AB9" i="35"/>
  <c r="S9" i="35"/>
  <c r="W26" i="35"/>
  <c r="AB26" i="35"/>
  <c r="U26" i="35"/>
  <c r="AC17" i="37"/>
  <c r="J19" i="37"/>
  <c r="W19" i="37"/>
  <c r="G75" i="37"/>
  <c r="AA23" i="37"/>
  <c r="J23" i="37"/>
  <c r="G79" i="37"/>
  <c r="J10" i="37"/>
  <c r="I60" i="37"/>
  <c r="H11" i="37"/>
  <c r="AB11" i="37"/>
  <c r="AB10" i="37"/>
  <c r="H11" i="34"/>
  <c r="U11" i="34"/>
  <c r="U41" i="33"/>
  <c r="W35" i="33"/>
  <c r="H111" i="33"/>
  <c r="I111" i="33"/>
  <c r="J111" i="33"/>
  <c r="K111" i="33"/>
  <c r="L111" i="33"/>
  <c r="M111" i="33"/>
  <c r="U27" i="33"/>
  <c r="G91" i="33"/>
  <c r="H91" i="33"/>
  <c r="I91" i="33"/>
  <c r="J91" i="33"/>
  <c r="K91" i="33"/>
  <c r="L91" i="33"/>
  <c r="M91" i="33"/>
  <c r="J27" i="33"/>
  <c r="AC27" i="33"/>
  <c r="U23" i="33"/>
  <c r="G85" i="33"/>
  <c r="G81" i="33"/>
  <c r="U10" i="33"/>
  <c r="W10" i="33"/>
  <c r="AA23" i="21"/>
  <c r="J23" i="21"/>
  <c r="AC23" i="21"/>
  <c r="H23" i="21"/>
  <c r="S13" i="21"/>
  <c r="D6" i="52"/>
  <c r="R22" i="31"/>
  <c r="AP7" i="1"/>
  <c r="AB45" i="21"/>
  <c r="AC33" i="21"/>
  <c r="W33" i="21"/>
  <c r="AA33" i="21"/>
  <c r="W32" i="21"/>
  <c r="AC32" i="21"/>
  <c r="AB9" i="21"/>
  <c r="S32" i="21"/>
  <c r="AC9" i="21"/>
  <c r="U32" i="21"/>
  <c r="S10" i="21"/>
  <c r="A18" i="62"/>
  <c r="B64" i="72"/>
  <c r="AC32" i="39"/>
  <c r="W32" i="39"/>
  <c r="AC19" i="37"/>
  <c r="W23" i="37"/>
  <c r="AC23" i="37"/>
  <c r="J11" i="37"/>
  <c r="AC11" i="37"/>
  <c r="W10" i="37"/>
  <c r="AC10" i="37"/>
  <c r="J11" i="34"/>
  <c r="W11" i="34"/>
  <c r="W27" i="33"/>
  <c r="W25" i="33"/>
  <c r="U19" i="33"/>
  <c r="S17" i="33"/>
  <c r="U17" i="33"/>
  <c r="U23" i="21"/>
  <c r="AB23" i="21"/>
  <c r="W11" i="37"/>
  <c r="R7" i="1"/>
  <c r="F34" i="11"/>
  <c r="R8" i="1"/>
  <c r="AE7" i="1"/>
  <c r="AE8" i="1"/>
  <c r="AG6" i="1"/>
  <c r="H109" i="9"/>
  <c r="M49" i="9"/>
  <c r="L68" i="9"/>
  <c r="M68" i="9"/>
  <c r="H110" i="9"/>
  <c r="D18" i="53"/>
  <c r="B35" i="72"/>
  <c r="D124" i="9"/>
  <c r="H14" i="74"/>
  <c r="B7" i="74"/>
  <c r="D16" i="53"/>
  <c r="B34" i="72"/>
  <c r="D17" i="53"/>
  <c r="B36" i="72"/>
  <c r="D125" i="9"/>
  <c r="D11" i="52"/>
  <c r="H112" i="9"/>
  <c r="D21" i="53"/>
  <c r="B39" i="72"/>
  <c r="H111" i="9"/>
  <c r="D126" i="9"/>
  <c r="I14" i="74"/>
  <c r="B8" i="74"/>
  <c r="D19" i="53"/>
  <c r="B38" i="72"/>
  <c r="D20" i="53"/>
  <c r="B40" i="72"/>
  <c r="AD3" i="71"/>
  <c r="M4" i="43"/>
  <c r="C6" i="43"/>
  <c r="M5" i="43"/>
  <c r="N12" i="43"/>
  <c r="N11" i="43"/>
  <c r="M10" i="43"/>
  <c r="M7" i="43"/>
  <c r="N9" i="43"/>
  <c r="M8" i="43"/>
  <c r="N10" i="43"/>
  <c r="M6" i="43"/>
  <c r="N7" i="43"/>
  <c r="N4" i="43"/>
  <c r="F48" i="43"/>
  <c r="F59" i="43"/>
  <c r="H62" i="43"/>
  <c r="G62" i="43"/>
  <c r="AB14" i="71"/>
  <c r="X12" i="71"/>
  <c r="X11" i="71"/>
  <c r="AA12" i="71"/>
  <c r="AA11" i="71"/>
  <c r="X15" i="71"/>
  <c r="Y11" i="71"/>
  <c r="Z11" i="71"/>
  <c r="AB12" i="71"/>
  <c r="AB11" i="71"/>
  <c r="F13" i="71"/>
  <c r="F12" i="71"/>
  <c r="F11" i="71"/>
  <c r="F10" i="71"/>
  <c r="F9" i="71"/>
  <c r="F8" i="71"/>
  <c r="F7" i="71"/>
  <c r="F5" i="71"/>
  <c r="Y12" i="71"/>
  <c r="Z12" i="71"/>
  <c r="X3" i="71"/>
  <c r="W27" i="34"/>
  <c r="AC27" i="34"/>
  <c r="W41" i="34"/>
  <c r="AA41" i="34"/>
  <c r="C28" i="71"/>
  <c r="D28" i="71"/>
  <c r="D27" i="71"/>
  <c r="D34" i="71"/>
  <c r="C35" i="71"/>
  <c r="C36" i="71"/>
  <c r="D36" i="71"/>
  <c r="C47" i="71"/>
  <c r="D46" i="71"/>
  <c r="AB21" i="71"/>
  <c r="AA15" i="71"/>
  <c r="X14" i="71"/>
  <c r="X13" i="71"/>
  <c r="Y10" i="71"/>
  <c r="Z10" i="71"/>
  <c r="X9" i="71"/>
  <c r="Y9" i="71"/>
  <c r="Z9" i="71"/>
  <c r="AA9" i="71"/>
  <c r="AB10" i="71"/>
  <c r="Y5" i="71"/>
  <c r="Z5" i="71"/>
  <c r="AB5" i="71"/>
  <c r="X16" i="71"/>
  <c r="Y16" i="71"/>
  <c r="Z16" i="71"/>
  <c r="Y14" i="71"/>
  <c r="Z14" i="71"/>
  <c r="AB15" i="71"/>
  <c r="AA13" i="71"/>
  <c r="X10" i="71"/>
  <c r="AA10" i="71"/>
  <c r="Y13" i="71"/>
  <c r="Z13" i="71"/>
  <c r="AA14" i="71"/>
  <c r="AB13" i="71"/>
  <c r="X7" i="71"/>
  <c r="AA7" i="71"/>
  <c r="AA5" i="71"/>
  <c r="F59" i="71"/>
  <c r="AA16" i="71"/>
  <c r="AB16" i="71"/>
  <c r="B16" i="71"/>
  <c r="B15" i="71"/>
  <c r="B14" i="71"/>
  <c r="B13" i="71"/>
  <c r="B12" i="71"/>
  <c r="C16" i="71"/>
  <c r="Y15" i="71"/>
  <c r="Z15" i="71"/>
  <c r="AB7" i="71"/>
  <c r="AB9" i="71"/>
  <c r="X5" i="71"/>
  <c r="G31" i="6"/>
  <c r="O14" i="1"/>
  <c r="P14" i="1"/>
  <c r="D19" i="12"/>
  <c r="C19" i="12"/>
  <c r="H74" i="43"/>
  <c r="H77" i="43"/>
  <c r="H71" i="43"/>
  <c r="S23" i="34"/>
  <c r="F124" i="34"/>
  <c r="G124" i="34"/>
  <c r="H124" i="34"/>
  <c r="I124" i="34"/>
  <c r="J124" i="34"/>
  <c r="K124" i="34"/>
  <c r="L124" i="34"/>
  <c r="M124" i="34"/>
  <c r="H43" i="34"/>
  <c r="F43" i="34"/>
  <c r="J43" i="34"/>
  <c r="W43" i="34"/>
  <c r="AC39" i="34"/>
  <c r="AC38" i="34"/>
  <c r="AA38" i="34"/>
  <c r="H112" i="34"/>
  <c r="I112" i="34"/>
  <c r="J112" i="34"/>
  <c r="K112" i="34"/>
  <c r="L112" i="34"/>
  <c r="M112" i="34"/>
  <c r="J37" i="34"/>
  <c r="AC37" i="34"/>
  <c r="F37" i="34"/>
  <c r="H37" i="34"/>
  <c r="U37" i="34"/>
  <c r="AC36" i="34"/>
  <c r="AA39" i="34"/>
  <c r="U38" i="34"/>
  <c r="AC30" i="34"/>
  <c r="F31" i="34"/>
  <c r="AA31" i="34"/>
  <c r="U27" i="34"/>
  <c r="S27" i="34"/>
  <c r="H28" i="34"/>
  <c r="AB28" i="34"/>
  <c r="AA28" i="34"/>
  <c r="S28" i="34"/>
  <c r="AC32" i="34"/>
  <c r="AA30" i="34"/>
  <c r="W31" i="34"/>
  <c r="J28" i="34"/>
  <c r="AB23" i="34"/>
  <c r="U13" i="34"/>
  <c r="AB13" i="34"/>
  <c r="F13" i="34"/>
  <c r="AA13" i="34"/>
  <c r="J13" i="34"/>
  <c r="W13" i="34"/>
  <c r="W8" i="34"/>
  <c r="C92" i="9"/>
  <c r="C94" i="9"/>
  <c r="B41" i="1"/>
  <c r="F30" i="69"/>
  <c r="F48" i="69"/>
  <c r="F31" i="12"/>
  <c r="C21" i="68"/>
  <c r="C40" i="69"/>
  <c r="C21" i="69"/>
  <c r="H78" i="43"/>
  <c r="P7" i="1"/>
  <c r="AQ13" i="1"/>
  <c r="T10" i="1"/>
  <c r="O9" i="1"/>
  <c r="P9" i="1"/>
  <c r="E29" i="6"/>
  <c r="K15" i="1"/>
  <c r="F30" i="6"/>
  <c r="O8" i="1"/>
  <c r="P8" i="1"/>
  <c r="O11" i="1"/>
  <c r="P11" i="1"/>
  <c r="T35" i="4"/>
  <c r="D22" i="67"/>
  <c r="D23" i="67"/>
  <c r="F31" i="67"/>
  <c r="F31" i="15"/>
  <c r="D9" i="53"/>
  <c r="B25" i="72"/>
  <c r="B24" i="72"/>
  <c r="K120" i="9"/>
  <c r="Y8" i="71"/>
  <c r="Z8" i="71"/>
  <c r="Y7" i="71"/>
  <c r="Z7" i="71"/>
  <c r="AA8" i="71"/>
  <c r="AB3" i="71"/>
  <c r="X8" i="71"/>
  <c r="AB8" i="71"/>
  <c r="Y3" i="71"/>
  <c r="Z3" i="71"/>
  <c r="AF3" i="71"/>
  <c r="K1" i="73"/>
  <c r="F59" i="67"/>
  <c r="C15" i="71"/>
  <c r="D15" i="71"/>
  <c r="D16" i="71"/>
  <c r="U16" i="71"/>
  <c r="T16" i="71"/>
  <c r="F58" i="71"/>
  <c r="Q59" i="71"/>
  <c r="C48" i="71"/>
  <c r="D48" i="71"/>
  <c r="D47" i="71"/>
  <c r="D35" i="71"/>
  <c r="T28" i="71"/>
  <c r="F53" i="9"/>
  <c r="F32" i="67"/>
  <c r="F60" i="67"/>
  <c r="M18" i="15"/>
  <c r="M18" i="67"/>
  <c r="F28" i="67"/>
  <c r="AH6" i="1"/>
  <c r="D60" i="43"/>
  <c r="E59" i="43"/>
  <c r="B57" i="43"/>
  <c r="AB37" i="34"/>
  <c r="W37" i="34"/>
  <c r="AA37" i="34"/>
  <c r="S37" i="34"/>
  <c r="S31" i="34"/>
  <c r="U28" i="34"/>
  <c r="S13" i="34"/>
  <c r="AC13" i="34"/>
  <c r="D3" i="77"/>
  <c r="M18" i="9"/>
  <c r="B118" i="9"/>
  <c r="E30" i="6"/>
  <c r="M17" i="67"/>
  <c r="M17" i="15"/>
  <c r="F59" i="15"/>
  <c r="T48" i="71"/>
  <c r="C14" i="71"/>
  <c r="D14" i="71"/>
  <c r="D65" i="43"/>
  <c r="D59" i="43"/>
  <c r="D67" i="43"/>
  <c r="D62" i="43"/>
  <c r="D63" i="43"/>
  <c r="D61" i="43"/>
  <c r="D64" i="43"/>
  <c r="M19" i="9"/>
  <c r="C118" i="9"/>
  <c r="C14" i="74"/>
  <c r="B2" i="74"/>
  <c r="C13" i="71"/>
  <c r="O6" i="1"/>
  <c r="O16" i="1"/>
  <c r="P6" i="1"/>
  <c r="C19" i="68"/>
  <c r="L18" i="9"/>
  <c r="L19" i="9"/>
  <c r="S19" i="34"/>
  <c r="U25" i="33"/>
  <c r="C7" i="21"/>
  <c r="C58" i="21"/>
  <c r="D58" i="21"/>
  <c r="E58" i="21"/>
  <c r="F58" i="21"/>
  <c r="G58" i="21"/>
  <c r="C7" i="36"/>
  <c r="C46" i="36"/>
  <c r="D46" i="36"/>
  <c r="E46" i="36"/>
  <c r="F46" i="36"/>
  <c r="G46" i="36"/>
  <c r="H46" i="36"/>
  <c r="I46" i="36"/>
  <c r="J46" i="36"/>
  <c r="K46" i="36"/>
  <c r="L46" i="36"/>
  <c r="M46" i="36"/>
  <c r="N46" i="36"/>
  <c r="O46" i="36"/>
  <c r="C7" i="40"/>
  <c r="C63" i="40"/>
  <c r="C7" i="33"/>
  <c r="I7" i="33"/>
  <c r="C7" i="39"/>
  <c r="C68" i="39"/>
  <c r="C70" i="39"/>
  <c r="C7" i="34"/>
  <c r="C59" i="34"/>
  <c r="D59" i="34"/>
  <c r="E59" i="34"/>
  <c r="F59" i="34"/>
  <c r="G59" i="34"/>
  <c r="H59" i="34"/>
  <c r="I59" i="34"/>
  <c r="J59" i="34"/>
  <c r="K59" i="34"/>
  <c r="L59" i="34"/>
  <c r="M59" i="34"/>
  <c r="N59" i="34"/>
  <c r="O59" i="34"/>
  <c r="C7" i="77"/>
  <c r="C59" i="77"/>
  <c r="D59" i="77"/>
  <c r="E59" i="77"/>
  <c r="F59" i="77"/>
  <c r="G59" i="77"/>
  <c r="H59" i="77"/>
  <c r="L1" i="73"/>
  <c r="F29" i="77"/>
  <c r="AA29" i="77"/>
  <c r="S9" i="34"/>
  <c r="F11" i="12"/>
  <c r="D9" i="69"/>
  <c r="C9" i="69"/>
  <c r="T13" i="1"/>
  <c r="H81" i="43"/>
  <c r="H84" i="43"/>
  <c r="F38" i="43"/>
  <c r="F36" i="43"/>
  <c r="F34" i="43"/>
  <c r="O17" i="43"/>
  <c r="M17" i="43"/>
  <c r="K17" i="43"/>
  <c r="G17" i="43"/>
  <c r="C16" i="43"/>
  <c r="D5" i="43"/>
  <c r="G13" i="1"/>
  <c r="G8" i="1"/>
  <c r="F6" i="71"/>
  <c r="T36" i="71"/>
  <c r="F30" i="11"/>
  <c r="F48" i="9"/>
  <c r="O52" i="9"/>
  <c r="F52" i="9"/>
  <c r="F32" i="15"/>
  <c r="F60" i="15"/>
  <c r="D68" i="9"/>
  <c r="F30" i="68"/>
  <c r="F28" i="15"/>
  <c r="F54" i="9"/>
  <c r="D127" i="9"/>
  <c r="D13" i="52"/>
  <c r="L67" i="9"/>
  <c r="M67" i="9"/>
  <c r="L63" i="9"/>
  <c r="M63" i="9"/>
  <c r="M69" i="9"/>
  <c r="N69" i="9"/>
  <c r="L64" i="9"/>
  <c r="M64" i="9"/>
  <c r="L66" i="9"/>
  <c r="M66" i="9"/>
  <c r="L65" i="9"/>
  <c r="M65" i="9"/>
  <c r="W23" i="21"/>
  <c r="AB15" i="21"/>
  <c r="S37" i="21"/>
  <c r="AC37" i="21"/>
  <c r="S17" i="37"/>
  <c r="W17" i="21"/>
  <c r="G101" i="33"/>
  <c r="H101" i="33"/>
  <c r="I101" i="33"/>
  <c r="J101" i="33"/>
  <c r="K101" i="33"/>
  <c r="L101" i="33"/>
  <c r="M101" i="33"/>
  <c r="S32" i="37"/>
  <c r="S27" i="36"/>
  <c r="W39" i="39"/>
  <c r="S30" i="40"/>
  <c r="AZ14" i="3"/>
  <c r="AZ337" i="3"/>
  <c r="AZ305" i="3"/>
  <c r="AZ362" i="3"/>
  <c r="S25" i="21"/>
  <c r="AA25" i="21"/>
  <c r="AZ504" i="3"/>
  <c r="AZ508" i="3"/>
  <c r="AZ520" i="3"/>
  <c r="AZ534" i="3"/>
  <c r="AZ542" i="3"/>
  <c r="AZ556" i="3"/>
  <c r="AB31" i="33"/>
  <c r="U46" i="33"/>
  <c r="AA14" i="40"/>
  <c r="S14" i="40"/>
  <c r="AB14" i="40"/>
  <c r="U14" i="40"/>
  <c r="S14" i="37"/>
  <c r="AA14" i="37"/>
  <c r="U33" i="40"/>
  <c r="AB33" i="40"/>
  <c r="AB31" i="34"/>
  <c r="U31" i="34"/>
  <c r="W31" i="33"/>
  <c r="AC31" i="33"/>
  <c r="AB33" i="37"/>
  <c r="U33" i="37"/>
  <c r="S41" i="39"/>
  <c r="AA41" i="39"/>
  <c r="AA35" i="39"/>
  <c r="S35" i="39"/>
  <c r="AC44" i="39"/>
  <c r="W44" i="39"/>
  <c r="AB34" i="21"/>
  <c r="U34" i="21"/>
  <c r="BA586" i="3"/>
  <c r="AZ586" i="3"/>
  <c r="F12" i="21"/>
  <c r="S12" i="21"/>
  <c r="J12" i="21"/>
  <c r="H12" i="21"/>
  <c r="AB12" i="21"/>
  <c r="J27" i="21"/>
  <c r="H27" i="21"/>
  <c r="U27" i="21"/>
  <c r="F27" i="21"/>
  <c r="H46" i="21"/>
  <c r="U46" i="21"/>
  <c r="J46" i="21"/>
  <c r="F46" i="21"/>
  <c r="AA46" i="21"/>
  <c r="J28" i="33"/>
  <c r="AC28" i="33"/>
  <c r="F28" i="33"/>
  <c r="AA28" i="33"/>
  <c r="H28" i="33"/>
  <c r="AB28" i="33"/>
  <c r="AC34" i="35"/>
  <c r="W34" i="35"/>
  <c r="H14" i="33"/>
  <c r="F14" i="33"/>
  <c r="AA14" i="33"/>
  <c r="J14" i="33"/>
  <c r="J12" i="34"/>
  <c r="AC12" i="34"/>
  <c r="H12" i="34"/>
  <c r="F12" i="34"/>
  <c r="S12" i="34"/>
  <c r="J12" i="36"/>
  <c r="H12" i="36"/>
  <c r="U12" i="36"/>
  <c r="F12" i="36"/>
  <c r="J24" i="36"/>
  <c r="AC24" i="36"/>
  <c r="H24" i="36"/>
  <c r="J9" i="37"/>
  <c r="AC9" i="37"/>
  <c r="H9" i="37"/>
  <c r="F9" i="37"/>
  <c r="AA9" i="37"/>
  <c r="AZ558" i="3"/>
  <c r="AC14" i="37"/>
  <c r="W14" i="37"/>
  <c r="S14" i="34"/>
  <c r="AA14" i="34"/>
  <c r="U45" i="33"/>
  <c r="AB45" i="33"/>
  <c r="AB13" i="33"/>
  <c r="U13" i="33"/>
  <c r="U26" i="33"/>
  <c r="AB26" i="33"/>
  <c r="AC33" i="37"/>
  <c r="W33" i="37"/>
  <c r="AC16" i="35"/>
  <c r="W16" i="35"/>
  <c r="U34" i="39"/>
  <c r="AB34" i="39"/>
  <c r="AA42" i="39"/>
  <c r="S42" i="39"/>
  <c r="AC35" i="39"/>
  <c r="W35" i="39"/>
  <c r="S36" i="39"/>
  <c r="AA36" i="39"/>
  <c r="AB26" i="21"/>
  <c r="U26" i="21"/>
  <c r="H13" i="21"/>
  <c r="J13" i="21"/>
  <c r="J29" i="21"/>
  <c r="H29" i="21"/>
  <c r="J44" i="21"/>
  <c r="H44" i="21"/>
  <c r="F44" i="21"/>
  <c r="J9" i="34"/>
  <c r="H9" i="34"/>
  <c r="AA35" i="34"/>
  <c r="S35" i="34"/>
  <c r="E126" i="34"/>
  <c r="F126" i="34"/>
  <c r="G126" i="34"/>
  <c r="F44" i="34"/>
  <c r="AB34" i="35"/>
  <c r="U34" i="35"/>
  <c r="H23" i="35"/>
  <c r="AB23" i="35"/>
  <c r="J23" i="35"/>
  <c r="J11" i="36"/>
  <c r="W11" i="36"/>
  <c r="H11" i="36"/>
  <c r="F11" i="36"/>
  <c r="S11" i="36"/>
  <c r="S31" i="36"/>
  <c r="AA31" i="36"/>
  <c r="J12" i="39"/>
  <c r="F12" i="39"/>
  <c r="AA12" i="39"/>
  <c r="J14" i="39"/>
  <c r="F14" i="39"/>
  <c r="AA14" i="39"/>
  <c r="AZ399" i="3"/>
  <c r="AZ404" i="3"/>
  <c r="AZ411" i="3"/>
  <c r="AZ414" i="3"/>
  <c r="AZ421" i="3"/>
  <c r="AZ423" i="3"/>
  <c r="AZ427" i="3"/>
  <c r="AZ430" i="3"/>
  <c r="AZ440" i="3"/>
  <c r="AZ449" i="3"/>
  <c r="AZ453" i="3"/>
  <c r="AZ455" i="3"/>
  <c r="AZ460" i="3"/>
  <c r="AZ471" i="3"/>
  <c r="AZ476" i="3"/>
  <c r="AZ478" i="3"/>
  <c r="AZ484" i="3"/>
  <c r="AZ492" i="3"/>
  <c r="AZ395" i="3"/>
  <c r="AZ208" i="3"/>
  <c r="AZ211" i="3"/>
  <c r="F32" i="33"/>
  <c r="H32" i="33"/>
  <c r="AB32" i="33"/>
  <c r="J46" i="34"/>
  <c r="AC46" i="34"/>
  <c r="F46" i="34"/>
  <c r="H46" i="34"/>
  <c r="AB46" i="34"/>
  <c r="H38" i="40"/>
  <c r="J38" i="40"/>
  <c r="W38" i="40"/>
  <c r="H39" i="40"/>
  <c r="BL16" i="3"/>
  <c r="AZ231" i="3"/>
  <c r="AZ239" i="3"/>
  <c r="AZ264" i="3"/>
  <c r="AZ282" i="3"/>
  <c r="AZ285" i="3"/>
  <c r="AZ290" i="3"/>
  <c r="AZ293" i="3"/>
  <c r="AZ153" i="3"/>
  <c r="AZ169" i="3"/>
  <c r="AZ185" i="3"/>
  <c r="AZ201" i="3"/>
  <c r="AZ207" i="3"/>
  <c r="AZ25" i="3"/>
  <c r="AZ30" i="3"/>
  <c r="AZ36" i="3"/>
  <c r="AZ40" i="3"/>
  <c r="AZ46" i="3"/>
  <c r="AZ49" i="3"/>
  <c r="BA13" i="3"/>
  <c r="AZ13" i="3"/>
  <c r="BL15" i="3"/>
  <c r="AZ220" i="3"/>
  <c r="AZ247" i="3"/>
  <c r="AZ56" i="3"/>
  <c r="AZ60" i="3"/>
  <c r="AZ73" i="3"/>
  <c r="AZ78" i="3"/>
  <c r="AZ87" i="3"/>
  <c r="AZ91" i="3"/>
  <c r="AZ95" i="3"/>
  <c r="AZ98" i="3"/>
  <c r="AZ100" i="3"/>
  <c r="AZ104" i="3"/>
  <c r="H21" i="34"/>
  <c r="U21" i="34"/>
  <c r="F21" i="34"/>
  <c r="F84" i="34"/>
  <c r="G84" i="34"/>
  <c r="J21" i="34"/>
  <c r="K7" i="1"/>
  <c r="F3" i="35"/>
  <c r="G12" i="1"/>
  <c r="C18" i="71"/>
  <c r="D18" i="71"/>
  <c r="D19" i="71"/>
  <c r="O58" i="71"/>
  <c r="AA20" i="71"/>
  <c r="AA18" i="71"/>
  <c r="AB20" i="71"/>
  <c r="AB18" i="71"/>
  <c r="Y17" i="71"/>
  <c r="Z17" i="71"/>
  <c r="X27" i="71"/>
  <c r="X26" i="71"/>
  <c r="AA23" i="71"/>
  <c r="X29" i="71"/>
  <c r="AA21" i="71"/>
  <c r="B23" i="71"/>
  <c r="B24" i="71"/>
  <c r="S24" i="71"/>
  <c r="X21" i="71"/>
  <c r="Y22" i="71"/>
  <c r="Z22" i="71"/>
  <c r="AB23" i="71"/>
  <c r="Y26" i="71"/>
  <c r="Z26" i="71"/>
  <c r="AB26" i="71"/>
  <c r="E15" i="71"/>
  <c r="E14" i="71"/>
  <c r="E13" i="71"/>
  <c r="E12" i="71"/>
  <c r="V16" i="71"/>
  <c r="G11" i="1"/>
  <c r="G9" i="1"/>
  <c r="P74" i="67"/>
  <c r="E17" i="43"/>
  <c r="Y6" i="71"/>
  <c r="Z6" i="71"/>
  <c r="AB6" i="71"/>
  <c r="W29" i="77"/>
  <c r="W13" i="77"/>
  <c r="S11" i="77"/>
  <c r="W17" i="77"/>
  <c r="U13" i="77"/>
  <c r="AA8" i="77"/>
  <c r="X6" i="71"/>
  <c r="AA6" i="71"/>
  <c r="F45" i="77"/>
  <c r="H45" i="77"/>
  <c r="U45" i="77"/>
  <c r="I25" i="77"/>
  <c r="G25" i="77"/>
  <c r="F21" i="33"/>
  <c r="H21" i="33"/>
  <c r="U21" i="33"/>
  <c r="J21" i="33"/>
  <c r="H36" i="33"/>
  <c r="U36" i="33"/>
  <c r="F36" i="33"/>
  <c r="J36" i="33"/>
  <c r="W36" i="33"/>
  <c r="G13" i="3"/>
  <c r="F6" i="1"/>
  <c r="G6" i="1"/>
  <c r="F16" i="4"/>
  <c r="A18" i="51"/>
  <c r="B13" i="72"/>
  <c r="C36" i="69"/>
  <c r="P16" i="1"/>
  <c r="C11" i="12"/>
  <c r="C12" i="12"/>
  <c r="T8" i="1"/>
  <c r="T7" i="1"/>
  <c r="G5" i="3"/>
  <c r="B3" i="3"/>
  <c r="AC44" i="34"/>
  <c r="AB35" i="34"/>
  <c r="F102" i="34"/>
  <c r="F33" i="34"/>
  <c r="S33" i="34"/>
  <c r="H33" i="34"/>
  <c r="AC45" i="34"/>
  <c r="W45" i="34"/>
  <c r="F45" i="34"/>
  <c r="H45" i="34"/>
  <c r="AA33" i="34"/>
  <c r="U29" i="77"/>
  <c r="H29" i="34"/>
  <c r="AB29" i="34"/>
  <c r="F42" i="33"/>
  <c r="J42" i="33"/>
  <c r="H42" i="33"/>
  <c r="AA44" i="33"/>
  <c r="S44" i="33"/>
  <c r="W32" i="33"/>
  <c r="U32" i="33"/>
  <c r="W28" i="33"/>
  <c r="K100" i="43"/>
  <c r="C100" i="43"/>
  <c r="M100" i="43"/>
  <c r="I100" i="43"/>
  <c r="E100" i="43"/>
  <c r="D100" i="43"/>
  <c r="L27" i="6"/>
  <c r="B14" i="74"/>
  <c r="B1" i="74"/>
  <c r="C7" i="74"/>
  <c r="E19" i="6"/>
  <c r="D29" i="43"/>
  <c r="U3" i="43"/>
  <c r="BB5" i="3"/>
  <c r="E8" i="6"/>
  <c r="S47" i="34"/>
  <c r="AR11" i="1"/>
  <c r="U47" i="34"/>
  <c r="D8" i="74"/>
  <c r="AZ15" i="3"/>
  <c r="AQ8" i="1"/>
  <c r="T9" i="1"/>
  <c r="AQ9" i="1"/>
  <c r="BA5" i="3"/>
  <c r="H48" i="43"/>
  <c r="G48" i="43"/>
  <c r="H54" i="43"/>
  <c r="G54" i="43"/>
  <c r="K54" i="43"/>
  <c r="H53" i="43"/>
  <c r="G53" i="43"/>
  <c r="M53" i="43"/>
  <c r="N53" i="43"/>
  <c r="M62" i="43"/>
  <c r="N62" i="43"/>
  <c r="K62" i="43"/>
  <c r="J62" i="43"/>
  <c r="H60" i="43"/>
  <c r="G60" i="43"/>
  <c r="H64" i="43"/>
  <c r="G64" i="43"/>
  <c r="H61" i="43"/>
  <c r="G61" i="43"/>
  <c r="H63" i="43"/>
  <c r="G63" i="43"/>
  <c r="K53" i="43"/>
  <c r="J53" i="43"/>
  <c r="M54" i="43"/>
  <c r="N54" i="43"/>
  <c r="H75" i="43"/>
  <c r="H82" i="43"/>
  <c r="H88" i="43"/>
  <c r="H72" i="43"/>
  <c r="H70" i="43"/>
  <c r="H86" i="43"/>
  <c r="H76" i="43"/>
  <c r="H85" i="43"/>
  <c r="H87" i="43"/>
  <c r="H55" i="43"/>
  <c r="G55" i="43"/>
  <c r="H52" i="43"/>
  <c r="G52" i="43"/>
  <c r="H56" i="43"/>
  <c r="G56" i="43"/>
  <c r="H51" i="43"/>
  <c r="G51" i="43"/>
  <c r="H50" i="43"/>
  <c r="G50" i="43"/>
  <c r="H49" i="43"/>
  <c r="G49" i="43"/>
  <c r="D68" i="39"/>
  <c r="E68" i="39"/>
  <c r="I20" i="43"/>
  <c r="C42" i="1"/>
  <c r="O19" i="43"/>
  <c r="P23" i="43"/>
  <c r="B71" i="39"/>
  <c r="D63" i="40"/>
  <c r="C65" i="40"/>
  <c r="I52" i="37"/>
  <c r="I59" i="77"/>
  <c r="J59" i="77"/>
  <c r="K59" i="77"/>
  <c r="L59" i="77"/>
  <c r="M59" i="77"/>
  <c r="H58" i="21"/>
  <c r="I58" i="21"/>
  <c r="J58" i="21"/>
  <c r="K58" i="21"/>
  <c r="L58" i="21"/>
  <c r="G7" i="33"/>
  <c r="S28" i="33"/>
  <c r="U28" i="33"/>
  <c r="J29" i="34"/>
  <c r="AB17" i="34"/>
  <c r="U17" i="34"/>
  <c r="S17" i="34"/>
  <c r="E80" i="34"/>
  <c r="F80" i="34"/>
  <c r="G80" i="34"/>
  <c r="J17" i="34"/>
  <c r="F10" i="34"/>
  <c r="H67" i="34"/>
  <c r="H10" i="34"/>
  <c r="AA25" i="33"/>
  <c r="S25" i="33"/>
  <c r="E87" i="33"/>
  <c r="F87" i="33"/>
  <c r="G87" i="33"/>
  <c r="H87" i="33"/>
  <c r="I87" i="33"/>
  <c r="J87" i="33"/>
  <c r="K87" i="33"/>
  <c r="L87" i="33"/>
  <c r="M87" i="33"/>
  <c r="F88" i="34"/>
  <c r="G88" i="34"/>
  <c r="H88" i="34"/>
  <c r="I88" i="34"/>
  <c r="J88" i="34"/>
  <c r="K88" i="34"/>
  <c r="L88" i="34"/>
  <c r="M88" i="34"/>
  <c r="AA47" i="34"/>
  <c r="F78" i="34"/>
  <c r="G78" i="34"/>
  <c r="H15" i="34"/>
  <c r="J15" i="34"/>
  <c r="AB47" i="34"/>
  <c r="F29" i="34"/>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D10" i="49"/>
  <c r="B8" i="49"/>
  <c r="D8" i="49"/>
  <c r="B6" i="49"/>
  <c r="D6" i="49"/>
  <c r="B4" i="49"/>
  <c r="D4" i="49"/>
  <c r="B13" i="49"/>
  <c r="D13" i="49"/>
  <c r="B11" i="49"/>
  <c r="D11" i="49"/>
  <c r="B9" i="49"/>
  <c r="D9" i="49"/>
  <c r="B7" i="49"/>
  <c r="D7" i="49"/>
  <c r="B5" i="49"/>
  <c r="D70" i="39"/>
  <c r="I7" i="34"/>
  <c r="J7" i="34"/>
  <c r="AC7" i="34"/>
  <c r="E7" i="33"/>
  <c r="C58" i="33"/>
  <c r="D58" i="33"/>
  <c r="E58" i="33"/>
  <c r="F58" i="33"/>
  <c r="E7" i="34"/>
  <c r="F7" i="34"/>
  <c r="S7" i="34"/>
  <c r="G7" i="34"/>
  <c r="H7" i="34"/>
  <c r="U7" i="34"/>
  <c r="S29" i="77"/>
  <c r="E13" i="6"/>
  <c r="C5" i="43"/>
  <c r="J25" i="34"/>
  <c r="W25" i="34"/>
  <c r="AC36" i="33"/>
  <c r="AB21" i="33"/>
  <c r="E11" i="71"/>
  <c r="E10" i="71"/>
  <c r="E9" i="71"/>
  <c r="E8" i="71"/>
  <c r="V12" i="71"/>
  <c r="AC21" i="34"/>
  <c r="W21" i="34"/>
  <c r="AA21" i="34"/>
  <c r="S21" i="34"/>
  <c r="AC38" i="40"/>
  <c r="U46" i="34"/>
  <c r="W46" i="34"/>
  <c r="S14" i="39"/>
  <c r="S12" i="39"/>
  <c r="AA11" i="36"/>
  <c r="AC11" i="36"/>
  <c r="U23" i="35"/>
  <c r="AC9" i="34"/>
  <c r="W9" i="34"/>
  <c r="AB44" i="21"/>
  <c r="U44" i="21"/>
  <c r="U29" i="21"/>
  <c r="AB29" i="21"/>
  <c r="W13" i="21"/>
  <c r="AC13" i="21"/>
  <c r="S9" i="37"/>
  <c r="W9" i="37"/>
  <c r="W24" i="36"/>
  <c r="AB12" i="36"/>
  <c r="AA12" i="34"/>
  <c r="W12" i="34"/>
  <c r="S14" i="33"/>
  <c r="W46" i="21"/>
  <c r="AC46" i="21"/>
  <c r="AA27" i="21"/>
  <c r="S27" i="21"/>
  <c r="W27" i="21"/>
  <c r="AC27" i="21"/>
  <c r="AC12" i="21"/>
  <c r="W12" i="21"/>
  <c r="E12" i="6"/>
  <c r="E62" i="39"/>
  <c r="AA36" i="33"/>
  <c r="S36" i="33"/>
  <c r="AC21" i="33"/>
  <c r="W21" i="33"/>
  <c r="AA21" i="33"/>
  <c r="S21" i="33"/>
  <c r="AA45" i="77"/>
  <c r="S45" i="77"/>
  <c r="M7" i="1"/>
  <c r="AB21" i="34"/>
  <c r="U39" i="40"/>
  <c r="AB39" i="40"/>
  <c r="AB38" i="40"/>
  <c r="U38" i="40"/>
  <c r="AA46" i="34"/>
  <c r="S46" i="34"/>
  <c r="AC14" i="39"/>
  <c r="W14" i="39"/>
  <c r="AC12" i="39"/>
  <c r="W12" i="39"/>
  <c r="AB11" i="36"/>
  <c r="U11" i="36"/>
  <c r="AC23" i="35"/>
  <c r="W23" i="35"/>
  <c r="AA44" i="34"/>
  <c r="S44" i="34"/>
  <c r="AB9" i="34"/>
  <c r="U9" i="34"/>
  <c r="AA44" i="21"/>
  <c r="S44" i="21"/>
  <c r="AC44" i="21"/>
  <c r="W44" i="21"/>
  <c r="AC29" i="21"/>
  <c r="W29" i="21"/>
  <c r="AB13" i="21"/>
  <c r="U13" i="21"/>
  <c r="AB9" i="37"/>
  <c r="U9" i="37"/>
  <c r="AB24" i="36"/>
  <c r="U24" i="36"/>
  <c r="AA12" i="36"/>
  <c r="S12" i="36"/>
  <c r="W12" i="36"/>
  <c r="AC12" i="36"/>
  <c r="AB12" i="34"/>
  <c r="U12" i="34"/>
  <c r="W14" i="33"/>
  <c r="AC14" i="33"/>
  <c r="U14" i="33"/>
  <c r="AB14" i="33"/>
  <c r="S46" i="21"/>
  <c r="AB46" i="21"/>
  <c r="AB27" i="21"/>
  <c r="U12" i="21"/>
  <c r="AA12" i="21"/>
  <c r="C30" i="11"/>
  <c r="C48" i="11"/>
  <c r="A19" i="51"/>
  <c r="B14" i="72"/>
  <c r="F25" i="34"/>
  <c r="S25" i="34"/>
  <c r="E27" i="6"/>
  <c r="K19" i="6"/>
  <c r="A3" i="3"/>
  <c r="D1" i="43"/>
  <c r="U29" i="34"/>
  <c r="U33" i="34"/>
  <c r="AB33" i="34"/>
  <c r="G102" i="34"/>
  <c r="H102" i="34"/>
  <c r="I102" i="34"/>
  <c r="J102" i="34"/>
  <c r="K102" i="34"/>
  <c r="L102" i="34"/>
  <c r="M102" i="34"/>
  <c r="J33" i="34"/>
  <c r="AC33" i="34"/>
  <c r="AA45" i="34"/>
  <c r="S45" i="34"/>
  <c r="AB45" i="34"/>
  <c r="U45" i="34"/>
  <c r="H25" i="34"/>
  <c r="U25" i="34"/>
  <c r="AC42" i="33"/>
  <c r="W42" i="33"/>
  <c r="AB42" i="33"/>
  <c r="U42" i="33"/>
  <c r="E11" i="6"/>
  <c r="E15" i="6"/>
  <c r="E65" i="39"/>
  <c r="E14" i="6"/>
  <c r="E10" i="6"/>
  <c r="C8" i="74"/>
  <c r="K6" i="1"/>
  <c r="C34" i="69"/>
  <c r="C38" i="69"/>
  <c r="D3" i="33"/>
  <c r="D3" i="34"/>
  <c r="M14" i="1"/>
  <c r="E57" i="40"/>
  <c r="E51" i="40"/>
  <c r="K22" i="6"/>
  <c r="M22" i="6"/>
  <c r="I22" i="6"/>
  <c r="S22" i="6"/>
  <c r="K26" i="6"/>
  <c r="M26" i="6"/>
  <c r="I26" i="6"/>
  <c r="S26" i="6"/>
  <c r="K25" i="6"/>
  <c r="M25" i="6"/>
  <c r="I25" i="6"/>
  <c r="S25" i="6"/>
  <c r="K23" i="6"/>
  <c r="M23" i="6"/>
  <c r="I23" i="6"/>
  <c r="S23" i="6"/>
  <c r="E63" i="39"/>
  <c r="E58" i="40"/>
  <c r="M50" i="43"/>
  <c r="N50" i="43"/>
  <c r="K50" i="43"/>
  <c r="M56" i="43"/>
  <c r="N56" i="43"/>
  <c r="K56" i="43"/>
  <c r="J56" i="43"/>
  <c r="M55" i="43"/>
  <c r="N55" i="43"/>
  <c r="K55" i="43"/>
  <c r="J55" i="43"/>
  <c r="D48" i="43"/>
  <c r="M63" i="43"/>
  <c r="N63" i="43"/>
  <c r="K63" i="43"/>
  <c r="J63" i="43"/>
  <c r="M64" i="43"/>
  <c r="N64" i="43"/>
  <c r="K64" i="43"/>
  <c r="J64" i="43"/>
  <c r="K49" i="43"/>
  <c r="M49" i="43"/>
  <c r="N49" i="43"/>
  <c r="K51" i="43"/>
  <c r="J51" i="43"/>
  <c r="M51" i="43"/>
  <c r="N51" i="43"/>
  <c r="M52" i="43"/>
  <c r="N52" i="43"/>
  <c r="K52" i="43"/>
  <c r="J52" i="43"/>
  <c r="D54" i="43"/>
  <c r="J54" i="43"/>
  <c r="D53" i="43"/>
  <c r="F7" i="36"/>
  <c r="J7" i="36"/>
  <c r="W7" i="36"/>
  <c r="C30" i="68"/>
  <c r="C24" i="12"/>
  <c r="C36" i="11"/>
  <c r="C31" i="12"/>
  <c r="C48" i="69"/>
  <c r="C30" i="69"/>
  <c r="C13" i="12"/>
  <c r="C77" i="9"/>
  <c r="C74" i="9"/>
  <c r="C28" i="15"/>
  <c r="C28" i="67"/>
  <c r="AB7" i="34"/>
  <c r="W7" i="34"/>
  <c r="AC7" i="36"/>
  <c r="V36" i="36"/>
  <c r="I36" i="36"/>
  <c r="J52" i="37"/>
  <c r="K52" i="37"/>
  <c r="L52" i="37"/>
  <c r="M52" i="37"/>
  <c r="N52" i="37"/>
  <c r="AC29" i="34"/>
  <c r="W29" i="34"/>
  <c r="AC17" i="34"/>
  <c r="W17" i="34"/>
  <c r="I67" i="34"/>
  <c r="J10" i="34"/>
  <c r="AB10" i="34"/>
  <c r="U10" i="34"/>
  <c r="AA10" i="34"/>
  <c r="S10" i="34"/>
  <c r="AC25" i="34"/>
  <c r="AA25" i="34"/>
  <c r="AB25" i="34"/>
  <c r="AB15" i="34"/>
  <c r="U15" i="34"/>
  <c r="AC15" i="34"/>
  <c r="W15" i="34"/>
  <c r="AC47" i="34"/>
  <c r="W47" i="34"/>
  <c r="AA29" i="34"/>
  <c r="S29" i="34"/>
  <c r="D5" i="49"/>
  <c r="E4" i="4"/>
  <c r="B5" i="62"/>
  <c r="B73" i="72"/>
  <c r="K16" i="1"/>
  <c r="K24" i="6"/>
  <c r="M24" i="6"/>
  <c r="I24" i="6"/>
  <c r="S24" i="6"/>
  <c r="K20" i="6"/>
  <c r="M20" i="6"/>
  <c r="I20" i="6"/>
  <c r="S20" i="6"/>
  <c r="E31" i="6"/>
  <c r="K21" i="6"/>
  <c r="M21" i="6"/>
  <c r="I21" i="6"/>
  <c r="S21" i="6"/>
  <c r="AJ6" i="3"/>
  <c r="E570" i="3"/>
  <c r="E185" i="3"/>
  <c r="E533" i="3"/>
  <c r="E305" i="3"/>
  <c r="E17" i="3"/>
  <c r="E495" i="3"/>
  <c r="E99" i="3"/>
  <c r="E197" i="3"/>
  <c r="E369" i="3"/>
  <c r="E534" i="3"/>
  <c r="E563" i="3"/>
  <c r="E124" i="3"/>
  <c r="E244" i="3"/>
  <c r="E252" i="3"/>
  <c r="E576" i="3"/>
  <c r="E421" i="3"/>
  <c r="E487" i="3"/>
  <c r="E416" i="3"/>
  <c r="E374" i="3"/>
  <c r="E201" i="3"/>
  <c r="E538" i="3"/>
  <c r="E304" i="3"/>
  <c r="E303" i="3"/>
  <c r="E133" i="3"/>
  <c r="E560" i="3"/>
  <c r="E549" i="3"/>
  <c r="E107" i="3"/>
  <c r="E478" i="3"/>
  <c r="E477" i="3"/>
  <c r="E547" i="3"/>
  <c r="E583" i="3"/>
  <c r="E181" i="3"/>
  <c r="E552" i="3"/>
  <c r="E406" i="3"/>
  <c r="E587" i="3"/>
  <c r="E403" i="3"/>
  <c r="E546" i="3"/>
  <c r="E71" i="3"/>
  <c r="E92" i="3"/>
  <c r="E126" i="3"/>
  <c r="E272" i="3"/>
  <c r="E291" i="3"/>
  <c r="E317" i="3"/>
  <c r="AM6" i="3"/>
  <c r="E29" i="3"/>
  <c r="E425" i="3"/>
  <c r="E103" i="3"/>
  <c r="E267" i="3"/>
  <c r="E310" i="3"/>
  <c r="E67" i="3"/>
  <c r="E233" i="3"/>
  <c r="E314" i="3"/>
  <c r="J6" i="3"/>
  <c r="E178" i="3"/>
  <c r="AL6" i="3"/>
  <c r="E275" i="3"/>
  <c r="E62" i="3"/>
  <c r="E246" i="3"/>
  <c r="E405" i="3"/>
  <c r="E497" i="3"/>
  <c r="E433" i="3"/>
  <c r="E431" i="3"/>
  <c r="E175" i="3"/>
  <c r="E180" i="3"/>
  <c r="E535" i="3"/>
  <c r="U6" i="3"/>
  <c r="E566" i="3"/>
  <c r="E511" i="3"/>
  <c r="E458" i="3"/>
  <c r="E571" i="3"/>
  <c r="E436" i="3"/>
  <c r="E131" i="3"/>
  <c r="E297" i="3"/>
  <c r="E375" i="3"/>
  <c r="E540" i="3"/>
  <c r="E195" i="3"/>
  <c r="E584" i="3"/>
  <c r="E341" i="3"/>
  <c r="E470" i="3"/>
  <c r="E428" i="3"/>
  <c r="E265" i="3"/>
  <c r="E512" i="3"/>
  <c r="E55" i="3"/>
  <c r="E135" i="3"/>
  <c r="E353" i="3"/>
  <c r="E532" i="3"/>
  <c r="E207" i="3"/>
  <c r="E400" i="3"/>
  <c r="E114" i="3"/>
  <c r="E312" i="3"/>
  <c r="E288" i="3"/>
  <c r="E491" i="3"/>
  <c r="E37" i="3"/>
  <c r="E192" i="3"/>
  <c r="E363" i="3"/>
  <c r="E76" i="3"/>
  <c r="E98" i="3"/>
  <c r="E307" i="3"/>
  <c r="E127" i="3"/>
  <c r="E486" i="3"/>
  <c r="E332" i="3"/>
  <c r="E232" i="3"/>
  <c r="E199" i="3"/>
  <c r="E468" i="3"/>
  <c r="E168" i="3"/>
  <c r="E257" i="3"/>
  <c r="E14" i="3"/>
  <c r="E473" i="3"/>
  <c r="E194" i="3"/>
  <c r="E52" i="3"/>
  <c r="E50" i="3"/>
  <c r="E264" i="3"/>
  <c r="E21" i="3"/>
  <c r="E490" i="3"/>
  <c r="E25" i="3"/>
  <c r="E276" i="3"/>
  <c r="E482" i="3"/>
  <c r="E35" i="3"/>
  <c r="E158" i="3"/>
  <c r="E171" i="3"/>
  <c r="E74" i="3"/>
  <c r="E299" i="3"/>
  <c r="E19" i="3"/>
  <c r="E253" i="3"/>
  <c r="E198" i="3"/>
  <c r="E190" i="3"/>
  <c r="E326" i="3"/>
  <c r="E274" i="3"/>
  <c r="E15" i="3"/>
  <c r="E36" i="3"/>
  <c r="E222" i="3"/>
  <c r="AH6" i="3"/>
  <c r="E346" i="3"/>
  <c r="E34" i="3"/>
  <c r="E366" i="3"/>
  <c r="E229" i="3"/>
  <c r="E294" i="3"/>
  <c r="E338" i="3"/>
  <c r="E359" i="3"/>
  <c r="E501" i="3"/>
  <c r="E329" i="3"/>
  <c r="AI6" i="3"/>
  <c r="E290" i="3"/>
  <c r="E125" i="3"/>
  <c r="E396" i="3"/>
  <c r="E320" i="3"/>
  <c r="E321" i="3"/>
  <c r="E285" i="3"/>
  <c r="E319" i="3"/>
  <c r="E545" i="3"/>
  <c r="E578" i="3"/>
  <c r="E161" i="3"/>
  <c r="W33" i="34"/>
  <c r="E60" i="40"/>
  <c r="M6" i="1"/>
  <c r="Q16" i="1"/>
  <c r="F27" i="11"/>
  <c r="H16" i="1"/>
  <c r="G16" i="1"/>
  <c r="E64" i="39"/>
  <c r="E59" i="40"/>
  <c r="E61" i="39"/>
  <c r="E56" i="40"/>
  <c r="M16" i="1"/>
  <c r="N16" i="1"/>
  <c r="F50" i="69"/>
  <c r="D56" i="43"/>
  <c r="D50" i="43"/>
  <c r="J50" i="43"/>
  <c r="D49" i="43"/>
  <c r="J49" i="43"/>
  <c r="I40" i="36"/>
  <c r="J40" i="36"/>
  <c r="AC10" i="34"/>
  <c r="W10" i="34"/>
  <c r="J10" i="40"/>
  <c r="AC10" i="40"/>
  <c r="H10" i="39"/>
  <c r="U10" i="39"/>
  <c r="F10" i="40"/>
  <c r="AA10" i="40"/>
  <c r="F27" i="69"/>
  <c r="F28" i="12"/>
  <c r="L16" i="1"/>
  <c r="C34" i="11"/>
  <c r="C29" i="11"/>
  <c r="D27" i="11"/>
  <c r="C47" i="11"/>
  <c r="D45" i="11"/>
  <c r="F45" i="69"/>
  <c r="S10" i="40"/>
  <c r="AB10" i="39"/>
  <c r="W10" i="40"/>
  <c r="C38" i="11"/>
  <c r="F50" i="11"/>
  <c r="F50" i="68"/>
  <c r="G14" i="74"/>
  <c r="B6" i="74"/>
  <c r="F14" i="74"/>
  <c r="E14" i="74"/>
  <c r="B5" i="74"/>
  <c r="D5" i="74"/>
  <c r="C5" i="74"/>
  <c r="C6" i="74"/>
  <c r="D6" i="74"/>
  <c r="D2" i="37"/>
  <c r="AO12" i="1"/>
  <c r="D2" i="36"/>
  <c r="AO13" i="1"/>
  <c r="D2" i="33"/>
  <c r="D9" i="68"/>
  <c r="AO11" i="1"/>
  <c r="D34" i="9"/>
  <c r="C20" i="9"/>
  <c r="AO8" i="1"/>
  <c r="D35" i="9"/>
  <c r="D19" i="9"/>
  <c r="D7" i="73"/>
  <c r="D4" i="73"/>
  <c r="AO10" i="1"/>
  <c r="B8" i="76"/>
  <c r="E2" i="69"/>
  <c r="E8" i="76"/>
  <c r="F6" i="15"/>
  <c r="L48" i="67"/>
  <c r="C76" i="67"/>
  <c r="J15" i="67"/>
  <c r="M26" i="67"/>
  <c r="F38" i="15"/>
  <c r="M27" i="67"/>
  <c r="M9" i="67"/>
  <c r="E11" i="76"/>
  <c r="F41" i="15"/>
  <c r="F41" i="67"/>
  <c r="D6" i="73"/>
  <c r="F16" i="15"/>
  <c r="C19" i="9"/>
  <c r="D5" i="73"/>
  <c r="L48" i="15"/>
  <c r="E9" i="76"/>
  <c r="F20" i="31"/>
  <c r="D20" i="9"/>
  <c r="M8" i="67"/>
  <c r="E10" i="76"/>
  <c r="F13" i="67"/>
  <c r="B12" i="76"/>
  <c r="M23" i="15"/>
  <c r="D3" i="73"/>
  <c r="B13" i="76"/>
  <c r="F5" i="73"/>
  <c r="F4" i="73"/>
  <c r="F43" i="15"/>
  <c r="M29" i="67"/>
  <c r="F7" i="67"/>
  <c r="F7" i="15"/>
  <c r="C14" i="15"/>
  <c r="D2" i="35"/>
  <c r="M6" i="67"/>
  <c r="AO9" i="1"/>
  <c r="B9" i="76"/>
  <c r="F27" i="68"/>
  <c r="D2" i="21"/>
  <c r="B7" i="76"/>
  <c r="F36" i="15"/>
  <c r="B10" i="76"/>
  <c r="B11" i="76"/>
  <c r="D2" i="34"/>
  <c r="C36" i="68"/>
  <c r="M28" i="67"/>
  <c r="M24" i="15"/>
  <c r="F42" i="67"/>
  <c r="M24" i="67"/>
  <c r="F8" i="67"/>
  <c r="AO6" i="1"/>
  <c r="C76" i="15"/>
  <c r="AO7" i="1"/>
  <c r="M27" i="15"/>
  <c r="E13" i="76"/>
  <c r="L47" i="15"/>
  <c r="E12" i="76"/>
  <c r="E7" i="76"/>
  <c r="F7" i="73"/>
  <c r="M29" i="15"/>
  <c r="F43" i="67"/>
  <c r="F3" i="73"/>
  <c r="F6" i="73"/>
  <c r="G1" i="73"/>
  <c r="C4" i="4"/>
  <c r="B4" i="62"/>
  <c r="B71" i="72"/>
  <c r="C35" i="69"/>
  <c r="B40" i="1"/>
  <c r="F71" i="67"/>
  <c r="M59" i="15"/>
  <c r="L58" i="15"/>
  <c r="L59" i="15"/>
  <c r="N59" i="15"/>
  <c r="B7" i="70"/>
  <c r="Q71" i="15"/>
  <c r="B6" i="70"/>
  <c r="F51" i="67"/>
  <c r="F70" i="67"/>
  <c r="F64" i="15"/>
  <c r="F45" i="68"/>
  <c r="C29" i="68"/>
  <c r="D27" i="68"/>
  <c r="B9" i="70"/>
  <c r="C18" i="15"/>
  <c r="C15" i="15"/>
  <c r="F50" i="15"/>
  <c r="M7" i="15"/>
  <c r="F50" i="67"/>
  <c r="M7" i="67"/>
  <c r="J6" i="67"/>
  <c r="F71" i="15"/>
  <c r="I1" i="73"/>
  <c r="B39" i="1"/>
  <c r="D103" i="9"/>
  <c r="B20" i="31"/>
  <c r="B21" i="31"/>
  <c r="J53" i="15"/>
  <c r="L56" i="15"/>
  <c r="J57" i="15"/>
  <c r="J55" i="15"/>
  <c r="J58" i="15"/>
  <c r="Q50" i="15"/>
  <c r="I54" i="15"/>
  <c r="D22" i="9"/>
  <c r="G19" i="9"/>
  <c r="G21" i="9"/>
  <c r="C102" i="9"/>
  <c r="C21" i="9"/>
  <c r="F69" i="67"/>
  <c r="F69" i="15"/>
  <c r="F66" i="15"/>
  <c r="Q71" i="67"/>
  <c r="J57" i="67"/>
  <c r="J55" i="67"/>
  <c r="J58" i="67"/>
  <c r="Q50" i="67"/>
  <c r="L56" i="67"/>
  <c r="I54" i="67"/>
  <c r="J53" i="67"/>
  <c r="B10" i="70"/>
  <c r="E20" i="43"/>
  <c r="D21" i="9"/>
  <c r="D102" i="9"/>
  <c r="B8" i="70"/>
  <c r="G20" i="9"/>
  <c r="C32" i="9"/>
  <c r="C103" i="9"/>
  <c r="B11" i="70"/>
  <c r="C9" i="68"/>
  <c r="B13" i="70"/>
  <c r="B12" i="70"/>
  <c r="E7" i="71"/>
  <c r="V8" i="71"/>
  <c r="M58" i="21"/>
  <c r="N58" i="21"/>
  <c r="O58" i="21"/>
  <c r="H7" i="21"/>
  <c r="O52" i="37"/>
  <c r="H7" i="37"/>
  <c r="G58" i="33"/>
  <c r="H58" i="33"/>
  <c r="I58" i="33"/>
  <c r="J58" i="33"/>
  <c r="K58" i="33"/>
  <c r="L58" i="33"/>
  <c r="M58" i="33"/>
  <c r="N58" i="33"/>
  <c r="O58" i="33"/>
  <c r="J7" i="33"/>
  <c r="N59" i="77"/>
  <c r="O59" i="77"/>
  <c r="F7" i="77"/>
  <c r="C29" i="12"/>
  <c r="D28" i="12"/>
  <c r="AA7" i="36"/>
  <c r="R36" i="36"/>
  <c r="S7" i="36"/>
  <c r="E268" i="3"/>
  <c r="E579" i="3"/>
  <c r="E311" i="3"/>
  <c r="AB6" i="3"/>
  <c r="E189" i="3"/>
  <c r="E231" i="3"/>
  <c r="E561" i="3"/>
  <c r="E143" i="3"/>
  <c r="E388" i="3"/>
  <c r="E530" i="3"/>
  <c r="E565" i="3"/>
  <c r="E539" i="3"/>
  <c r="E165" i="3"/>
  <c r="E586" i="3"/>
  <c r="E301" i="3"/>
  <c r="E221" i="3"/>
  <c r="E223" i="3"/>
  <c r="E116" i="3"/>
  <c r="E105" i="3"/>
  <c r="E393" i="3"/>
  <c r="E493" i="3"/>
  <c r="E564" i="3"/>
  <c r="E69" i="3"/>
  <c r="E445" i="3"/>
  <c r="E399" i="3"/>
  <c r="E568" i="3"/>
  <c r="E453" i="3"/>
  <c r="E156" i="3"/>
  <c r="E89" i="3"/>
  <c r="E204" i="3"/>
  <c r="E327" i="3"/>
  <c r="Z6" i="3"/>
  <c r="E502" i="3"/>
  <c r="E442" i="3"/>
  <c r="E466" i="3"/>
  <c r="E541" i="3"/>
  <c r="E430" i="3"/>
  <c r="E449" i="3"/>
  <c r="E255" i="3"/>
  <c r="E558" i="3"/>
  <c r="E509" i="3"/>
  <c r="M6" i="3"/>
  <c r="E216" i="3"/>
  <c r="E270" i="3"/>
  <c r="E343" i="3"/>
  <c r="E302" i="3"/>
  <c r="AN6" i="3"/>
  <c r="E91" i="3"/>
  <c r="E177" i="3"/>
  <c r="E330" i="3"/>
  <c r="Q6" i="3"/>
  <c r="E172" i="3"/>
  <c r="E397" i="3"/>
  <c r="E196" i="3"/>
  <c r="E271" i="3"/>
  <c r="E585" i="3"/>
  <c r="E411" i="3"/>
  <c r="E548" i="3"/>
  <c r="E432" i="3"/>
  <c r="E367" i="3"/>
  <c r="E557" i="3"/>
  <c r="E581" i="3"/>
  <c r="E395" i="3"/>
  <c r="E293" i="3"/>
  <c r="E262" i="3"/>
  <c r="E212" i="3"/>
  <c r="AD6" i="3"/>
  <c r="AC6" i="3"/>
  <c r="E437" i="3"/>
  <c r="E481" i="3"/>
  <c r="E424" i="3"/>
  <c r="E344" i="3"/>
  <c r="AE6"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157" i="3"/>
  <c r="E422" i="3"/>
  <c r="E452" i="3"/>
  <c r="E104" i="3"/>
  <c r="E202" i="3"/>
  <c r="E391" i="3"/>
  <c r="E43" i="3"/>
  <c r="E129" i="3"/>
  <c r="E522" i="3"/>
  <c r="E370" i="3"/>
  <c r="E218" i="3"/>
  <c r="E101" i="3"/>
  <c r="E296" i="3"/>
  <c r="E575" i="3"/>
  <c r="E469" i="3"/>
  <c r="E360" i="3"/>
  <c r="E537" i="3"/>
  <c r="E471" i="3"/>
  <c r="E475" i="3"/>
  <c r="E54" i="3"/>
  <c r="E387" i="3"/>
  <c r="E337" i="3"/>
  <c r="I4" i="6"/>
  <c r="E402" i="3"/>
  <c r="E193" i="3"/>
  <c r="E573" i="3"/>
  <c r="I6" i="3"/>
  <c r="H6" i="3"/>
  <c r="E145" i="3"/>
  <c r="E448" i="3"/>
  <c r="E443" i="3"/>
  <c r="E500" i="3"/>
  <c r="E550" i="3"/>
  <c r="E236" i="3"/>
  <c r="E542" i="3"/>
  <c r="E527" i="3"/>
  <c r="E562" i="3"/>
  <c r="E413" i="3"/>
  <c r="E520" i="3"/>
  <c r="E39" i="3"/>
  <c r="E57" i="3"/>
  <c r="E187" i="3"/>
  <c r="E240" i="3"/>
  <c r="E259" i="3"/>
  <c r="E378" i="3"/>
  <c r="E504" i="3"/>
  <c r="E110" i="3"/>
  <c r="E521" i="3"/>
  <c r="E65" i="3"/>
  <c r="E248" i="3"/>
  <c r="E386" i="3"/>
  <c r="E24" i="3"/>
  <c r="E250" i="3"/>
  <c r="E260" i="3"/>
  <c r="E376" i="3"/>
  <c r="E108" i="3"/>
  <c r="E356" i="3"/>
  <c r="E174" i="3"/>
  <c r="E20" i="3"/>
  <c r="E415" i="3"/>
  <c r="R6" i="3"/>
  <c r="E556" i="3"/>
  <c r="E496" i="3"/>
  <c r="E322" i="3"/>
  <c r="E134" i="3"/>
  <c r="AR6" i="3"/>
  <c r="E213" i="3"/>
  <c r="E159" i="3"/>
  <c r="E313" i="3"/>
  <c r="E278" i="3"/>
  <c r="E368" i="3"/>
  <c r="E379" i="3"/>
  <c r="E485" i="3"/>
  <c r="E345" i="3"/>
  <c r="E554" i="3"/>
  <c r="E336" i="3"/>
  <c r="E149" i="3"/>
  <c r="E529" i="3"/>
  <c r="E438" i="3"/>
  <c r="W6" i="3"/>
  <c r="E435" i="3"/>
  <c r="E417" i="3"/>
  <c r="E56" i="3"/>
  <c r="E95" i="3"/>
  <c r="E132" i="3"/>
  <c r="E258" i="3"/>
  <c r="E292" i="3"/>
  <c r="E349" i="3"/>
  <c r="E544" i="3"/>
  <c r="E59" i="3"/>
  <c r="E446" i="3"/>
  <c r="E138" i="3"/>
  <c r="E209" i="3"/>
  <c r="E354" i="3"/>
  <c r="E48" i="3"/>
  <c r="E284" i="3"/>
  <c r="E136" i="3"/>
  <c r="E494" i="3"/>
  <c r="E119" i="3"/>
  <c r="E60" i="3"/>
  <c r="E324" i="3"/>
  <c r="E176" i="3"/>
  <c r="E16" i="3"/>
  <c r="E456" i="3"/>
  <c r="E13" i="3"/>
  <c r="E454" i="3"/>
  <c r="E111" i="3"/>
  <c r="E150" i="3"/>
  <c r="E279" i="3"/>
  <c r="E351" i="3"/>
  <c r="E318" i="3"/>
  <c r="E31" i="3"/>
  <c r="E75" i="3"/>
  <c r="E455" i="3"/>
  <c r="E170" i="3"/>
  <c r="E219" i="3"/>
  <c r="E392" i="3"/>
  <c r="E112" i="3"/>
  <c r="E340" i="3"/>
  <c r="E63" i="3"/>
  <c r="E118" i="3"/>
  <c r="E283" i="3"/>
  <c r="E513" i="3"/>
  <c r="E434" i="3"/>
  <c r="E507" i="3"/>
  <c r="E498" i="3"/>
  <c r="E463" i="3"/>
  <c r="E115" i="3"/>
  <c r="E242" i="3"/>
  <c r="E333" i="3"/>
  <c r="E94" i="3"/>
  <c r="E78" i="3"/>
  <c r="E383" i="3"/>
  <c r="E206" i="3"/>
  <c r="E80" i="3"/>
  <c r="E308" i="3"/>
  <c r="E146" i="3"/>
  <c r="E214" i="3"/>
  <c r="E362" i="3"/>
  <c r="E409" i="3"/>
  <c r="E137" i="3"/>
  <c r="AQ6" i="3"/>
  <c r="E364" i="3"/>
  <c r="E179" i="3"/>
  <c r="E82" i="3"/>
  <c r="E440" i="3"/>
  <c r="E40" i="3"/>
  <c r="E226" i="3"/>
  <c r="E488" i="3"/>
  <c r="E342" i="3"/>
  <c r="E113" i="3"/>
  <c r="E73" i="3"/>
  <c r="E256" i="3"/>
  <c r="E394" i="3"/>
  <c r="E32" i="3"/>
  <c r="E100" i="3"/>
  <c r="E325" i="3"/>
  <c r="E289" i="3"/>
  <c r="E154" i="3"/>
  <c r="E373" i="3"/>
  <c r="E427" i="3"/>
  <c r="E401" i="3"/>
  <c r="E225" i="3"/>
  <c r="E42" i="3"/>
  <c r="E235" i="3"/>
  <c r="E102" i="3"/>
  <c r="E83" i="3"/>
  <c r="E282" i="3"/>
  <c r="E569" i="3"/>
  <c r="E358" i="3"/>
  <c r="E407" i="3"/>
  <c r="E130" i="3"/>
  <c r="E298" i="3"/>
  <c r="E506" i="3"/>
  <c r="E97" i="3"/>
  <c r="O6" i="3"/>
  <c r="E426" i="3"/>
  <c r="E53" i="3"/>
  <c r="E361" i="3"/>
  <c r="E510" i="3"/>
  <c r="E385" i="3"/>
  <c r="E423" i="3"/>
  <c r="E191" i="3"/>
  <c r="E117" i="3"/>
  <c r="E224" i="3"/>
  <c r="E553" i="3"/>
  <c r="E516" i="3"/>
  <c r="E151" i="3"/>
  <c r="V6" i="3"/>
  <c r="E230" i="3"/>
  <c r="E169" i="3"/>
  <c r="E418" i="3"/>
  <c r="E390" i="3"/>
  <c r="E574" i="3"/>
  <c r="E153" i="3"/>
  <c r="E261" i="3"/>
  <c r="E503" i="3"/>
  <c r="E352" i="3"/>
  <c r="E518" i="3"/>
  <c r="E382" i="3"/>
  <c r="E188" i="3"/>
  <c r="E120" i="3"/>
  <c r="F7" i="33"/>
  <c r="H7" i="33"/>
  <c r="J7" i="37"/>
  <c r="D65" i="40"/>
  <c r="E63" i="40"/>
  <c r="AZ16" i="3"/>
  <c r="BL5" i="3"/>
  <c r="B11" i="71"/>
  <c r="B10" i="71"/>
  <c r="B9" i="71"/>
  <c r="B8" i="71"/>
  <c r="S12" i="71"/>
  <c r="M48" i="35"/>
  <c r="C35" i="11"/>
  <c r="C29" i="69"/>
  <c r="D27" i="69"/>
  <c r="C47" i="69"/>
  <c r="D45" i="69"/>
  <c r="F7" i="37"/>
  <c r="D51" i="43"/>
  <c r="E48" i="43"/>
  <c r="B46" i="43"/>
  <c r="C24" i="43"/>
  <c r="J10" i="39"/>
  <c r="F10" i="39"/>
  <c r="H10" i="40"/>
  <c r="E277" i="3"/>
  <c r="E245" i="3"/>
  <c r="E128" i="3"/>
  <c r="E183" i="3"/>
  <c r="E328" i="3"/>
  <c r="E523" i="3"/>
  <c r="E254" i="3"/>
  <c r="E559" i="3"/>
  <c r="N6" i="3"/>
  <c r="E45" i="3"/>
  <c r="E263" i="3"/>
  <c r="E205" i="3"/>
  <c r="E528" i="3"/>
  <c r="S6" i="3"/>
  <c r="E61" i="3"/>
  <c r="E551" i="3"/>
  <c r="E239" i="3"/>
  <c r="E287" i="3"/>
  <c r="E18" i="3"/>
  <c r="E41" i="3"/>
  <c r="X6" i="3"/>
  <c r="E51" i="3"/>
  <c r="E234" i="3"/>
  <c r="E580" i="3"/>
  <c r="E203" i="3"/>
  <c r="E251" i="3"/>
  <c r="E372" i="3"/>
  <c r="E419" i="3"/>
  <c r="E323" i="3"/>
  <c r="E123" i="3"/>
  <c r="E79" i="3"/>
  <c r="E315" i="3"/>
  <c r="E22" i="3"/>
  <c r="AF6" i="3"/>
  <c r="E220" i="3"/>
  <c r="L6" i="3"/>
  <c r="E139" i="3"/>
  <c r="E483" i="3"/>
  <c r="E499" i="3"/>
  <c r="E309" i="3"/>
  <c r="E81" i="3"/>
  <c r="E147" i="3"/>
  <c r="E339" i="3"/>
  <c r="E38" i="3"/>
  <c r="E93" i="3"/>
  <c r="E357" i="3"/>
  <c r="E208" i="3"/>
  <c r="E106" i="3"/>
  <c r="E451" i="3"/>
  <c r="E524" i="3"/>
  <c r="E96" i="3"/>
  <c r="E26" i="3"/>
  <c r="Y6" i="3"/>
  <c r="E66" i="3"/>
  <c r="E163" i="3"/>
  <c r="E462" i="3"/>
  <c r="E389" i="3"/>
  <c r="E241" i="3"/>
  <c r="E152" i="3"/>
  <c r="E479" i="3"/>
  <c r="E517" i="3"/>
  <c r="E474" i="3"/>
  <c r="E306" i="3"/>
  <c r="AP6" i="3"/>
  <c r="AO6" i="3"/>
  <c r="E280" i="3"/>
  <c r="E238" i="3"/>
  <c r="E508" i="3"/>
  <c r="E514" i="3"/>
  <c r="E429" i="3"/>
  <c r="E228" i="3"/>
  <c r="E86" i="3"/>
  <c r="E281" i="3"/>
  <c r="E286" i="3"/>
  <c r="E87" i="3"/>
  <c r="E266" i="3"/>
  <c r="E47" i="3"/>
  <c r="E58" i="3"/>
  <c r="E348" i="3"/>
  <c r="E155" i="3"/>
  <c r="E90" i="3"/>
  <c r="E460" i="3"/>
  <c r="E457" i="3"/>
  <c r="E167" i="3"/>
  <c r="E582" i="3"/>
  <c r="P6" i="3"/>
  <c r="E148" i="3"/>
  <c r="E519" i="3"/>
  <c r="E567" i="3"/>
  <c r="E380" i="3"/>
  <c r="E72" i="3"/>
  <c r="E450" i="3"/>
  <c r="E408" i="3"/>
  <c r="E77" i="3"/>
  <c r="E365" i="3"/>
  <c r="E49" i="3"/>
  <c r="E412" i="3"/>
  <c r="E243" i="3"/>
  <c r="E420" i="3"/>
  <c r="E543" i="3"/>
  <c r="E381" i="3"/>
  <c r="E144" i="3"/>
  <c r="E23" i="3"/>
  <c r="E300" i="3"/>
  <c r="E142" i="3"/>
  <c r="E64" i="3"/>
  <c r="E441" i="3"/>
  <c r="E44" i="3"/>
  <c r="E384" i="3"/>
  <c r="E331" i="3"/>
  <c r="E210" i="3"/>
  <c r="E186" i="3"/>
  <c r="E162" i="3"/>
  <c r="E27" i="3"/>
  <c r="E447" i="3"/>
  <c r="E476" i="3"/>
  <c r="E577" i="3"/>
  <c r="E465" i="3"/>
  <c r="E472" i="3"/>
  <c r="E141" i="3"/>
  <c r="AK6" i="3"/>
  <c r="AS6" i="3"/>
  <c r="E505" i="3"/>
  <c r="E414" i="3"/>
  <c r="E515" i="3"/>
  <c r="E122" i="3"/>
  <c r="AA6" i="3"/>
  <c r="K6" i="3"/>
  <c r="E85" i="3"/>
  <c r="E227" i="3"/>
  <c r="E555" i="3"/>
  <c r="E215" i="3"/>
  <c r="E526" i="3"/>
  <c r="E459" i="3"/>
  <c r="E398" i="3"/>
  <c r="E464" i="3"/>
  <c r="AG6" i="3"/>
  <c r="E164" i="3"/>
  <c r="E269" i="3"/>
  <c r="E536" i="3"/>
  <c r="E347" i="3"/>
  <c r="T6" i="3"/>
  <c r="E525" i="3"/>
  <c r="E173" i="3"/>
  <c r="E140" i="3"/>
  <c r="E350" i="3"/>
  <c r="E461" i="3"/>
  <c r="E237" i="3"/>
  <c r="E410" i="3"/>
  <c r="E439" i="3"/>
  <c r="E335" i="3"/>
  <c r="E247" i="3"/>
  <c r="E217" i="3"/>
  <c r="AA7" i="34"/>
  <c r="J7" i="77"/>
  <c r="S6" i="1"/>
  <c r="M19" i="6"/>
  <c r="K27" i="6"/>
  <c r="C15" i="12"/>
  <c r="AB45" i="77"/>
  <c r="AB36" i="33"/>
  <c r="E70" i="39"/>
  <c r="F68" i="39"/>
  <c r="M61" i="43"/>
  <c r="N61" i="43"/>
  <c r="K61" i="43"/>
  <c r="J61" i="43"/>
  <c r="M60" i="43"/>
  <c r="N60" i="43"/>
  <c r="K60" i="43"/>
  <c r="J60" i="43"/>
  <c r="F27" i="6"/>
  <c r="F31" i="6"/>
  <c r="E56" i="39"/>
  <c r="E66" i="39"/>
  <c r="E16" i="6"/>
  <c r="AA42" i="33"/>
  <c r="S42" i="33"/>
  <c r="I3" i="6"/>
  <c r="AA32" i="33"/>
  <c r="S32" i="33"/>
  <c r="Q58" i="71"/>
  <c r="Q57" i="71"/>
  <c r="P22" i="43"/>
  <c r="P24" i="43"/>
  <c r="B66" i="40"/>
  <c r="P21" i="43"/>
  <c r="AC28" i="34"/>
  <c r="W28" i="34"/>
  <c r="AB43" i="34"/>
  <c r="U43" i="34"/>
  <c r="D7" i="74"/>
  <c r="H7" i="36"/>
  <c r="H7" i="77"/>
  <c r="P25" i="43"/>
  <c r="K48" i="43"/>
  <c r="J48" i="43"/>
  <c r="M48" i="43"/>
  <c r="N48" i="43"/>
  <c r="F48" i="68"/>
  <c r="C48" i="68"/>
  <c r="D13" i="71"/>
  <c r="C12" i="71"/>
  <c r="AC43" i="34"/>
  <c r="S16" i="71"/>
  <c r="AA43" i="34"/>
  <c r="S43" i="34"/>
  <c r="C23" i="12"/>
  <c r="AB14" i="37"/>
  <c r="U14" i="37"/>
  <c r="AC31" i="40"/>
  <c r="W31" i="40"/>
  <c r="AR7" i="1"/>
  <c r="D12" i="52"/>
  <c r="H67" i="43"/>
  <c r="G67" i="43"/>
  <c r="H66" i="43"/>
  <c r="G66" i="43"/>
  <c r="H59" i="43"/>
  <c r="G59" i="43"/>
  <c r="H65" i="43"/>
  <c r="G65" i="43"/>
  <c r="AC11" i="34"/>
  <c r="AA11" i="34"/>
  <c r="D10" i="52"/>
  <c r="AB11" i="34"/>
  <c r="U11" i="37"/>
  <c r="AB32" i="39"/>
  <c r="U33" i="21"/>
  <c r="S19" i="37"/>
  <c r="T11" i="1"/>
  <c r="AC15" i="21"/>
  <c r="AB35" i="37"/>
  <c r="S20" i="36"/>
  <c r="W27" i="40"/>
  <c r="AB20" i="36"/>
  <c r="AC27" i="36"/>
  <c r="AB27" i="40"/>
  <c r="U12" i="37"/>
  <c r="AC28" i="21"/>
  <c r="AB30" i="21"/>
  <c r="W40" i="40"/>
  <c r="AC40" i="40"/>
  <c r="F23" i="36"/>
  <c r="H23" i="36"/>
  <c r="F44" i="39"/>
  <c r="F40" i="40"/>
  <c r="H40" i="40"/>
  <c r="F34" i="35"/>
  <c r="J36" i="35"/>
  <c r="AZ398" i="3"/>
  <c r="AZ410" i="3"/>
  <c r="AZ415" i="3"/>
  <c r="AZ418" i="3"/>
  <c r="AZ420" i="3"/>
  <c r="AZ425" i="3"/>
  <c r="AZ438" i="3"/>
  <c r="AZ444" i="3"/>
  <c r="AZ448" i="3"/>
  <c r="AZ451" i="3"/>
  <c r="AZ461" i="3"/>
  <c r="AZ466" i="3"/>
  <c r="AZ470" i="3"/>
  <c r="AZ474" i="3"/>
  <c r="AZ482" i="3"/>
  <c r="AZ487" i="3"/>
  <c r="AZ397" i="3"/>
  <c r="AZ260" i="3"/>
  <c r="AZ267" i="3"/>
  <c r="AZ278" i="3"/>
  <c r="AZ289" i="3"/>
  <c r="AZ302" i="3"/>
  <c r="AZ113" i="3"/>
  <c r="AZ126" i="3"/>
  <c r="AZ129" i="3"/>
  <c r="AZ141" i="3"/>
  <c r="AZ161" i="3"/>
  <c r="AZ23" i="3"/>
  <c r="AZ5" i="3"/>
  <c r="AZ64" i="3"/>
  <c r="AZ90" i="3"/>
  <c r="AZ96" i="3"/>
  <c r="AZ108" i="3"/>
  <c r="D63" i="71"/>
  <c r="N57" i="71"/>
  <c r="C66" i="71"/>
  <c r="D66" i="71"/>
  <c r="AA17" i="71"/>
  <c r="X20" i="71"/>
  <c r="X18" i="71"/>
  <c r="Y20" i="71"/>
  <c r="Z20" i="71"/>
  <c r="Y19" i="71"/>
  <c r="Z19" i="71"/>
  <c r="Y23" i="71"/>
  <c r="Z23" i="71"/>
  <c r="B8" i="1"/>
  <c r="E8" i="1"/>
  <c r="C40" i="68"/>
  <c r="AA21" i="37"/>
  <c r="AC29" i="39"/>
  <c r="AC25" i="40"/>
  <c r="S21" i="21"/>
  <c r="S18" i="36"/>
  <c r="Y21" i="71"/>
  <c r="Z21" i="71"/>
  <c r="C22" i="71"/>
  <c r="Y25" i="71"/>
  <c r="Z25" i="71"/>
  <c r="AC19" i="77"/>
  <c r="W19" i="77"/>
  <c r="AA25" i="77"/>
  <c r="S25" i="77"/>
  <c r="AC28" i="77"/>
  <c r="W28" i="77"/>
  <c r="AC30" i="77"/>
  <c r="W30" i="77"/>
  <c r="J9" i="77"/>
  <c r="H9" i="77"/>
  <c r="G67" i="77"/>
  <c r="H67" i="77"/>
  <c r="I67" i="77"/>
  <c r="J10" i="77"/>
  <c r="H10" i="77"/>
  <c r="F10" i="77"/>
  <c r="J12" i="77"/>
  <c r="H12" i="77"/>
  <c r="F12" i="77"/>
  <c r="J14" i="77"/>
  <c r="H14" i="77"/>
  <c r="F14" i="77"/>
  <c r="E82" i="77"/>
  <c r="F82" i="77"/>
  <c r="G82" i="77"/>
  <c r="H19" i="77"/>
  <c r="AH10" i="43"/>
  <c r="AD10" i="43"/>
  <c r="Z10" i="43"/>
  <c r="AG10" i="43"/>
  <c r="AC10" i="43"/>
  <c r="N56" i="9"/>
  <c r="W27" i="77"/>
  <c r="S23" i="77"/>
  <c r="AA15" i="77"/>
  <c r="S15" i="77"/>
  <c r="AB27" i="77"/>
  <c r="U27" i="77"/>
  <c r="F84" i="77"/>
  <c r="G84" i="77"/>
  <c r="J21" i="77"/>
  <c r="H21" i="77"/>
  <c r="F21" i="77"/>
  <c r="F43" i="33"/>
  <c r="J43" i="33"/>
  <c r="F23" i="33"/>
  <c r="J23" i="33"/>
  <c r="J17" i="33"/>
  <c r="C17" i="67"/>
  <c r="C16" i="15"/>
  <c r="D10" i="68"/>
  <c r="F37" i="67"/>
  <c r="F13" i="15"/>
  <c r="F38" i="67"/>
  <c r="F35" i="67"/>
  <c r="F26" i="15"/>
  <c r="F35" i="15"/>
  <c r="M8" i="15"/>
  <c r="M6" i="15"/>
  <c r="F40" i="67"/>
  <c r="M26" i="15"/>
  <c r="F42" i="15"/>
  <c r="M22" i="15"/>
  <c r="M21" i="67"/>
  <c r="F37" i="15"/>
  <c r="C14" i="67"/>
  <c r="C17" i="15"/>
  <c r="F8" i="15"/>
  <c r="F16" i="67"/>
  <c r="F26" i="67"/>
  <c r="L47" i="67"/>
  <c r="F36" i="67"/>
  <c r="J15" i="15"/>
  <c r="M21" i="15"/>
  <c r="M28" i="15"/>
  <c r="M23" i="67"/>
  <c r="M22" i="67"/>
  <c r="M9" i="15"/>
  <c r="F40" i="15"/>
  <c r="F6" i="67"/>
  <c r="F9" i="67"/>
  <c r="F9" i="15"/>
  <c r="K4" i="4"/>
  <c r="B46" i="48"/>
  <c r="B4" i="72"/>
  <c r="C6" i="67"/>
  <c r="F68" i="15"/>
  <c r="J20" i="15"/>
  <c r="F64" i="67"/>
  <c r="L58" i="67"/>
  <c r="M59" i="67"/>
  <c r="L59" i="67"/>
  <c r="N59" i="67"/>
  <c r="C27" i="67"/>
  <c r="F51" i="15"/>
  <c r="C49" i="15"/>
  <c r="C6" i="15"/>
  <c r="C15" i="67"/>
  <c r="C18" i="67"/>
  <c r="F65" i="15"/>
  <c r="J20" i="67"/>
  <c r="F68" i="67"/>
  <c r="J6" i="15"/>
  <c r="F63" i="15"/>
  <c r="C62" i="15"/>
  <c r="C34" i="15"/>
  <c r="C27" i="15"/>
  <c r="F63" i="67"/>
  <c r="C62" i="67"/>
  <c r="C34" i="67"/>
  <c r="F66" i="67"/>
  <c r="F65" i="67"/>
  <c r="C10" i="68"/>
  <c r="D19" i="68"/>
  <c r="D37" i="68"/>
  <c r="C37" i="68"/>
  <c r="E3" i="6"/>
  <c r="AY6" i="3"/>
  <c r="J18" i="67"/>
  <c r="C19" i="15"/>
  <c r="AC17" i="33"/>
  <c r="W17" i="33"/>
  <c r="AA23" i="33"/>
  <c r="S23" i="33"/>
  <c r="AA43" i="33"/>
  <c r="S43" i="33"/>
  <c r="U21" i="77"/>
  <c r="AB21" i="77"/>
  <c r="U14" i="77"/>
  <c r="AB14" i="77"/>
  <c r="AA12" i="77"/>
  <c r="S12" i="77"/>
  <c r="W12" i="77"/>
  <c r="AC12" i="77"/>
  <c r="U10" i="77"/>
  <c r="AB10" i="77"/>
  <c r="W9" i="77"/>
  <c r="AC9" i="77"/>
  <c r="C23" i="71"/>
  <c r="D22" i="71"/>
  <c r="AC36" i="35"/>
  <c r="W36" i="35"/>
  <c r="AB40" i="40"/>
  <c r="U40" i="40"/>
  <c r="AA44" i="39"/>
  <c r="S44" i="39"/>
  <c r="AA23" i="36"/>
  <c r="S23" i="36"/>
  <c r="K65" i="43"/>
  <c r="J65" i="43"/>
  <c r="M65" i="43"/>
  <c r="N65" i="43"/>
  <c r="M66" i="43"/>
  <c r="N66" i="43"/>
  <c r="K66" i="43"/>
  <c r="J66" i="43"/>
  <c r="T12" i="71"/>
  <c r="D12" i="71"/>
  <c r="U12" i="71"/>
  <c r="C11" i="71"/>
  <c r="U7" i="36"/>
  <c r="AB7" i="36"/>
  <c r="T36" i="36"/>
  <c r="G36" i="36"/>
  <c r="G68" i="39"/>
  <c r="F70" i="39"/>
  <c r="I19" i="6"/>
  <c r="M27" i="6"/>
  <c r="W7" i="77"/>
  <c r="AC7" i="77"/>
  <c r="V49" i="77"/>
  <c r="I49" i="77"/>
  <c r="B2" i="70"/>
  <c r="Q74" i="15"/>
  <c r="Q61" i="15"/>
  <c r="U10" i="40"/>
  <c r="AB10" i="40"/>
  <c r="W10" i="39"/>
  <c r="AC10" i="39"/>
  <c r="AA7" i="37"/>
  <c r="R42" i="37"/>
  <c r="S7" i="37"/>
  <c r="U7" i="33"/>
  <c r="AB7" i="33"/>
  <c r="AA7" i="33"/>
  <c r="S7" i="33"/>
  <c r="R37" i="36"/>
  <c r="E36" i="36"/>
  <c r="AA7" i="77"/>
  <c r="R49" i="77"/>
  <c r="S7" i="77"/>
  <c r="AC7" i="33"/>
  <c r="W7" i="33"/>
  <c r="AB7" i="37"/>
  <c r="T42" i="37"/>
  <c r="G42" i="37"/>
  <c r="U7" i="37"/>
  <c r="AB7" i="21"/>
  <c r="T48" i="21"/>
  <c r="G48" i="21"/>
  <c r="U7" i="21"/>
  <c r="E6" i="71"/>
  <c r="E5" i="71"/>
  <c r="C8" i="68"/>
  <c r="Q52" i="67"/>
  <c r="F1" i="67"/>
  <c r="AC23" i="33"/>
  <c r="W23" i="33"/>
  <c r="AC43" i="33"/>
  <c r="W43" i="33"/>
  <c r="S21" i="77"/>
  <c r="AA21" i="77"/>
  <c r="AC21" i="77"/>
  <c r="W21" i="77"/>
  <c r="AB19" i="77"/>
  <c r="U19" i="77"/>
  <c r="AA14" i="77"/>
  <c r="S14" i="77"/>
  <c r="AC14" i="77"/>
  <c r="W14" i="77"/>
  <c r="AB12" i="77"/>
  <c r="U12" i="77"/>
  <c r="S10" i="77"/>
  <c r="AA10" i="77"/>
  <c r="AC10" i="77"/>
  <c r="W10" i="77"/>
  <c r="AB9" i="77"/>
  <c r="U9" i="77"/>
  <c r="C47" i="68"/>
  <c r="D45" i="68"/>
  <c r="S34" i="35"/>
  <c r="AA34" i="35"/>
  <c r="AA40" i="40"/>
  <c r="S40" i="40"/>
  <c r="AB23" i="36"/>
  <c r="U23" i="36"/>
  <c r="K59" i="43"/>
  <c r="J59" i="43"/>
  <c r="M59" i="43"/>
  <c r="N59" i="43"/>
  <c r="M67" i="43"/>
  <c r="N67" i="43"/>
  <c r="K67" i="43"/>
  <c r="J67" i="43"/>
  <c r="AB7" i="77"/>
  <c r="T49" i="77"/>
  <c r="G49" i="77"/>
  <c r="U7" i="77"/>
  <c r="E6" i="70"/>
  <c r="E2" i="70"/>
  <c r="S16" i="1"/>
  <c r="AR6" i="1"/>
  <c r="AQ6" i="1"/>
  <c r="T6" i="1"/>
  <c r="J7" i="21"/>
  <c r="S10" i="39"/>
  <c r="AA10" i="39"/>
  <c r="N48" i="35"/>
  <c r="S8" i="71"/>
  <c r="B7" i="71"/>
  <c r="F63" i="40"/>
  <c r="E65" i="40"/>
  <c r="W7" i="37"/>
  <c r="AC7" i="37"/>
  <c r="V42" i="37"/>
  <c r="I42" i="37"/>
  <c r="E6" i="3"/>
  <c r="F7" i="21"/>
  <c r="C35" i="9"/>
  <c r="C34" i="9"/>
  <c r="N28" i="43"/>
  <c r="P28" i="43"/>
  <c r="M28" i="43"/>
  <c r="G20" i="43"/>
  <c r="O28" i="43"/>
  <c r="F1" i="15"/>
  <c r="Q52" i="15"/>
  <c r="M11" i="67"/>
  <c r="J10" i="67"/>
  <c r="J5" i="67"/>
  <c r="F11" i="67"/>
  <c r="M11" i="15"/>
  <c r="F11" i="15"/>
  <c r="C49" i="67"/>
  <c r="Q73" i="15"/>
  <c r="Q60" i="15"/>
  <c r="F22" i="68"/>
  <c r="C44" i="68"/>
  <c r="D41" i="68"/>
  <c r="F24" i="67"/>
  <c r="C24" i="67"/>
  <c r="F25" i="12"/>
  <c r="C26" i="12"/>
  <c r="D25" i="12"/>
  <c r="F24" i="15"/>
  <c r="C24" i="15"/>
  <c r="F22" i="11"/>
  <c r="I18" i="78"/>
  <c r="C18" i="78"/>
  <c r="E16" i="78"/>
  <c r="F22" i="69"/>
  <c r="C34" i="68"/>
  <c r="C16" i="67"/>
  <c r="C19" i="67"/>
  <c r="C35" i="68"/>
  <c r="C38" i="68"/>
  <c r="J24" i="67"/>
  <c r="J26" i="67"/>
  <c r="J29" i="67"/>
  <c r="C20" i="43"/>
  <c r="E41" i="43"/>
  <c r="C41" i="43"/>
  <c r="I46" i="37"/>
  <c r="J46" i="37"/>
  <c r="B6" i="71"/>
  <c r="B5" i="71"/>
  <c r="W7" i="21"/>
  <c r="AC7" i="21"/>
  <c r="V48" i="21"/>
  <c r="I48" i="21"/>
  <c r="G53" i="77"/>
  <c r="H53" i="77"/>
  <c r="G54" i="77"/>
  <c r="H54" i="77"/>
  <c r="G52" i="21"/>
  <c r="H52" i="21"/>
  <c r="G53" i="21"/>
  <c r="H53" i="21"/>
  <c r="G46" i="37"/>
  <c r="H46" i="37"/>
  <c r="G47" i="37"/>
  <c r="H47" i="37"/>
  <c r="E49" i="77"/>
  <c r="R50" i="77"/>
  <c r="C37" i="36"/>
  <c r="B2" i="36"/>
  <c r="B3" i="36"/>
  <c r="C36" i="36"/>
  <c r="B3" i="70"/>
  <c r="I53" i="77"/>
  <c r="J53" i="77"/>
  <c r="I54" i="77"/>
  <c r="J54" i="77"/>
  <c r="G41" i="36"/>
  <c r="H41" i="36"/>
  <c r="G40" i="36"/>
  <c r="H40" i="36"/>
  <c r="C10" i="71"/>
  <c r="D11" i="71"/>
  <c r="C20" i="15"/>
  <c r="D3" i="6"/>
  <c r="AY326" i="3"/>
  <c r="AY412" i="3"/>
  <c r="AY204" i="3"/>
  <c r="AY196" i="3"/>
  <c r="AY539" i="3"/>
  <c r="AY343" i="3"/>
  <c r="AY455" i="3"/>
  <c r="AY261" i="3"/>
  <c r="AY23" i="3"/>
  <c r="AY59" i="3"/>
  <c r="AY58" i="3"/>
  <c r="AY371" i="3"/>
  <c r="AY428" i="3"/>
  <c r="AY245" i="3"/>
  <c r="AY342" i="3"/>
  <c r="AY513" i="3"/>
  <c r="AY553" i="3"/>
  <c r="AY53" i="3"/>
  <c r="AY36" i="3"/>
  <c r="AY182" i="3"/>
  <c r="AY146" i="3"/>
  <c r="AY126" i="3"/>
  <c r="AY302" i="3"/>
  <c r="AY43" i="3"/>
  <c r="AY139" i="3"/>
  <c r="AY573" i="3"/>
  <c r="AY319" i="3"/>
  <c r="AY176" i="3"/>
  <c r="AY297" i="3"/>
  <c r="AY409" i="3"/>
  <c r="AY465" i="3"/>
  <c r="AY108" i="3"/>
  <c r="AY20" i="3"/>
  <c r="AY173"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144" i="3"/>
  <c r="AY253" i="3"/>
  <c r="AY529" i="3"/>
  <c r="AY379" i="3"/>
  <c r="AY123" i="3"/>
  <c r="AY478" i="3"/>
  <c r="AY284" i="3"/>
  <c r="AY51" i="3"/>
  <c r="AY276" i="3"/>
  <c r="AY470" i="3"/>
  <c r="AY358" i="3"/>
  <c r="AY541" i="3"/>
  <c r="AY52" i="3"/>
  <c r="AY162" i="3"/>
  <c r="AY291" i="3"/>
  <c r="AY239" i="3"/>
  <c r="AY222" i="3"/>
  <c r="AY389" i="3"/>
  <c r="BS6" i="3"/>
  <c r="AY93" i="3"/>
  <c r="AY40" i="3"/>
  <c r="AY150" i="3"/>
  <c r="AY279" i="3"/>
  <c r="AY226" i="3"/>
  <c r="AY356" i="3"/>
  <c r="AY340" i="3"/>
  <c r="AY467" i="3"/>
  <c r="AY435" i="3"/>
  <c r="BN6" i="3"/>
  <c r="AY508" i="3"/>
  <c r="AY49" i="3"/>
  <c r="AY122" i="3"/>
  <c r="AY385" i="3"/>
  <c r="AY304" i="3"/>
  <c r="AY34" i="3"/>
  <c r="AY460" i="3"/>
  <c r="AY463" i="3"/>
  <c r="AY92" i="3"/>
  <c r="AY33" i="3"/>
  <c r="AY165" i="3"/>
  <c r="AY278" i="3"/>
  <c r="AY219" i="3"/>
  <c r="BH6" i="3"/>
  <c r="AY202" i="3"/>
  <c r="AY259" i="3"/>
  <c r="AY333" i="3"/>
  <c r="AY472" i="3"/>
  <c r="AY411" i="3"/>
  <c r="AY571" i="3"/>
  <c r="AY494" i="3"/>
  <c r="AY48" i="3"/>
  <c r="AY287" i="3"/>
  <c r="AY364" i="3"/>
  <c r="AY471" i="3"/>
  <c r="AY207" i="3"/>
  <c r="AY168" i="3"/>
  <c r="AY441" i="3"/>
  <c r="AY310" i="3"/>
  <c r="AY97" i="3"/>
  <c r="AY28" i="3"/>
  <c r="AY138" i="3"/>
  <c r="AY294" i="3"/>
  <c r="AY214" i="3"/>
  <c r="AY554" i="3"/>
  <c r="AY24" i="3"/>
  <c r="AY290" i="3"/>
  <c r="AY349" i="3"/>
  <c r="AY488" i="3"/>
  <c r="AY427" i="3"/>
  <c r="BF6" i="3"/>
  <c r="AY584" i="3"/>
  <c r="AY80" i="3"/>
  <c r="AY129" i="3"/>
  <c r="AY369" i="3"/>
  <c r="AY487"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439" i="3"/>
  <c r="AY524" i="3"/>
  <c r="AY578" i="3"/>
  <c r="AY192" i="3"/>
  <c r="AY249" i="3"/>
  <c r="AY346" i="3"/>
  <c r="AY558" i="3"/>
  <c r="AY55" i="3"/>
  <c r="AY128" i="3"/>
  <c r="AY391" i="3"/>
  <c r="AY448" i="3"/>
  <c r="AY586" i="3"/>
  <c r="AY499" i="3"/>
  <c r="AY464" i="3"/>
  <c r="AY403" i="3"/>
  <c r="AY527" i="3"/>
  <c r="AY556" i="3"/>
  <c r="AY32" i="3"/>
  <c r="AY298" i="3"/>
  <c r="AY352" i="3"/>
  <c r="AY492" i="3"/>
  <c r="AY95" i="3"/>
  <c r="AY300" i="3"/>
  <c r="AY401" i="3"/>
  <c r="AY61" i="3"/>
  <c r="AY190" i="3"/>
  <c r="AY133" i="3"/>
  <c r="AY247" i="3"/>
  <c r="AY397" i="3"/>
  <c r="AY109" i="3"/>
  <c r="AY166" i="3"/>
  <c r="AY242" i="3"/>
  <c r="AY348" i="3"/>
  <c r="AY462" i="3"/>
  <c r="BQ6" i="3"/>
  <c r="AY495" i="3"/>
  <c r="AY582" i="3"/>
  <c r="AY194" i="3"/>
  <c r="AY251" i="3"/>
  <c r="AY329" i="3"/>
  <c r="AY468" i="3"/>
  <c r="AY124" i="3"/>
  <c r="AY236" i="3"/>
  <c r="AY26" i="3"/>
  <c r="AY420" i="3"/>
  <c r="AY77" i="3"/>
  <c r="AY206" i="3"/>
  <c r="AY149" i="3"/>
  <c r="AY263" i="3"/>
  <c r="AY392" i="3"/>
  <c r="BJ6" i="3"/>
  <c r="AY197" i="3"/>
  <c r="AY274" i="3"/>
  <c r="AY317" i="3"/>
  <c r="AY457" i="3"/>
  <c r="AY581" i="3"/>
  <c r="AY546" i="3"/>
  <c r="AY514" i="3"/>
  <c r="AY37" i="3"/>
  <c r="AY282" i="3"/>
  <c r="AY345" i="3"/>
  <c r="AY484" i="3"/>
  <c r="AY402" i="3"/>
  <c r="AY505" i="3"/>
  <c r="AY522" i="3"/>
  <c r="AY551" i="3"/>
  <c r="BP6" i="3"/>
  <c r="AY79" i="3"/>
  <c r="AY19" i="3"/>
  <c r="AY151" i="3"/>
  <c r="AY265" i="3"/>
  <c r="AY394" i="3"/>
  <c r="AY315" i="3"/>
  <c r="AY451" i="3"/>
  <c r="AY500" i="3"/>
  <c r="AY568" i="3"/>
  <c r="AY71" i="3"/>
  <c r="AY200" i="3"/>
  <c r="AY143" i="3"/>
  <c r="AY257" i="3"/>
  <c r="AY386" i="3"/>
  <c r="AY307" i="3"/>
  <c r="AY443" i="3"/>
  <c r="AY521" i="3"/>
  <c r="BT6" i="3"/>
  <c r="AY407" i="3"/>
  <c r="AY565" i="3"/>
  <c r="AY99" i="3"/>
  <c r="AY156" i="3"/>
  <c r="AY232" i="3"/>
  <c r="AY469" i="3"/>
  <c r="AY91" i="3"/>
  <c r="AY224" i="3"/>
  <c r="AY511" i="3"/>
  <c r="BR6" i="3"/>
  <c r="AY78" i="3"/>
  <c r="AY127" i="3"/>
  <c r="AY376" i="3"/>
  <c r="AY424" i="3"/>
  <c r="AY587" i="3"/>
  <c r="AY179" i="3"/>
  <c r="AY256" i="3"/>
  <c r="AY306" i="3"/>
  <c r="BC6" i="3"/>
  <c r="AY82" i="3"/>
  <c r="BO6" i="3"/>
  <c r="AY404" i="3"/>
  <c r="AY355" i="3"/>
  <c r="AY199" i="3"/>
  <c r="AY486" i="3"/>
  <c r="AY220" i="3"/>
  <c r="AY292" i="3"/>
  <c r="AY132" i="3"/>
  <c r="AY83" i="3"/>
  <c r="AY560" i="3"/>
  <c r="AY277" i="3"/>
  <c r="AY429" i="3"/>
  <c r="AY502" i="3"/>
  <c r="AY94" i="3"/>
  <c r="AY167" i="3"/>
  <c r="AY221" i="3"/>
  <c r="AY466" i="3"/>
  <c r="AY512" i="3"/>
  <c r="AY27" i="3"/>
  <c r="AY273" i="3"/>
  <c r="AY323" i="3"/>
  <c r="AY550" i="3"/>
  <c r="AY98" i="3"/>
  <c r="AY574" i="3"/>
  <c r="AY447" i="3"/>
  <c r="AY390" i="3"/>
  <c r="AY526" i="3"/>
  <c r="AY334" i="3"/>
  <c r="AY237" i="3"/>
  <c r="AY163" i="3"/>
  <c r="AY171" i="3"/>
  <c r="AY66" i="3"/>
  <c r="AY229" i="3"/>
  <c r="AY74" i="3"/>
  <c r="AY417" i="3"/>
  <c r="AY209" i="3"/>
  <c r="AY155" i="3"/>
  <c r="AY268" i="3"/>
  <c r="AY106" i="3"/>
  <c r="AY452" i="3"/>
  <c r="AY85" i="3"/>
  <c r="AY25" i="3"/>
  <c r="AY157" i="3"/>
  <c r="AY557" i="3"/>
  <c r="AY50" i="3"/>
  <c r="AY183" i="3"/>
  <c r="AY335" i="3"/>
  <c r="BK6" i="3"/>
  <c r="AY193" i="3"/>
  <c r="AY255" i="3"/>
  <c r="AY384" i="3"/>
  <c r="BB6" i="3"/>
  <c r="AY181" i="3"/>
  <c r="AY258" i="3"/>
  <c r="AY309" i="3"/>
  <c r="AY449" i="3"/>
  <c r="AY503" i="3"/>
  <c r="AY520" i="3"/>
  <c r="AY496" i="3"/>
  <c r="AY21" i="3"/>
  <c r="AY267" i="3"/>
  <c r="AY337" i="3"/>
  <c r="AY476" i="3"/>
  <c r="AY152" i="3"/>
  <c r="AY67" i="3"/>
  <c r="AY100" i="3"/>
  <c r="AY160" i="3"/>
  <c r="AY225" i="3"/>
  <c r="AY433" i="3"/>
  <c r="AY198" i="3"/>
  <c r="AY271" i="3"/>
  <c r="AY211" i="3"/>
  <c r="BI6" i="3"/>
  <c r="AY186" i="3"/>
  <c r="AY243" i="3"/>
  <c r="AY325" i="3"/>
  <c r="AY454" i="3"/>
  <c r="AY518" i="3"/>
  <c r="AY205" i="3"/>
  <c r="AY321" i="3"/>
  <c r="AY111" i="3"/>
  <c r="AY544" i="3"/>
  <c r="AY185" i="3"/>
  <c r="AY262" i="3"/>
  <c r="AY73" i="3"/>
  <c r="AY388" i="3"/>
  <c r="AY430" i="3"/>
  <c r="BG6" i="3"/>
  <c r="AY158" i="3"/>
  <c r="AY344" i="3"/>
  <c r="AY42" i="3"/>
  <c r="AY260" i="3"/>
  <c r="AY45" i="3"/>
  <c r="AY118" i="3"/>
  <c r="AY381" i="3"/>
  <c r="AY177" i="3"/>
  <c r="AY332" i="3"/>
  <c r="BM6" i="3"/>
  <c r="AY519" i="3"/>
  <c r="AY266" i="3"/>
  <c r="AY453" i="3"/>
  <c r="AY17" i="3"/>
  <c r="AY530" i="3"/>
  <c r="AY47" i="3"/>
  <c r="AY120" i="3"/>
  <c r="AY383" i="3"/>
  <c r="AY440" i="3"/>
  <c r="AY576" i="3"/>
  <c r="AY195" i="3"/>
  <c r="AY272" i="3"/>
  <c r="AY322" i="3"/>
  <c r="AY15" i="3"/>
  <c r="AY506" i="3"/>
  <c r="AY63" i="3"/>
  <c r="AY378" i="3"/>
  <c r="BL6" i="3"/>
  <c r="AY241" i="3"/>
  <c r="BD6" i="3"/>
  <c r="AY509" i="3"/>
  <c r="AY516" i="3"/>
  <c r="AY112" i="3"/>
  <c r="AY218" i="3"/>
  <c r="AY450" i="3"/>
  <c r="AY327" i="3"/>
  <c r="AY44" i="3"/>
  <c r="AY283" i="3"/>
  <c r="AY360" i="3"/>
  <c r="AY295" i="3"/>
  <c r="AY475" i="3"/>
  <c r="AY534" i="3"/>
  <c r="AY65" i="3"/>
  <c r="AY380" i="3"/>
  <c r="AY87" i="3"/>
  <c r="AY473" i="3"/>
  <c r="AY533" i="3"/>
  <c r="AY170" i="3"/>
  <c r="AY246" i="3"/>
  <c r="AY41" i="3"/>
  <c r="AY377" i="3"/>
  <c r="AY414" i="3"/>
  <c r="AY16" i="3"/>
  <c r="AY169" i="3"/>
  <c r="AY328" i="3"/>
  <c r="AY415" i="3"/>
  <c r="AY515" i="3"/>
  <c r="AY493" i="3"/>
  <c r="AY172" i="3"/>
  <c r="AY248" i="3"/>
  <c r="AY485" i="3"/>
  <c r="AY547" i="3"/>
  <c r="AY54" i="3"/>
  <c r="AY293" i="3"/>
  <c r="AY351" i="3"/>
  <c r="AY400" i="3"/>
  <c r="AY426" i="3"/>
  <c r="AY570" i="3"/>
  <c r="AY285" i="3"/>
  <c r="AY437" i="3"/>
  <c r="AY490" i="3"/>
  <c r="BA6" i="3"/>
  <c r="AY264" i="3"/>
  <c r="AY517" i="3"/>
  <c r="AY119" i="3"/>
  <c r="AY416" i="3"/>
  <c r="AY89" i="3"/>
  <c r="AY481" i="3"/>
  <c r="AY425" i="3"/>
  <c r="AY147" i="3"/>
  <c r="AY191" i="3"/>
  <c r="AY38" i="3"/>
  <c r="AY410" i="3"/>
  <c r="AY35" i="3"/>
  <c r="AY331" i="3"/>
  <c r="AY86" i="3"/>
  <c r="AY213" i="3"/>
  <c r="AY504" i="3"/>
  <c r="AY535" i="3"/>
  <c r="AY269" i="3"/>
  <c r="AY387" i="3"/>
  <c r="AY90" i="3"/>
  <c r="AY540" i="3"/>
  <c r="AY105" i="3"/>
  <c r="AY363" i="3"/>
  <c r="AY103" i="3"/>
  <c r="AY116" i="3"/>
  <c r="AY289" i="3"/>
  <c r="AY131" i="3"/>
  <c r="AY318" i="3"/>
  <c r="AY395" i="3"/>
  <c r="AY68" i="3"/>
  <c r="AY178" i="3"/>
  <c r="AY117" i="3"/>
  <c r="AY252" i="3"/>
  <c r="AY188" i="3"/>
  <c r="AY228" i="3"/>
  <c r="AY84" i="3"/>
  <c r="AY134" i="3"/>
  <c r="AY368" i="3"/>
  <c r="AY72" i="3"/>
  <c r="AY370" i="3"/>
  <c r="AY483" i="3"/>
  <c r="AY572" i="3"/>
  <c r="AY543" i="3"/>
  <c r="AY153" i="3"/>
  <c r="AY320" i="3"/>
  <c r="AY434" i="3"/>
  <c r="AY489" i="3"/>
  <c r="AY497" i="3"/>
  <c r="AY180" i="3"/>
  <c r="AY141" i="3"/>
  <c r="AY254" i="3"/>
  <c r="AY57" i="3"/>
  <c r="AY393" i="3"/>
  <c r="AY525" i="3"/>
  <c r="AY577" i="3"/>
  <c r="AY461" i="3"/>
  <c r="AY76" i="3"/>
  <c r="AY374" i="3"/>
  <c r="AY145" i="3"/>
  <c r="AY585" i="3"/>
  <c r="AY234" i="3"/>
  <c r="AY366" i="3"/>
  <c r="AY201" i="3"/>
  <c r="AY231" i="3"/>
  <c r="AY210" i="3"/>
  <c r="AY510" i="3"/>
  <c r="AY189" i="3"/>
  <c r="AY431" i="3"/>
  <c r="AY575" i="3"/>
  <c r="AY203" i="3"/>
  <c r="AY330" i="3"/>
  <c r="AY13" i="3"/>
  <c r="AY432" i="3"/>
  <c r="AY542" i="3"/>
  <c r="AY456" i="3"/>
  <c r="AY184" i="3"/>
  <c r="AY423" i="3"/>
  <c r="AY422" i="3"/>
  <c r="AY142" i="3"/>
  <c r="AY382" i="3"/>
  <c r="AY154" i="3"/>
  <c r="AY230" i="3"/>
  <c r="AY353" i="3"/>
  <c r="AY398" i="3"/>
  <c r="AY137" i="3"/>
  <c r="AY281" i="3"/>
  <c r="AY60" i="3"/>
  <c r="AY299" i="3"/>
  <c r="AY114" i="3"/>
  <c r="AY491" i="3"/>
  <c r="AY96" i="3"/>
  <c r="AY442" i="3"/>
  <c r="AY545" i="3"/>
  <c r="AY62" i="3"/>
  <c r="AY359" i="3"/>
  <c r="AY107" i="3"/>
  <c r="AY240" i="3"/>
  <c r="AY477" i="3"/>
  <c r="AY14" i="3"/>
  <c r="AY46" i="3"/>
  <c r="AY362" i="3"/>
  <c r="AY579" i="3"/>
  <c r="AY187" i="3"/>
  <c r="AY70" i="3"/>
  <c r="AY498" i="3"/>
  <c r="AY244" i="3"/>
  <c r="AY350" i="3"/>
  <c r="AY436" i="3"/>
  <c r="AY531" i="3"/>
  <c r="AY405" i="3"/>
  <c r="AY159" i="3"/>
  <c r="AY555" i="3"/>
  <c r="AY311" i="3"/>
  <c r="AY75" i="3"/>
  <c r="AY569" i="3"/>
  <c r="AY212" i="3"/>
  <c r="AY238" i="3"/>
  <c r="AY121" i="3"/>
  <c r="AY406" i="3"/>
  <c r="AY81" i="3"/>
  <c r="AY396" i="3"/>
  <c r="AY303" i="3"/>
  <c r="AY115" i="3"/>
  <c r="AY69" i="3"/>
  <c r="AY365" i="3"/>
  <c r="AY130" i="3"/>
  <c r="AY308" i="3"/>
  <c r="AY235" i="3"/>
  <c r="AY217" i="3"/>
  <c r="AY125" i="3"/>
  <c r="AY316" i="3"/>
  <c r="AY101" i="3"/>
  <c r="AY458" i="3"/>
  <c r="AY549" i="3"/>
  <c r="AY104" i="3"/>
  <c r="AY446" i="3"/>
  <c r="AY313" i="3"/>
  <c r="AY563" i="3"/>
  <c r="AY233" i="3"/>
  <c r="AY39" i="3"/>
  <c r="AY136" i="3"/>
  <c r="AY375" i="3"/>
  <c r="AY567" i="3"/>
  <c r="AY135" i="3"/>
  <c r="AY338" i="3"/>
  <c r="AY559" i="3"/>
  <c r="AY336" i="3"/>
  <c r="BE6" i="3"/>
  <c r="AY56" i="3"/>
  <c r="AY501" i="3"/>
  <c r="AY312" i="3"/>
  <c r="AY372" i="3"/>
  <c r="AY357" i="3"/>
  <c r="AY561" i="3"/>
  <c r="AY223" i="3"/>
  <c r="AY538" i="3"/>
  <c r="AY301" i="3"/>
  <c r="AY408" i="3"/>
  <c r="AY164" i="3"/>
  <c r="AY566" i="3"/>
  <c r="AY148" i="3"/>
  <c r="AY314" i="3"/>
  <c r="AY367" i="3"/>
  <c r="AY562" i="3"/>
  <c r="AY31" i="3"/>
  <c r="AY354" i="3"/>
  <c r="AY280" i="3"/>
  <c r="AY459" i="3"/>
  <c r="AY444" i="3"/>
  <c r="AY18" i="3"/>
  <c r="C32" i="15"/>
  <c r="C26" i="69"/>
  <c r="D22" i="69"/>
  <c r="C44" i="69"/>
  <c r="D41" i="69"/>
  <c r="F41" i="69"/>
  <c r="C26" i="11"/>
  <c r="D22" i="11"/>
  <c r="C23" i="11"/>
  <c r="C44" i="11"/>
  <c r="D41" i="11"/>
  <c r="C26" i="68"/>
  <c r="D22" i="68"/>
  <c r="F41" i="68"/>
  <c r="C24" i="68"/>
  <c r="C10" i="15"/>
  <c r="C5" i="15"/>
  <c r="C53" i="15"/>
  <c r="C48" i="15"/>
  <c r="C53" i="67"/>
  <c r="C48" i="67"/>
  <c r="C10" i="67"/>
  <c r="C5" i="67"/>
  <c r="AA7" i="21"/>
  <c r="R48" i="21"/>
  <c r="S7" i="21"/>
  <c r="G63" i="40"/>
  <c r="F65" i="40"/>
  <c r="O48" i="35"/>
  <c r="F7" i="35"/>
  <c r="J7" i="35"/>
  <c r="H7" i="35"/>
  <c r="T16" i="1"/>
  <c r="E40" i="36"/>
  <c r="F40" i="36"/>
  <c r="E41" i="36"/>
  <c r="F41" i="36"/>
  <c r="I41" i="36"/>
  <c r="J41" i="36"/>
  <c r="R43" i="37"/>
  <c r="E42" i="37"/>
  <c r="S19" i="6"/>
  <c r="I27" i="6"/>
  <c r="G70" i="39"/>
  <c r="H68" i="39"/>
  <c r="C24" i="71"/>
  <c r="D23" i="71"/>
  <c r="C47" i="34"/>
  <c r="C34" i="34"/>
  <c r="D3" i="37"/>
  <c r="D37" i="11"/>
  <c r="C37" i="11"/>
  <c r="C33" i="11"/>
  <c r="I3" i="78"/>
  <c r="D14" i="12"/>
  <c r="D3" i="21"/>
  <c r="C17" i="4"/>
  <c r="B4" i="52"/>
  <c r="B43" i="72"/>
  <c r="S27" i="6"/>
  <c r="E6" i="6"/>
  <c r="D19" i="11"/>
  <c r="C19" i="11"/>
  <c r="J10" i="15"/>
  <c r="J5" i="15"/>
  <c r="J18" i="15"/>
  <c r="Q74" i="67"/>
  <c r="Q61" i="67"/>
  <c r="Q60" i="67"/>
  <c r="Q73" i="67"/>
  <c r="C32" i="67"/>
  <c r="C33" i="68"/>
  <c r="C42" i="68"/>
  <c r="C60" i="67"/>
  <c r="C66" i="67"/>
  <c r="C38" i="15"/>
  <c r="AB7" i="35"/>
  <c r="T38" i="35"/>
  <c r="G38" i="35"/>
  <c r="U7" i="35"/>
  <c r="AA7" i="35"/>
  <c r="R38" i="35"/>
  <c r="S7" i="35"/>
  <c r="H63" i="40"/>
  <c r="G65" i="40"/>
  <c r="E48" i="21"/>
  <c r="R49" i="21"/>
  <c r="C26" i="15"/>
  <c r="C9" i="71"/>
  <c r="D10" i="71"/>
  <c r="C49" i="77"/>
  <c r="C50" i="77"/>
  <c r="C34" i="43"/>
  <c r="C37" i="43"/>
  <c r="C33" i="43"/>
  <c r="T11" i="43"/>
  <c r="V11" i="43"/>
  <c r="T10" i="43"/>
  <c r="V10" i="43"/>
  <c r="T12" i="43"/>
  <c r="V12" i="43"/>
  <c r="T16" i="43"/>
  <c r="V16" i="43"/>
  <c r="C35" i="43"/>
  <c r="T15" i="43"/>
  <c r="V15" i="43"/>
  <c r="T13" i="43"/>
  <c r="V13" i="43"/>
  <c r="T8" i="43"/>
  <c r="V8" i="43"/>
  <c r="T14" i="43"/>
  <c r="V14" i="43"/>
  <c r="T9" i="43"/>
  <c r="V9" i="43"/>
  <c r="C36" i="43"/>
  <c r="C38" i="67"/>
  <c r="J24" i="15"/>
  <c r="J26" i="15"/>
  <c r="J29" i="15"/>
  <c r="D10" i="69"/>
  <c r="D10" i="11"/>
  <c r="C10" i="11"/>
  <c r="D20" i="12"/>
  <c r="C20" i="12"/>
  <c r="C18" i="12"/>
  <c r="D17" i="12"/>
  <c r="C17" i="12"/>
  <c r="C14" i="12"/>
  <c r="C16" i="12"/>
  <c r="C46" i="11"/>
  <c r="C45" i="11"/>
  <c r="C39" i="11"/>
  <c r="C43" i="11"/>
  <c r="C42" i="11"/>
  <c r="F34" i="34"/>
  <c r="C34" i="77"/>
  <c r="H34" i="34"/>
  <c r="J34" i="34"/>
  <c r="H70" i="39"/>
  <c r="I68" i="39"/>
  <c r="E46" i="37"/>
  <c r="F46" i="37"/>
  <c r="E47" i="37"/>
  <c r="F47" i="37"/>
  <c r="C60" i="15"/>
  <c r="C66" i="15"/>
  <c r="C24" i="11"/>
  <c r="C25" i="11"/>
  <c r="C22" i="11"/>
  <c r="C20" i="11"/>
  <c r="C28" i="11"/>
  <c r="C27" i="11"/>
  <c r="C8" i="78"/>
  <c r="C11" i="78"/>
  <c r="C33" i="33"/>
  <c r="C131" i="34"/>
  <c r="T24" i="71"/>
  <c r="D24" i="71"/>
  <c r="C43" i="37"/>
  <c r="B2" i="37"/>
  <c r="B3" i="37"/>
  <c r="C42" i="37"/>
  <c r="AC7" i="35"/>
  <c r="V38" i="35"/>
  <c r="I38" i="35"/>
  <c r="W7" i="35"/>
  <c r="D19" i="6"/>
  <c r="D23" i="6"/>
  <c r="D29" i="6"/>
  <c r="D22" i="6"/>
  <c r="R22" i="6"/>
  <c r="D26" i="6"/>
  <c r="D8" i="6"/>
  <c r="D16" i="6"/>
  <c r="D11" i="6"/>
  <c r="C18" i="4"/>
  <c r="D14" i="6"/>
  <c r="D13" i="6"/>
  <c r="D10" i="6"/>
  <c r="H25" i="6"/>
  <c r="H21" i="6"/>
  <c r="H23" i="6"/>
  <c r="H24" i="6"/>
  <c r="D25" i="6"/>
  <c r="D24" i="6"/>
  <c r="R24" i="6"/>
  <c r="D5" i="6"/>
  <c r="D6" i="6"/>
  <c r="D15" i="6"/>
  <c r="H26" i="6"/>
  <c r="H20" i="6"/>
  <c r="D21" i="6"/>
  <c r="R21" i="6"/>
  <c r="D20" i="6"/>
  <c r="R20" i="6"/>
  <c r="D28" i="6"/>
  <c r="D30" i="6"/>
  <c r="D9" i="6"/>
  <c r="D12" i="6"/>
  <c r="E61" i="40"/>
  <c r="H19" i="6"/>
  <c r="H27" i="6"/>
  <c r="H22" i="6"/>
  <c r="C23" i="15"/>
  <c r="E53" i="77"/>
  <c r="F53" i="77"/>
  <c r="E54" i="77"/>
  <c r="F54" i="77"/>
  <c r="I53" i="21"/>
  <c r="J53" i="21"/>
  <c r="I52" i="21"/>
  <c r="J52" i="21"/>
  <c r="I47" i="37"/>
  <c r="J47" i="37"/>
  <c r="C38" i="43"/>
  <c r="C39" i="43"/>
  <c r="C20" i="67"/>
  <c r="C23" i="67"/>
  <c r="C39" i="68"/>
  <c r="C43" i="68"/>
  <c r="C29" i="15"/>
  <c r="C33" i="15"/>
  <c r="C31" i="15"/>
  <c r="C41" i="11"/>
  <c r="C49" i="11"/>
  <c r="C51" i="11"/>
  <c r="C36" i="15"/>
  <c r="C13" i="15"/>
  <c r="Q49" i="15"/>
  <c r="C57" i="15"/>
  <c r="E38" i="43"/>
  <c r="G38" i="43"/>
  <c r="I38" i="43"/>
  <c r="C26" i="67"/>
  <c r="C29" i="67"/>
  <c r="G39" i="43"/>
  <c r="I39" i="43"/>
  <c r="E39" i="43"/>
  <c r="A10" i="51"/>
  <c r="B9" i="72"/>
  <c r="A7" i="51"/>
  <c r="B7" i="72"/>
  <c r="C4" i="52"/>
  <c r="B45" i="72"/>
  <c r="R23" i="6"/>
  <c r="F33" i="33"/>
  <c r="J33" i="33"/>
  <c r="H33" i="33"/>
  <c r="C9" i="78"/>
  <c r="C12" i="78"/>
  <c r="C10" i="78"/>
  <c r="C13" i="78"/>
  <c r="C31" i="11"/>
  <c r="C52" i="11"/>
  <c r="B2" i="11"/>
  <c r="B3" i="11"/>
  <c r="J68" i="39"/>
  <c r="I70" i="39"/>
  <c r="AC34" i="34"/>
  <c r="V49" i="34"/>
  <c r="I49" i="34"/>
  <c r="W34" i="34"/>
  <c r="H34" i="77"/>
  <c r="F34" i="77"/>
  <c r="J34" i="77"/>
  <c r="C21" i="12"/>
  <c r="D19" i="69"/>
  <c r="C10" i="69"/>
  <c r="C8" i="69"/>
  <c r="C5" i="69"/>
  <c r="G36" i="43"/>
  <c r="I36" i="43"/>
  <c r="E36" i="43"/>
  <c r="G34" i="43"/>
  <c r="I34" i="43"/>
  <c r="E34" i="43"/>
  <c r="E53" i="21"/>
  <c r="F53" i="21"/>
  <c r="E52" i="21"/>
  <c r="F52" i="21"/>
  <c r="I63" i="40"/>
  <c r="H65" i="40"/>
  <c r="R39" i="35"/>
  <c r="E38" i="35"/>
  <c r="G42" i="35"/>
  <c r="H42" i="35"/>
  <c r="G43" i="35"/>
  <c r="H43" i="35"/>
  <c r="C41" i="68"/>
  <c r="C46" i="68"/>
  <c r="C45" i="68"/>
  <c r="R25" i="6"/>
  <c r="R26" i="6"/>
  <c r="D27" i="6"/>
  <c r="D31" i="6"/>
  <c r="R19" i="6"/>
  <c r="I42" i="35"/>
  <c r="J42" i="35"/>
  <c r="I43" i="35"/>
  <c r="J43" i="35"/>
  <c r="AB34" i="34"/>
  <c r="T49" i="34"/>
  <c r="G49" i="34"/>
  <c r="U34" i="34"/>
  <c r="S34" i="34"/>
  <c r="AA34" i="34"/>
  <c r="R49" i="34"/>
  <c r="E35" i="43"/>
  <c r="G35" i="43"/>
  <c r="I35" i="43"/>
  <c r="E33" i="43"/>
  <c r="G33" i="43"/>
  <c r="I33" i="43"/>
  <c r="G37" i="43"/>
  <c r="I37" i="43"/>
  <c r="E37" i="43"/>
  <c r="B3" i="77"/>
  <c r="B2" i="77"/>
  <c r="C8" i="71"/>
  <c r="D9" i="71"/>
  <c r="C48" i="21"/>
  <c r="C49" i="21"/>
  <c r="B2" i="21"/>
  <c r="B3" i="21"/>
  <c r="J59" i="15"/>
  <c r="J60" i="15"/>
  <c r="Q48" i="15"/>
  <c r="J14" i="15"/>
  <c r="J13" i="15"/>
  <c r="J23" i="15"/>
  <c r="J19" i="15"/>
  <c r="J17" i="15"/>
  <c r="C49" i="68"/>
  <c r="C51" i="68"/>
  <c r="C13" i="67"/>
  <c r="J14" i="67"/>
  <c r="C33" i="67"/>
  <c r="C31" i="67"/>
  <c r="Q49" i="67"/>
  <c r="J19" i="67"/>
  <c r="J17" i="67"/>
  <c r="C57" i="67"/>
  <c r="C36" i="67"/>
  <c r="J59" i="67"/>
  <c r="J60" i="67"/>
  <c r="R50" i="34"/>
  <c r="E49" i="34"/>
  <c r="R6" i="1"/>
  <c r="R16" i="1"/>
  <c r="R27" i="6"/>
  <c r="E43" i="35"/>
  <c r="F43" i="35"/>
  <c r="E42" i="35"/>
  <c r="F42" i="35"/>
  <c r="C23" i="69"/>
  <c r="C22" i="12"/>
  <c r="C30" i="12"/>
  <c r="C28" i="12"/>
  <c r="AA34" i="77"/>
  <c r="S34" i="77"/>
  <c r="U33" i="33"/>
  <c r="AB33" i="33"/>
  <c r="T48" i="33"/>
  <c r="G48" i="33"/>
  <c r="AA33" i="33"/>
  <c r="R48" i="33"/>
  <c r="S33" i="33"/>
  <c r="C56" i="11"/>
  <c r="C57" i="11"/>
  <c r="C64" i="15"/>
  <c r="C61" i="15"/>
  <c r="C59" i="15"/>
  <c r="C37" i="15"/>
  <c r="C30" i="15"/>
  <c r="C39" i="15"/>
  <c r="C56" i="15"/>
  <c r="C65" i="15"/>
  <c r="C75" i="15"/>
  <c r="Q70" i="15"/>
  <c r="C7" i="71"/>
  <c r="D8" i="71"/>
  <c r="U8" i="71"/>
  <c r="T8" i="71"/>
  <c r="G53" i="34"/>
  <c r="H53" i="34"/>
  <c r="G54" i="34"/>
  <c r="H54" i="34"/>
  <c r="I5" i="6"/>
  <c r="I6" i="6"/>
  <c r="C38" i="35"/>
  <c r="C39" i="35"/>
  <c r="B2" i="35"/>
  <c r="B3" i="35"/>
  <c r="I65" i="40"/>
  <c r="J63" i="40"/>
  <c r="D37" i="69"/>
  <c r="C37" i="69"/>
  <c r="C33" i="69"/>
  <c r="C19" i="69"/>
  <c r="C24" i="69"/>
  <c r="AC34" i="77"/>
  <c r="W34" i="77"/>
  <c r="U34" i="77"/>
  <c r="AB34" i="77"/>
  <c r="I54" i="34"/>
  <c r="J54" i="34"/>
  <c r="I53" i="34"/>
  <c r="J53" i="34"/>
  <c r="K68" i="39"/>
  <c r="J70" i="39"/>
  <c r="C14" i="78"/>
  <c r="C17" i="78"/>
  <c r="C16" i="78"/>
  <c r="W33" i="33"/>
  <c r="AC33" i="33"/>
  <c r="V48" i="33"/>
  <c r="I48" i="33"/>
  <c r="L46" i="15"/>
  <c r="J22" i="15"/>
  <c r="J16" i="15"/>
  <c r="J25" i="15"/>
  <c r="C58" i="15"/>
  <c r="C67" i="15"/>
  <c r="C68" i="15"/>
  <c r="C71" i="15"/>
  <c r="Q69" i="15"/>
  <c r="Q68" i="15"/>
  <c r="C40" i="15"/>
  <c r="I52" i="33"/>
  <c r="J52" i="33"/>
  <c r="C20" i="78"/>
  <c r="C19" i="78"/>
  <c r="K63" i="40"/>
  <c r="J65" i="40"/>
  <c r="I7" i="6"/>
  <c r="G3" i="43"/>
  <c r="C6" i="71"/>
  <c r="D6" i="71"/>
  <c r="C5" i="71"/>
  <c r="D7" i="71"/>
  <c r="C80" i="15"/>
  <c r="C79" i="15"/>
  <c r="E48" i="33"/>
  <c r="I53" i="33"/>
  <c r="J53" i="33"/>
  <c r="R49" i="33"/>
  <c r="C27" i="12"/>
  <c r="C25" i="12"/>
  <c r="C32" i="12"/>
  <c r="B2" i="12"/>
  <c r="B3" i="12"/>
  <c r="C50" i="34"/>
  <c r="C49" i="34"/>
  <c r="Q48" i="67"/>
  <c r="L46" i="67"/>
  <c r="C64" i="67"/>
  <c r="C61" i="67"/>
  <c r="C59" i="67"/>
  <c r="J13" i="67"/>
  <c r="J23" i="67"/>
  <c r="J22" i="67"/>
  <c r="J16" i="67"/>
  <c r="J25" i="67"/>
  <c r="L68" i="39"/>
  <c r="K70" i="39"/>
  <c r="C39" i="69"/>
  <c r="C43" i="69"/>
  <c r="C42" i="69"/>
  <c r="G53" i="33"/>
  <c r="H53" i="33"/>
  <c r="G52" i="33"/>
  <c r="H52" i="33"/>
  <c r="C20" i="69"/>
  <c r="C25" i="69"/>
  <c r="C22" i="69"/>
  <c r="E53" i="34"/>
  <c r="F53" i="34"/>
  <c r="E54" i="34"/>
  <c r="F54" i="34"/>
  <c r="Q70" i="67"/>
  <c r="C37" i="67"/>
  <c r="C30" i="67"/>
  <c r="C39" i="67"/>
  <c r="C56" i="67"/>
  <c r="C65" i="67"/>
  <c r="C75" i="67"/>
  <c r="L51" i="15"/>
  <c r="C46" i="15"/>
  <c r="C23" i="78"/>
  <c r="C27" i="78"/>
  <c r="Q67" i="15"/>
  <c r="L57" i="15"/>
  <c r="L60" i="15"/>
  <c r="C40" i="67"/>
  <c r="Q69" i="67"/>
  <c r="Q68" i="67"/>
  <c r="C80" i="67"/>
  <c r="C79" i="67"/>
  <c r="C46" i="69"/>
  <c r="C45" i="69"/>
  <c r="L70" i="39"/>
  <c r="M68" i="39"/>
  <c r="B2" i="34"/>
  <c r="D36" i="78"/>
  <c r="B3" i="34"/>
  <c r="K65" i="40"/>
  <c r="L63" i="40"/>
  <c r="C7" i="78"/>
  <c r="C28" i="78"/>
  <c r="C41" i="69"/>
  <c r="C58" i="67"/>
  <c r="C67" i="67"/>
  <c r="C68" i="67"/>
  <c r="C28" i="69"/>
  <c r="C27" i="69"/>
  <c r="C31" i="69"/>
  <c r="C49" i="33"/>
  <c r="C48" i="33"/>
  <c r="D5" i="71"/>
  <c r="M20" i="43"/>
  <c r="L101" i="43"/>
  <c r="K101" i="43"/>
  <c r="E101" i="43"/>
  <c r="AE11" i="43"/>
  <c r="AE13" i="43"/>
  <c r="M101" i="43"/>
  <c r="AB11" i="43"/>
  <c r="AB13" i="43"/>
  <c r="H101" i="43"/>
  <c r="H22" i="43"/>
  <c r="S7" i="43"/>
  <c r="T7" i="43"/>
  <c r="V7" i="43"/>
  <c r="S4" i="43"/>
  <c r="T4" i="43"/>
  <c r="V4" i="43"/>
  <c r="Z11" i="43"/>
  <c r="Z13" i="43"/>
  <c r="N101" i="43"/>
  <c r="AC11" i="43"/>
  <c r="AC13" i="43"/>
  <c r="I101" i="43"/>
  <c r="F101" i="43"/>
  <c r="S2" i="43"/>
  <c r="T2" i="43"/>
  <c r="V2" i="43"/>
  <c r="C26" i="43"/>
  <c r="B2" i="43"/>
  <c r="F22" i="43"/>
  <c r="E22" i="43"/>
  <c r="N104" i="46"/>
  <c r="B113" i="43"/>
  <c r="D101" i="43"/>
  <c r="G101" i="43"/>
  <c r="AG11" i="43"/>
  <c r="AG13" i="43"/>
  <c r="J22" i="43"/>
  <c r="S6" i="43"/>
  <c r="T6" i="43"/>
  <c r="V6" i="43"/>
  <c r="C101" i="43"/>
  <c r="AA11" i="43"/>
  <c r="AA13" i="43"/>
  <c r="J101" i="43"/>
  <c r="S3" i="43"/>
  <c r="T3" i="43"/>
  <c r="V3" i="43"/>
  <c r="AI11" i="43"/>
  <c r="AI13" i="43"/>
  <c r="AJ11" i="43"/>
  <c r="AJ13" i="43"/>
  <c r="Y11" i="43"/>
  <c r="Y13" i="43"/>
  <c r="Z7" i="43"/>
  <c r="C23" i="43"/>
  <c r="C21" i="43"/>
  <c r="AF11" i="43"/>
  <c r="AF13" i="43"/>
  <c r="AH11" i="43"/>
  <c r="AH13" i="43"/>
  <c r="AD11" i="43"/>
  <c r="AD13" i="43"/>
  <c r="S5" i="43"/>
  <c r="T5" i="43"/>
  <c r="V5" i="43"/>
  <c r="G22" i="43"/>
  <c r="Q56" i="15"/>
  <c r="Q65" i="15"/>
  <c r="C43" i="15"/>
  <c r="B2" i="15"/>
  <c r="B3" i="15"/>
  <c r="Q47" i="15"/>
  <c r="Q53" i="15"/>
  <c r="C83" i="15"/>
  <c r="C82" i="15"/>
  <c r="E53" i="33"/>
  <c r="F53" i="33"/>
  <c r="E52" i="33"/>
  <c r="F52" i="33"/>
  <c r="D2" i="77"/>
  <c r="E2" i="68"/>
  <c r="L51" i="67"/>
  <c r="B6" i="76"/>
  <c r="C49" i="69"/>
  <c r="C51" i="69"/>
  <c r="B2" i="76"/>
  <c r="Q67" i="67"/>
  <c r="L57" i="67"/>
  <c r="L60" i="67"/>
  <c r="D107" i="43"/>
  <c r="D106" i="43"/>
  <c r="D102" i="43"/>
  <c r="D103" i="43"/>
  <c r="D104" i="43"/>
  <c r="D105" i="43"/>
  <c r="D109" i="43"/>
  <c r="C29" i="43"/>
  <c r="J103" i="43"/>
  <c r="J109" i="43"/>
  <c r="J106" i="43"/>
  <c r="J107" i="43"/>
  <c r="J104" i="43"/>
  <c r="J105" i="43"/>
  <c r="J102" i="43"/>
  <c r="C105" i="43"/>
  <c r="C102" i="43"/>
  <c r="C104" i="43"/>
  <c r="C106" i="43"/>
  <c r="C103" i="43"/>
  <c r="C109" i="43"/>
  <c r="C107" i="43"/>
  <c r="G106" i="43"/>
  <c r="G103" i="43"/>
  <c r="G109" i="43"/>
  <c r="G102" i="43"/>
  <c r="G104" i="43"/>
  <c r="G107" i="43"/>
  <c r="G105" i="43"/>
  <c r="B115" i="43"/>
  <c r="D118" i="43"/>
  <c r="E118" i="43"/>
  <c r="F118" i="43"/>
  <c r="B116" i="43"/>
  <c r="C116" i="43"/>
  <c r="D115" i="43"/>
  <c r="E115" i="43"/>
  <c r="F115" i="43"/>
  <c r="G115" i="43"/>
  <c r="H115" i="43"/>
  <c r="I116" i="43"/>
  <c r="J116" i="43"/>
  <c r="K116" i="43"/>
  <c r="L116" i="43"/>
  <c r="M116" i="43"/>
  <c r="I117" i="43"/>
  <c r="J117" i="43"/>
  <c r="K117" i="43"/>
  <c r="L117" i="43"/>
  <c r="M117" i="43"/>
  <c r="B117" i="43"/>
  <c r="C117" i="43"/>
  <c r="D116" i="43"/>
  <c r="E116" i="43"/>
  <c r="F116" i="43"/>
  <c r="G116" i="43"/>
  <c r="H116" i="43"/>
  <c r="I115" i="43"/>
  <c r="J115" i="43"/>
  <c r="K115" i="43"/>
  <c r="L115" i="43"/>
  <c r="M115" i="43"/>
  <c r="B118" i="43"/>
  <c r="C118" i="43"/>
  <c r="D117" i="43"/>
  <c r="E117" i="43"/>
  <c r="F117" i="43"/>
  <c r="G117" i="43"/>
  <c r="H117" i="43"/>
  <c r="G118" i="43"/>
  <c r="H118" i="43"/>
  <c r="I118" i="43"/>
  <c r="J118" i="43"/>
  <c r="K118" i="43"/>
  <c r="L118" i="43"/>
  <c r="M118" i="43"/>
  <c r="D22" i="43"/>
  <c r="B3" i="43"/>
  <c r="C6" i="68"/>
  <c r="I102" i="43"/>
  <c r="I106" i="43"/>
  <c r="I104" i="43"/>
  <c r="I107" i="43"/>
  <c r="I105" i="43"/>
  <c r="I103" i="43"/>
  <c r="I109" i="43"/>
  <c r="N103" i="43"/>
  <c r="N102" i="43"/>
  <c r="N104" i="43"/>
  <c r="N106" i="43"/>
  <c r="N109" i="43"/>
  <c r="N105" i="43"/>
  <c r="N107" i="43"/>
  <c r="K107" i="43"/>
  <c r="K103" i="43"/>
  <c r="K106" i="43"/>
  <c r="K109" i="43"/>
  <c r="K104" i="43"/>
  <c r="K102" i="43"/>
  <c r="K105" i="43"/>
  <c r="C52" i="69"/>
  <c r="B2" i="69"/>
  <c r="B3" i="69"/>
  <c r="C24" i="78"/>
  <c r="M63" i="40"/>
  <c r="L65" i="40"/>
  <c r="Q66" i="15"/>
  <c r="Q75" i="15"/>
  <c r="Q57" i="15"/>
  <c r="Q62" i="15"/>
  <c r="F104" i="43"/>
  <c r="F109" i="43"/>
  <c r="F102" i="43"/>
  <c r="F105" i="43"/>
  <c r="F106" i="43"/>
  <c r="F107" i="43"/>
  <c r="F103" i="43"/>
  <c r="H105" i="43"/>
  <c r="H102" i="43"/>
  <c r="H106" i="43"/>
  <c r="H107" i="43"/>
  <c r="H104" i="43"/>
  <c r="H103" i="43"/>
  <c r="H109" i="43"/>
  <c r="M106" i="43"/>
  <c r="M102" i="43"/>
  <c r="M104" i="43"/>
  <c r="M109" i="43"/>
  <c r="M103" i="43"/>
  <c r="M107" i="43"/>
  <c r="M105" i="43"/>
  <c r="E103" i="43"/>
  <c r="E107" i="43"/>
  <c r="E102" i="43"/>
  <c r="E109" i="43"/>
  <c r="E104" i="43"/>
  <c r="E106" i="43"/>
  <c r="E105" i="43"/>
  <c r="L102" i="43"/>
  <c r="L104" i="43"/>
  <c r="L103" i="43"/>
  <c r="L107" i="43"/>
  <c r="L109" i="43"/>
  <c r="L106" i="43"/>
  <c r="L105" i="43"/>
  <c r="B2" i="33"/>
  <c r="B3" i="33"/>
  <c r="C3" i="78"/>
  <c r="C4" i="78"/>
  <c r="C30" i="78"/>
  <c r="C31" i="78"/>
  <c r="D37" i="78"/>
  <c r="C71" i="67"/>
  <c r="C45" i="67"/>
  <c r="C46" i="67"/>
  <c r="J8" i="78"/>
  <c r="N68" i="39"/>
  <c r="M70" i="39"/>
  <c r="D2" i="67"/>
  <c r="Q65" i="67"/>
  <c r="C43" i="67"/>
  <c r="Q47" i="67"/>
  <c r="Q53" i="67"/>
  <c r="Q56" i="67"/>
  <c r="C83" i="67"/>
  <c r="C82" i="67"/>
  <c r="G37" i="78"/>
  <c r="J9" i="78"/>
  <c r="B3" i="67"/>
  <c r="B2" i="67"/>
  <c r="O68" i="39"/>
  <c r="O70" i="39"/>
  <c r="N70" i="39"/>
  <c r="D38" i="78"/>
  <c r="D113" i="43"/>
  <c r="C115" i="43"/>
  <c r="C30" i="43"/>
  <c r="E30" i="43"/>
  <c r="C27" i="43"/>
  <c r="E29" i="43"/>
  <c r="C57" i="69"/>
  <c r="C56" i="69"/>
  <c r="M65" i="40"/>
  <c r="N63" i="40"/>
  <c r="C7" i="68"/>
  <c r="C5" i="68"/>
  <c r="Q66" i="67"/>
  <c r="Q75" i="67"/>
  <c r="Q57" i="67"/>
  <c r="Q62" i="67"/>
  <c r="E6" i="76"/>
  <c r="E2" i="76"/>
  <c r="B3" i="76"/>
  <c r="C20" i="68"/>
  <c r="C25" i="68"/>
  <c r="C23" i="68"/>
  <c r="C22" i="68"/>
  <c r="C28" i="68"/>
  <c r="C27" i="68"/>
  <c r="O63" i="40"/>
  <c r="O65" i="40"/>
  <c r="N65" i="40"/>
  <c r="C39" i="78"/>
  <c r="C40" i="78"/>
  <c r="J10" i="78"/>
  <c r="E39" i="78"/>
  <c r="F7" i="39"/>
  <c r="J7" i="39"/>
  <c r="H7" i="39"/>
  <c r="C31" i="68"/>
  <c r="C52" i="68"/>
  <c r="B2" i="68"/>
  <c r="W7" i="39"/>
  <c r="AC7" i="39"/>
  <c r="V47" i="39"/>
  <c r="I47" i="39"/>
  <c r="E40" i="78"/>
  <c r="F7" i="40"/>
  <c r="H7" i="40"/>
  <c r="J7" i="40"/>
  <c r="AB7" i="39"/>
  <c r="T47" i="39"/>
  <c r="G47" i="39"/>
  <c r="U7" i="39"/>
  <c r="S7" i="39"/>
  <c r="AA7" i="39"/>
  <c r="R47" i="39"/>
  <c r="AE6" i="1"/>
  <c r="B3" i="68"/>
  <c r="C57" i="68"/>
  <c r="C56" i="68"/>
  <c r="W7" i="40"/>
  <c r="AC7" i="40"/>
  <c r="V42" i="40"/>
  <c r="I42" i="40"/>
  <c r="AA7" i="40"/>
  <c r="R42" i="40"/>
  <c r="S7" i="40"/>
  <c r="I51" i="39"/>
  <c r="J51" i="39"/>
  <c r="E47" i="39"/>
  <c r="R48" i="39"/>
  <c r="G52" i="39"/>
  <c r="H52" i="39"/>
  <c r="G51" i="39"/>
  <c r="H51" i="39"/>
  <c r="U7" i="40"/>
  <c r="AB7" i="40"/>
  <c r="T42" i="40"/>
  <c r="G42" i="40"/>
  <c r="C48" i="39"/>
  <c r="C47" i="39"/>
  <c r="I46" i="40"/>
  <c r="J46" i="40"/>
  <c r="G47" i="40"/>
  <c r="H47" i="40"/>
  <c r="G46" i="40"/>
  <c r="H46" i="40"/>
  <c r="E51" i="39"/>
  <c r="F51" i="39"/>
  <c r="E52" i="39"/>
  <c r="F52" i="39"/>
  <c r="I52" i="39"/>
  <c r="J52" i="39"/>
  <c r="R43" i="40"/>
  <c r="E42" i="40"/>
  <c r="I47" i="40"/>
  <c r="J47" i="40"/>
  <c r="C42" i="40"/>
  <c r="C43" i="40"/>
  <c r="E47" i="40"/>
  <c r="F47" i="40"/>
  <c r="E46" i="40"/>
  <c r="F46" i="40"/>
  <c r="B60" i="39"/>
  <c r="F60" i="39"/>
  <c r="B58" i="39"/>
  <c r="F58" i="39"/>
  <c r="B57" i="39"/>
  <c r="F57" i="39"/>
  <c r="B62" i="39"/>
  <c r="F62" i="39"/>
  <c r="B65" i="39"/>
  <c r="F65" i="39"/>
  <c r="B64" i="39"/>
  <c r="F64" i="39"/>
  <c r="B63" i="39"/>
  <c r="F63" i="39"/>
  <c r="B56" i="39"/>
  <c r="F56" i="39"/>
  <c r="F66" i="39"/>
  <c r="B2" i="39"/>
  <c r="B3" i="39"/>
  <c r="B61" i="39"/>
  <c r="F61" i="39"/>
  <c r="B59" i="39"/>
  <c r="F59" i="39"/>
  <c r="B51" i="40"/>
  <c r="F51" i="40"/>
  <c r="B58" i="40"/>
  <c r="F58" i="40"/>
  <c r="F61" i="40"/>
  <c r="B2" i="40"/>
  <c r="B3" i="40"/>
  <c r="B57" i="40"/>
  <c r="F57" i="40"/>
  <c r="B54" i="40"/>
  <c r="F54" i="40"/>
  <c r="B55" i="40"/>
  <c r="F55" i="40"/>
  <c r="B60" i="40"/>
  <c r="F60" i="40"/>
  <c r="B59" i="40"/>
  <c r="F59" i="40"/>
  <c r="B52" i="40"/>
  <c r="F52" i="40"/>
  <c r="B53" i="40"/>
  <c r="F53" i="40"/>
  <c r="B56" i="40"/>
  <c r="F56" i="40"/>
  <c r="E81" i="9"/>
  <c r="E80" i="9"/>
  <c r="C80" i="9"/>
  <c r="C68" i="9"/>
  <c r="D54" i="9"/>
  <c r="C73" i="9"/>
  <c r="C78" i="9"/>
  <c r="B32" i="72"/>
  <c r="D14" i="53"/>
  <c r="H5" i="52"/>
  <c r="H119" i="9"/>
  <c r="B47" i="72"/>
  <c r="D4" i="52"/>
  <c r="D9" i="52"/>
  <c r="D123" i="9"/>
  <c r="M54" i="9"/>
  <c r="D56" i="9"/>
  <c r="D58" i="9"/>
  <c r="C97" i="9"/>
  <c r="B53" i="72"/>
  <c r="F5" i="52"/>
  <c r="F119" i="9"/>
  <c r="D118" i="9"/>
  <c r="D119" i="9"/>
  <c r="D5" i="52"/>
  <c r="B49" i="72"/>
  <c r="F4" i="52"/>
  <c r="B51" i="72"/>
  <c r="B22" i="72"/>
  <c r="D6" i="53"/>
  <c r="M48" i="9"/>
  <c r="D13" i="53"/>
  <c r="B30" i="72"/>
  <c r="N61" i="9"/>
  <c r="N59" i="9"/>
  <c r="N60" i="9"/>
  <c r="H108" i="9"/>
  <c r="D15" i="53"/>
  <c r="B31" i="72"/>
  <c r="C85" i="9"/>
  <c r="C95" i="9"/>
  <c r="C96" i="9"/>
  <c r="E96" i="9"/>
  <c r="E97" i="9"/>
  <c r="H107" i="9"/>
  <c r="D122" i="9"/>
  <c r="D8" i="52"/>
  <c r="C86" i="9"/>
  <c r="C93" i="9"/>
  <c r="F118" i="9"/>
  <c r="G118" i="9"/>
  <c r="G4" i="52"/>
  <c r="B52" i="72"/>
  <c r="C72" i="9"/>
  <c r="C79" i="9"/>
  <c r="C81" i="9"/>
  <c r="C64" i="9"/>
  <c r="C63" i="9"/>
  <c r="C67" i="9"/>
  <c r="D59" i="9"/>
  <c r="M55" i="9"/>
  <c r="E118" i="9"/>
  <c r="E4" i="52"/>
  <c r="B48" i="72"/>
  <c r="D5" i="53"/>
  <c r="B20" i="72"/>
  <c r="H102" i="9"/>
  <c r="D7" i="53"/>
  <c r="B21" i="72"/>
  <c r="D53" i="9"/>
  <c r="D52" i="9"/>
  <c r="H4" i="52"/>
  <c r="C104" i="9"/>
  <c r="P57" i="9"/>
  <c r="H101" i="9"/>
  <c r="D45" i="9"/>
  <c r="D55" i="9"/>
  <c r="M53" i="9"/>
  <c r="N57" i="9"/>
  <c r="N58" i="9"/>
  <c r="I4" i="52"/>
  <c r="H118" i="9"/>
  <c r="I118" i="9"/>
  <c r="C10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<sst xmlns="http://schemas.openxmlformats.org/spreadsheetml/2006/main" count="7988" uniqueCount="3333">
  <si>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</si>
  <si>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</si>
  <si>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</si>
  <si>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</si>
  <si>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</si>
  <si>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</si>
  <si>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</si>
  <si>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</si>
  <si>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</si>
  <si>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</si>
  <si>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</si>
  <si>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</si>
  <si>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</si>
  <si>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</si>
  <si>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</si>
  <si>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</si>
  <si>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</si>
  <si>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</si>
  <si>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</si>
  <si>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</si>
  <si>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</si>
  <si>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</si>
  <si>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</si>
  <si>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</si>
  <si>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</si>
  <si>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</si>
  <si>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</si>
  <si>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</si>
  <si>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</si>
  <si>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</si>
  <si>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</si>
  <si>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</si>
  <si>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</si>
  <si>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</si>
  <si>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</si>
  <si>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</si>
  <si>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</si>
  <si>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</si>
  <si>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</si>
  <si>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</si>
  <si>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</si>
  <si>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</si>
  <si>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</si>
  <si>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</si>
  <si>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</si>
  <si>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</si>
  <si>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</si>
  <si>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</si>
  <si>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</si>
  <si>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</si>
  <si>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</si>
  <si>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</si>
  <si>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</si>
  <si>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</si>
  <si>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</si>
  <si>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</si>
  <si>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</si>
  <si>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</si>
  <si>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</si>
  <si>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</si>
  <si>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</si>
  <si>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</si>
  <si>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</si>
  <si>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</si>
  <si>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</si>
  <si>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</si>
  <si>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</si>
  <si>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</si>
  <si>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</si>
  <si>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</si>
  <si>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</si>
  <si>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</si>
  <si>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</si>
  <si>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</si>
  <si>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</si>
  <si>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</si>
  <si>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</si>
  <si>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</si>
  <si>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</si>
  <si>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</si>
  <si>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</si>
  <si>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</si>
  <si>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</si>
  <si>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</si>
  <si>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</si>
  <si>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</si>
  <si>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</si>
  <si>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</si>
  <si>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</si>
  <si>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</si>
  <si>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</si>
  <si>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</si>
  <si>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</si>
  <si>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</si>
  <si>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</si>
  <si>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</si>
  <si>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</si>
  <si>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</si>
  <si>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</si>
  <si>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</si>
  <si>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</si>
  <si>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</si>
  <si>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</si>
  <si>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</si>
  <si>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</si>
  <si>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</si>
  <si>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</si>
  <si>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</si>
  <si>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</si>
  <si>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</si>
  <si>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</si>
  <si>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</si>
  <si>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</si>
  <si>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</si>
  <si>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</si>
  <si>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</si>
  <si>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</si>
  <si>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</si>
  <si>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</si>
  <si>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</si>
  <si>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</si>
  <si>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</si>
  <si>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</si>
  <si>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</si>
  <si>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</si>
  <si>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</si>
  <si>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</si>
  <si>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</si>
  <si>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</si>
  <si>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</si>
  <si>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</si>
  <si>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</si>
  <si>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</si>
  <si>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</si>
  <si>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</si>
  <si>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</si>
  <si>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</si>
  <si>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</si>
  <si>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</si>
  <si>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</si>
  <si>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</si>
  <si>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</si>
  <si>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</si>
  <si>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</si>
  <si>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</si>
  <si>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</si>
  <si>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</si>
  <si>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</si>
  <si>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</si>
  <si>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</si>
  <si>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</si>
  <si>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</si>
  <si>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</si>
  <si>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</si>
  <si>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</si>
  <si>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</si>
  <si>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</si>
  <si>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</si>
  <si>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</si>
  <si>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</si>
  <si>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</si>
  <si>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</si>
  <si>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</si>
  <si>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</si>
  <si>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</si>
  <si>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</si>
  <si>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</si>
  <si>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</si>
  <si>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</si>
  <si>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</si>
  <si>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</si>
  <si>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</si>
  <si>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</si>
  <si>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</si>
  <si>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</si>
  <si>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</si>
  <si>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</si>
  <si>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</si>
  <si>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</si>
  <si>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</si>
  <si>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</si>
  <si>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</si>
  <si>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</si>
  <si>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</si>
  <si>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</si>
  <si>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</si>
  <si>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</si>
  <si>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</si>
  <si>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</si>
  <si>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</si>
  <si>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</si>
  <si>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</si>
  <si>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</si>
  <si>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</si>
  <si>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</si>
  <si>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</si>
  <si>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</si>
  <si>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</si>
  <si>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</si>
  <si>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</si>
  <si>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</si>
  <si>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</si>
  <si>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</si>
  <si>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</si>
  <si>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</si>
  <si>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</si>
  <si>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</si>
  <si>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</si>
  <si>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</si>
  <si>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</si>
  <si>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</si>
  <si>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</si>
  <si>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</si>
  <si>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</si>
  <si>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</si>
  <si>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</si>
  <si>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</si>
  <si>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</si>
  <si>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</si>
  <si>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</si>
  <si>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</si>
  <si>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</si>
  <si>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</si>
  <si>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</si>
  <si>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</si>
  <si>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</si>
  <si>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</si>
  <si>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</si>
  <si>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</si>
  <si>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</si>
  <si>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</si>
  <si>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</si>
  <si>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</si>
  <si>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</si>
  <si>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</si>
  <si>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</si>
  <si>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</si>
  <si>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</si>
  <si>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</si>
  <si>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</si>
  <si>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</si>
  <si>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</si>
  <si>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</si>
  <si>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</si>
  <si>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</si>
  <si>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</si>
  <si>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</si>
  <si>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</si>
  <si>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</si>
  <si>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</si>
  <si>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</si>
  <si>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</si>
  <si>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</si>
  <si>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</si>
  <si>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</si>
  <si>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</si>
  <si>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</si>
  <si>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</si>
  <si>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</si>
  <si>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</si>
  <si>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</si>
  <si>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</si>
  <si>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</si>
  <si>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</si>
  <si>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</si>
  <si>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</si>
  <si>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</si>
  <si>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</si>
  <si>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</si>
  <si>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</si>
  <si>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</si>
  <si>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</si>
  <si>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</si>
  <si>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</si>
  <si>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</si>
  <si>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</si>
  <si>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</si>
  <si>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</si>
  <si>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</si>
  <si>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</si>
  <si>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</si>
  <si>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</si>
  <si>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</si>
  <si>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</si>
  <si>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</si>
  <si>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</si>
  <si>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</si>
  <si>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</si>
  <si>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</si>
  <si>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</si>
  <si>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</si>
  <si>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</si>
  <si>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</si>
  <si>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</si>
  <si>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</si>
  <si>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</si>
  <si>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</si>
  <si>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</si>
  <si>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</si>
  <si>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</si>
  <si>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</si>
  <si>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</si>
  <si>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</si>
  <si>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</si>
  <si>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</si>
  <si>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</si>
  <si>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</si>
  <si>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</si>
  <si>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</si>
  <si>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</si>
  <si>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</si>
  <si>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</si>
  <si>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</si>
  <si>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</si>
  <si>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</si>
  <si>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</si>
  <si>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</si>
  <si>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</si>
  <si>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</si>
  <si>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</si>
  <si>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</si>
  <si>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</si>
  <si>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</si>
  <si>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</si>
  <si>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</si>
  <si>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</si>
  <si>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</si>
  <si>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</si>
  <si>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</si>
  <si>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</si>
  <si>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</si>
  <si>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</si>
  <si>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</si>
  <si>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</si>
  <si>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</si>
  <si>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</si>
  <si>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</si>
  <si>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</si>
  <si>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</si>
  <si>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</si>
  <si>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</si>
  <si>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</si>
  <si>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</si>
  <si>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</si>
  <si>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</si>
  <si>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</si>
  <si>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</si>
  <si>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</si>
  <si>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</si>
  <si>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</si>
  <si>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</si>
  <si>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</si>
  <si>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</si>
  <si>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</si>
  <si>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</si>
  <si>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</si>
  <si>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</si>
  <si>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</si>
  <si>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</si>
  <si>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</si>
  <si>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</si>
  <si>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</si>
  <si>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</si>
  <si>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</si>
  <si>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</si>
  <si>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</si>
  <si>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</si>
  <si>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</si>
  <si>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</si>
  <si>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</si>
  <si>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</si>
  <si>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</si>
  <si>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</si>
  <si>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</si>
  <si>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</si>
  <si>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</si>
  <si>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</si>
  <si>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</si>
  <si>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</si>
  <si>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</si>
  <si>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</si>
  <si>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</si>
  <si>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</si>
  <si>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</si>
  <si>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</si>
  <si>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</si>
  <si>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</si>
  <si>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</si>
  <si>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</si>
  <si>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</si>
  <si>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</si>
  <si>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</si>
  <si>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</si>
  <si>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</si>
  <si>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</si>
  <si>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</si>
  <si>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</si>
  <si>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</si>
  <si>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</si>
  <si>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</si>
  <si>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</si>
  <si>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</si>
  <si>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</si>
  <si>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</si>
  <si>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</si>
  <si>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</si>
  <si>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</si>
  <si>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</si>
  <si>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</si>
  <si>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</si>
  <si>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</si>
  <si>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</si>
  <si>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</si>
  <si>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</si>
  <si>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</si>
  <si>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</si>
  <si>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</si>
  <si>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</si>
  <si>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</si>
  <si>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</si>
  <si>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</si>
  <si>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</si>
  <si>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</si>
  <si>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</si>
  <si>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</si>
  <si>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</si>
  <si>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</si>
  <si>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</si>
  <si>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</si>
  <si>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</si>
  <si>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</si>
  <si>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</si>
  <si>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</si>
  <si>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</si>
  <si>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</si>
  <si>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</si>
  <si>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</si>
  <si>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</si>
  <si>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</si>
  <si>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</si>
  <si>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</si>
  <si>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</si>
  <si>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</si>
  <si>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</si>
  <si>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</si>
  <si>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</si>
  <si>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</si>
  <si>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</si>
  <si>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</si>
  <si>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</si>
  <si>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</si>
  <si>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</si>
  <si>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</si>
  <si>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</si>
  <si>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</si>
  <si>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</si>
  <si>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</si>
  <si>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</si>
  <si>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</si>
  <si>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</si>
  <si>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</si>
  <si>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</si>
  <si>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</si>
  <si>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</si>
  <si>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</si>
  <si>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</si>
  <si>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</si>
  <si>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</si>
  <si>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</si>
  <si>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</si>
  <si>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</si>
  <si>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</si>
  <si>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</si>
  <si>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</si>
  <si>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</si>
  <si>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</si>
  <si>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</si>
  <si>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</si>
  <si>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</si>
  <si>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</si>
  <si>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</si>
  <si>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</si>
  <si>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</si>
  <si>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</si>
  <si>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</si>
  <si>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</si>
  <si>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</si>
  <si>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</si>
  <si>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</si>
  <si>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</si>
  <si>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</si>
  <si>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</si>
  <si>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</si>
  <si>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</si>
  <si>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</si>
  <si>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</si>
  <si>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</si>
  <si>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</si>
  <si>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</si>
  <si>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</si>
  <si>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</si>
  <si>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</si>
  <si>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</si>
  <si>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</si>
  <si>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</si>
  <si>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</si>
  <si>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</si>
  <si>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</si>
  <si>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</si>
  <si>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</si>
  <si>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</si>
  <si>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</si>
  <si>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</si>
  <si>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</si>
  <si>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</si>
  <si>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</si>
  <si>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</si>
  <si>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</si>
  <si>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</si>
  <si>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</si>
  <si>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</si>
  <si>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</si>
  <si>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</si>
  <si>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</si>
  <si>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</si>
  <si>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</si>
  <si>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</si>
  <si>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</si>
  <si>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</si>
  <si>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</si>
  <si>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</si>
  <si>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</si>
  <si>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</si>
  <si>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</si>
  <si>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</si>
  <si>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</si>
  <si>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</si>
  <si>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</si>
  <si>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</si>
  <si>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</si>
  <si>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</si>
  <si>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</si>
  <si>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</si>
  <si>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</si>
  <si>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</si>
  <si>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</si>
  <si>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</si>
  <si>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</si>
  <si>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</si>
  <si>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</si>
  <si>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</si>
  <si>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</si>
  <si>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</si>
  <si>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</si>
  <si>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</si>
  <si>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</si>
  <si>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</si>
  <si>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</si>
  <si>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</si>
  <si>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</si>
  <si>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</si>
  <si>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</si>
  <si>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</si>
  <si>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</si>
  <si>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</si>
  <si>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</si>
  <si>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</si>
  <si>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</si>
  <si>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</si>
  <si>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</si>
  <si>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</si>
  <si>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</si>
  <si>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</si>
  <si>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</si>
  <si>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</si>
  <si>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</si>
  <si>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</si>
  <si>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</si>
  <si>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</si>
  <si>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</si>
  <si>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</si>
  <si>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</si>
  <si>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</si>
  <si>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</si>
  <si>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</si>
  <si>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</si>
  <si>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</si>
  <si>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</si>
  <si>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</si>
  <si>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</si>
  <si>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</si>
  <si>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</si>
  <si>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</si>
  <si>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</si>
  <si>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</si>
  <si>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</si>
  <si>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</si>
  <si>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</si>
  <si>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</si>
  <si>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</si>
  <si>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</si>
  <si>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</si>
  <si>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</si>
  <si>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</si>
  <si>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</si>
  <si>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</si>
  <si>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</si>
  <si>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</si>
  <si>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</si>
  <si>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</si>
  <si>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</si>
  <si>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</si>
  <si>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</si>
  <si>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</si>
  <si>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</si>
  <si>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</si>
  <si>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</si>
  <si>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</si>
  <si>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</si>
  <si>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</si>
  <si>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</si>
  <si>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</si>
  <si>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</si>
  <si>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</si>
  <si>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</si>
  <si>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</si>
  <si>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</si>
  <si>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</si>
  <si>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</si>
  <si>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</si>
  <si>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</si>
  <si>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</si>
  <si>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</si>
  <si>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</si>
  <si>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</si>
  <si>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</si>
  <si>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</si>
  <si>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</si>
  <si>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</si>
  <si>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</si>
  <si>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</si>
  <si>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</si>
  <si>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</si>
  <si>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</si>
  <si>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</si>
  <si>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</si>
  <si>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</si>
  <si>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</si>
  <si>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</si>
  <si>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</si>
  <si>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</si>
  <si>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</si>
  <si>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</si>
  <si>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</si>
  <si>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</si>
  <si>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</si>
  <si>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</si>
  <si>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</si>
  <si>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</si>
  <si>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</si>
  <si>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</si>
  <si>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</si>
  <si>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</si>
  <si>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</si>
  <si>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</si>
  <si>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</si>
  <si>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</si>
  <si>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</si>
  <si>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</si>
  <si>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</si>
  <si>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</si>
  <si>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</si>
  <si>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</si>
  <si>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</si>
  <si>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</si>
  <si>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</si>
  <si>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</si>
  <si>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</si>
  <si>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</si>
  <si>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</si>
  <si>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</si>
  <si>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</si>
  <si>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</si>
  <si>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</si>
  <si>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</si>
  <si>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</si>
  <si>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</si>
  <si>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</si>
  <si>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</si>
  <si>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</si>
  <si>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</si>
  <si>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</si>
  <si>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</si>
  <si>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</si>
  <si>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</si>
  <si>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</si>
  <si>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</si>
  <si>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</si>
  <si>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</si>
  <si>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</si>
  <si>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</si>
  <si>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</si>
  <si>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</si>
  <si>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</si>
  <si>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</si>
  <si>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</si>
  <si>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</si>
  <si>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</si>
  <si>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</si>
  <si>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</si>
  <si>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</si>
  <si>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</si>
  <si>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</si>
  <si>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</si>
  <si>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</si>
  <si>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</si>
  <si>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</si>
  <si>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</si>
  <si>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</si>
  <si>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</si>
  <si>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</si>
  <si>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</si>
  <si>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</si>
  <si>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</si>
  <si>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</si>
  <si>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</si>
  <si>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</si>
  <si>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</si>
  <si>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</si>
  <si>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</si>
  <si>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</si>
  <si>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</si>
  <si>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</si>
  <si>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</si>
  <si>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</si>
  <si>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</si>
  <si>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</si>
  <si>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</si>
  <si>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</si>
  <si>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</si>
  <si>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</si>
  <si>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</si>
  <si>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</si>
  <si>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</si>
  <si>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</si>
  <si>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</si>
  <si>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</si>
  <si>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</si>
  <si>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</si>
  <si>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</si>
  <si>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</si>
  <si>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</si>
  <si>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</si>
  <si>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</si>
  <si>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</si>
  <si>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</si>
  <si>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</si>
  <si>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</si>
  <si>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</si>
  <si>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</si>
  <si>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</si>
  <si>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</si>
  <si>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</si>
  <si>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</si>
  <si>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</si>
  <si>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</si>
  <si>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</si>
  <si>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</si>
  <si>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</si>
  <si>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</si>
  <si>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</si>
  <si>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</si>
  <si>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</si>
  <si>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</si>
  <si>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</si>
  <si>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</si>
  <si>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</si>
  <si>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</si>
  <si>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</si>
  <si>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</si>
  <si>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</si>
  <si>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</si>
  <si>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</si>
  <si>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</si>
  <si>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</si>
  <si>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</si>
  <si>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</si>
  <si>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</si>
  <si>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</si>
  <si>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</si>
  <si>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</si>
  <si>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</si>
  <si>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</si>
  <si>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</si>
  <si>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</si>
  <si>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</si>
  <si>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</si>
  <si>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</si>
  <si>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</si>
  <si>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</si>
  <si>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</si>
  <si>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</si>
  <si>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</si>
  <si>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</si>
  <si>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</si>
  <si>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</si>
  <si>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</si>
  <si>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</si>
  <si>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</si>
  <si>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</si>
  <si>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</si>
  <si>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</si>
  <si>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</si>
  <si>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</si>
  <si>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</si>
  <si>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</si>
  <si>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</si>
  <si>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</si>
  <si>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</si>
  <si>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</si>
  <si>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</si>
  <si>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</si>
  <si>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</si>
  <si>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</si>
  <si>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</si>
  <si>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</si>
  <si>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</si>
  <si>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</si>
  <si>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</si>
  <si>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</si>
  <si>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</si>
  <si>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</si>
  <si>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</si>
  <si>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</si>
  <si>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</si>
  <si>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</si>
  <si>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</si>
  <si>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</si>
  <si>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</si>
  <si>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</si>
  <si>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</si>
  <si>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</si>
  <si>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</si>
  <si>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</si>
  <si>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</si>
  <si>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</si>
  <si>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</si>
  <si>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</si>
  <si>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</si>
  <si>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</si>
  <si>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</si>
  <si>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</si>
  <si>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</si>
  <si>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</si>
  <si>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</si>
  <si>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</si>
  <si>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</si>
  <si>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</si>
  <si>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</si>
  <si>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</si>
  <si>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</si>
  <si>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</si>
  <si>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</si>
  <si>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</si>
  <si>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</si>
  <si>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</si>
  <si>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</si>
  <si>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</si>
  <si>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</si>
  <si>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</si>
  <si>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</si>
  <si>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</si>
  <si>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</si>
  <si>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</si>
  <si>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</si>
  <si>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</si>
  <si>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</si>
  <si>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</si>
  <si>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</si>
  <si>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</si>
  <si>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</si>
  <si>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</si>
  <si>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</si>
  <si>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</si>
  <si>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</si>
  <si>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</si>
  <si>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</si>
  <si>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</si>
  <si>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</si>
  <si>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</si>
  <si>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</si>
  <si>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</si>
  <si>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</si>
  <si>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</si>
  <si>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</si>
  <si>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</si>
  <si>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</si>
  <si>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</si>
  <si>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</si>
  <si>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</si>
  <si>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</si>
  <si>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</si>
  <si>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</si>
  <si>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</si>
  <si>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</si>
  <si>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</si>
  <si>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</si>
  <si>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</si>
  <si>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</si>
  <si>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</si>
  <si>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</si>
  <si>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</si>
  <si>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</si>
  <si>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</si>
  <si>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</si>
  <si>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</si>
  <si>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</si>
  <si>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</si>
  <si>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</si>
  <si>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</si>
  <si>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</si>
  <si>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</si>
  <si>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</si>
  <si>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</si>
  <si>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</si>
  <si>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</si>
  <si>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</si>
  <si>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</si>
  <si>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</si>
  <si>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</si>
  <si>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</si>
  <si>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</si>
  <si>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</si>
  <si>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</si>
  <si>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</si>
  <si>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</si>
  <si>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</si>
  <si>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</si>
  <si>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</si>
  <si>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</si>
  <si>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</si>
  <si>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</si>
  <si>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</si>
  <si>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</si>
  <si>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</si>
  <si>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</si>
  <si>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</si>
  <si>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</si>
  <si>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</si>
  <si>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</si>
  <si>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</si>
  <si>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</si>
  <si>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</si>
  <si>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</si>
  <si>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</si>
  <si>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</si>
  <si>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</si>
  <si>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</si>
  <si>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</si>
  <si>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</si>
  <si>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</si>
  <si>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</si>
  <si>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</si>
  <si>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</si>
  <si>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</si>
  <si>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</si>
  <si>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</si>
  <si>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</si>
  <si>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</si>
  <si>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</si>
  <si>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</si>
  <si>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</si>
  <si>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</si>
  <si>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</si>
  <si>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</si>
  <si>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</si>
  <si>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</si>
  <si>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</si>
  <si>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</si>
  <si>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</si>
  <si>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</si>
  <si>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</si>
  <si>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</si>
  <si>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</si>
  <si>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</si>
  <si>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</si>
  <si>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</si>
  <si>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</si>
  <si>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</si>
  <si>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</si>
  <si>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</si>
  <si>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</si>
  <si>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</si>
  <si>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</si>
  <si>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</si>
  <si>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</si>
  <si>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</si>
  <si>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</si>
  <si>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</si>
  <si>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</si>
  <si>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</si>
  <si>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</si>
  <si>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</si>
  <si>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</si>
  <si>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</si>
  <si>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</si>
  <si>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</si>
  <si>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</si>
  <si>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</si>
  <si>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</si>
  <si>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</si>
  <si>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</si>
  <si>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</si>
  <si>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</si>
  <si>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</si>
  <si>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</si>
  <si>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</si>
  <si>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</si>
  <si>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</si>
  <si>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</si>
  <si>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</si>
  <si>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</si>
  <si>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</si>
  <si>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</si>
  <si>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</si>
  <si>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</si>
  <si>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</si>
  <si>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</si>
  <si>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</si>
  <si>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</si>
  <si>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</si>
  <si>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</si>
  <si>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</si>
  <si>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</si>
  <si>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</si>
  <si>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</si>
  <si>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</si>
  <si>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</si>
  <si>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</si>
  <si>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</si>
  <si>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</si>
  <si>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</si>
  <si>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</si>
  <si>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</si>
  <si>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</si>
  <si>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</si>
  <si>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</si>
  <si>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</si>
  <si>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</si>
  <si>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</si>
  <si>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</si>
  <si>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</si>
  <si>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</si>
  <si>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</si>
  <si>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</si>
  <si>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</si>
  <si>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</si>
  <si>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</si>
  <si>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</si>
  <si>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</si>
  <si>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</si>
  <si>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</si>
  <si>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</si>
  <si>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</si>
  <si>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</si>
  <si>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</si>
  <si>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</si>
  <si>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</si>
  <si>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</si>
  <si>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</si>
  <si>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</si>
  <si>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</si>
  <si>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</si>
  <si>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</si>
  <si>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</si>
  <si>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</si>
  <si>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</si>
  <si>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</si>
  <si>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</si>
  <si>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</si>
  <si>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</si>
  <si>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</si>
  <si>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</si>
  <si>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</si>
  <si>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</si>
  <si>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</si>
  <si>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</si>
  <si>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</si>
  <si>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</si>
  <si>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</si>
  <si>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</si>
  <si>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</si>
  <si>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</si>
  <si>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</si>
  <si>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</si>
  <si>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</si>
  <si>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</si>
  <si>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</si>
  <si>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</si>
  <si>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</si>
  <si>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</si>
  <si>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</si>
  <si>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</si>
  <si>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</si>
  <si>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</si>
  <si>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</si>
  <si>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</si>
  <si>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</si>
  <si>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</si>
  <si>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</si>
  <si>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</si>
  <si>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</si>
  <si>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</si>
  <si>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</si>
  <si>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</si>
  <si>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</si>
  <si>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</si>
  <si>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</si>
  <si>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</si>
  <si>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</si>
  <si>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</si>
  <si>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</si>
  <si>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</si>
  <si>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</si>
  <si>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</si>
  <si>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</si>
  <si>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</si>
  <si>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</si>
  <si>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</si>
  <si>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</si>
  <si>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</si>
  <si>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</si>
  <si>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</si>
  <si>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</si>
  <si>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</si>
  <si>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</si>
  <si>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</si>
  <si>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</si>
  <si>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</si>
  <si>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</si>
  <si>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</si>
  <si>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</si>
  <si>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</si>
  <si>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</si>
  <si>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</si>
  <si>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</si>
  <si>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</si>
  <si>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</si>
  <si>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</si>
  <si>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</si>
  <si>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</si>
  <si>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</si>
  <si>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</si>
  <si>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</si>
  <si>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</si>
  <si>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</si>
  <si>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</si>
  <si>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</si>
  <si>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</si>
  <si>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</si>
  <si>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</si>
  <si>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</si>
  <si>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</si>
  <si>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</si>
  <si>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</si>
  <si>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</si>
  <si>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</si>
  <si>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</si>
  <si>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</si>
  <si>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</si>
  <si>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</si>
  <si>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</si>
  <si>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</si>
  <si>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</si>
  <si>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</si>
  <si>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</si>
  <si>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</si>
  <si>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</si>
  <si>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</si>
  <si>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</si>
  <si>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</si>
  <si>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</si>
  <si>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</si>
  <si>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</si>
  <si>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</si>
  <si>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</si>
  <si>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</si>
  <si>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</si>
  <si>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</si>
  <si>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</si>
  <si>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</si>
  <si>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</si>
  <si>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</si>
  <si>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</si>
  <si>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</si>
  <si>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</si>
  <si>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</si>
  <si>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</si>
  <si>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</si>
  <si>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</si>
  <si>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</si>
  <si>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</si>
  <si>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</si>
  <si>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</si>
  <si>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</si>
  <si>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</si>
  <si>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</si>
  <si>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</si>
  <si>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</si>
  <si>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</si>
  <si>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</si>
  <si>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</si>
  <si>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</si>
  <si>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</si>
  <si>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</si>
  <si>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</si>
  <si>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</si>
  <si>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</si>
  <si>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</si>
  <si>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</si>
  <si>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</si>
  <si>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</si>
  <si>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</si>
  <si>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</si>
  <si>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</si>
  <si>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</si>
  <si>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</si>
  <si>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</si>
  <si>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</si>
  <si>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</si>
  <si>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</si>
  <si>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</si>
  <si>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</si>
  <si>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</si>
  <si>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</si>
  <si>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</si>
  <si>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</si>
  <si>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</si>
  <si>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</si>
  <si>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</si>
  <si>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</si>
  <si>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</si>
  <si>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</si>
  <si>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</si>
  <si>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</si>
  <si>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</si>
  <si>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</si>
  <si>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</si>
  <si>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</si>
  <si>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</si>
  <si>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</si>
  <si>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</si>
  <si>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</si>
  <si>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</si>
  <si>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</si>
  <si>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</si>
  <si>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</si>
  <si>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</si>
  <si>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</si>
  <si>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</si>
  <si>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</si>
  <si>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</si>
  <si>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</si>
  <si>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</si>
  <si>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</si>
  <si>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</si>
  <si>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</si>
  <si>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</si>
  <si>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</si>
  <si>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</si>
  <si>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</si>
  <si>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</si>
  <si>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</si>
  <si>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</si>
  <si>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</si>
  <si>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</si>
  <si>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</si>
  <si>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</si>
  <si>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</si>
  <si>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</si>
  <si>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</si>
  <si>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</si>
  <si>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</si>
  <si>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</si>
  <si>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</si>
  <si>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</si>
  <si>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</si>
  <si>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</si>
  <si>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</si>
  <si>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</si>
  <si>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</si>
  <si>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</si>
  <si>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</si>
  <si>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</si>
  <si>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</si>
  <si>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</si>
  <si>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</si>
  <si>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</si>
  <si>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</si>
  <si>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</si>
  <si>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</si>
  <si>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</si>
  <si>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</si>
  <si>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</si>
  <si>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</si>
  <si>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</si>
  <si>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</si>
  <si>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</si>
  <si>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</si>
  <si>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</si>
  <si>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</si>
  <si>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</si>
  <si>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</si>
  <si>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</si>
  <si>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</si>
  <si>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</si>
  <si>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</si>
  <si>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</si>
  <si>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</si>
  <si>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</si>
  <si>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</si>
  <si>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</si>
  <si>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</si>
  <si>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</si>
  <si>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</si>
  <si>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</si>
  <si>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</si>
  <si>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</si>
  <si>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</si>
  <si>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</si>
  <si>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</si>
  <si>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</si>
  <si>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</si>
  <si>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</si>
  <si>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</si>
  <si>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</si>
  <si>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</si>
  <si>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</si>
  <si>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</si>
  <si>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</si>
  <si>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</si>
  <si>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</si>
  <si>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</si>
  <si>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</si>
  <si>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</si>
  <si>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</si>
  <si>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</si>
  <si>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</si>
  <si>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</si>
  <si>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</si>
  <si>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</si>
  <si>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</si>
  <si>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</si>
  <si>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</si>
  <si>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</si>
  <si>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</si>
  <si>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</si>
  <si>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</si>
  <si>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</si>
  <si>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</si>
  <si>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</si>
  <si>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</si>
  <si>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</si>
  <si>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</si>
  <si>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</si>
  <si>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</si>
  <si>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</si>
  <si>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</si>
  <si>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</si>
  <si>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</si>
  <si>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</si>
  <si>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</si>
  <si>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</si>
  <si>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</si>
  <si>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</si>
  <si>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</si>
  <si>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</si>
  <si>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</si>
  <si>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</si>
  <si>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</si>
  <si>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</si>
  <si>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</si>
  <si>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</si>
  <si>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</si>
  <si>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</si>
  <si>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</si>
  <si>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</si>
  <si>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</si>
  <si>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</si>
  <si>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</si>
  <si>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</si>
  <si>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</si>
  <si>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</si>
  <si>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</si>
  <si>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</si>
  <si>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</si>
  <si>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</si>
  <si>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</si>
  <si>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</si>
  <si>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</si>
  <si>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</si>
  <si>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</si>
  <si>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</si>
  <si>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</si>
  <si>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</si>
  <si>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</si>
  <si>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</si>
  <si>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</si>
  <si>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</si>
  <si>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</si>
  <si>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</si>
  <si>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</si>
  <si>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</si>
  <si>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</si>
  <si>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</si>
  <si>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</si>
  <si>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</si>
  <si>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</si>
  <si>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</si>
  <si>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</si>
  <si>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</si>
  <si>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</si>
  <si>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</si>
  <si>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</si>
  <si>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</si>
  <si>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</si>
  <si>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</si>
  <si>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</si>
  <si>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</si>
  <si>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</si>
  <si>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</si>
  <si>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</si>
  <si>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</si>
  <si>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</si>
  <si>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</si>
  <si>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</si>
  <si>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</si>
  <si>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</si>
  <si>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</si>
  <si>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</si>
  <si>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</si>
  <si>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</si>
  <si>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</si>
  <si>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</si>
  <si>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</si>
  <si>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</si>
  <si>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</si>
  <si>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</si>
  <si>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</si>
  <si>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</si>
  <si>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</si>
  <si>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</si>
  <si>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</si>
  <si>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</si>
  <si>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</si>
  <si>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</si>
  <si>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</si>
  <si>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</si>
  <si>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</si>
  <si>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</si>
  <si>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</si>
  <si>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</si>
  <si>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</si>
  <si>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</si>
  <si>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</si>
  <si>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</si>
  <si>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</si>
  <si>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</si>
  <si>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</si>
  <si>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</si>
  <si>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</si>
  <si>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</si>
  <si>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</si>
  <si>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</si>
  <si>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</si>
  <si>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</si>
  <si>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</si>
  <si>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</si>
  <si>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</si>
  <si>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</si>
  <si>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</si>
  <si>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</si>
  <si>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</si>
  <si>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</si>
  <si>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</si>
  <si>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</si>
  <si>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</si>
  <si>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</si>
  <si>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</si>
  <si>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</si>
  <si>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</si>
  <si>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</si>
  <si>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</si>
  <si>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</si>
  <si>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</si>
  <si>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</si>
  <si>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</si>
  <si>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</si>
  <si>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</si>
  <si>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</si>
  <si>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</si>
  <si>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</si>
  <si>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</si>
  <si>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</si>
  <si>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</si>
  <si>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</si>
  <si>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</si>
  <si>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</si>
  <si>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</si>
  <si>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</si>
  <si>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</si>
  <si>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</si>
  <si>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</si>
  <si>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</si>
  <si>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</si>
  <si>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</si>
  <si>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</si>
  <si>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</si>
  <si>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</si>
  <si>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</si>
  <si>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</si>
  <si>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</si>
  <si>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</si>
  <si>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</si>
  <si>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</si>
  <si>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</si>
  <si>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</si>
  <si>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</si>
  <si>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</si>
  <si>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</si>
  <si>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</si>
  <si>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</si>
  <si>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</si>
  <si>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</si>
  <si>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</si>
  <si>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</si>
  <si>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</si>
  <si>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</si>
  <si>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</si>
  <si>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</si>
  <si>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</si>
  <si>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</si>
  <si>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</si>
  <si>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</si>
  <si>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</si>
  <si>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</si>
  <si>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</si>
  <si>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</si>
  <si>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</si>
  <si>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</si>
  <si>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</si>
  <si>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</si>
  <si>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</si>
  <si>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</si>
  <si>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</si>
  <si>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</si>
  <si>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</si>
  <si>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</si>
  <si>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</si>
  <si>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</si>
  <si>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</si>
  <si>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</si>
  <si>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</si>
  <si>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</si>
  <si>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</si>
  <si>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</si>
  <si>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</si>
  <si>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</si>
  <si>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</si>
  <si>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</si>
  <si>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</si>
  <si>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</si>
  <si>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</si>
  <si>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</si>
  <si>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</si>
  <si>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</si>
  <si>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</si>
  <si>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</si>
  <si>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</si>
  <si>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</si>
  <si>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</si>
  <si>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</si>
  <si>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</si>
  <si>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</si>
  <si>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</si>
  <si>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</si>
  <si>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</si>
  <si>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</si>
  <si>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</si>
  <si>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</si>
  <si>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</si>
  <si>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</si>
  <si>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</si>
  <si>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</si>
  <si>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</si>
  <si>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</si>
  <si>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</si>
  <si>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</si>
  <si>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</si>
  <si>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</si>
  <si>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</si>
  <si>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</si>
  <si>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</si>
  <si>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</si>
  <si>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</si>
  <si>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</si>
  <si>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</si>
  <si>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</si>
  <si>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</si>
  <si>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</si>
  <si>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</si>
  <si>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</si>
  <si>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</si>
  <si>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</si>
  <si>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</si>
  <si>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</si>
  <si>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</si>
  <si>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</si>
  <si>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</si>
  <si>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</si>
  <si>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</si>
  <si>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</si>
  <si>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</si>
  <si>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</si>
  <si>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</si>
  <si>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</si>
  <si>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</si>
  <si>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</si>
  <si>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</si>
  <si>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</si>
  <si>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</si>
  <si>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</si>
  <si>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</si>
  <si>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</si>
  <si>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</si>
  <si>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</si>
  <si>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</si>
  <si>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</si>
  <si>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</si>
  <si>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</si>
  <si>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</si>
  <si>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</si>
  <si>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</si>
  <si>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</si>
  <si>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</si>
  <si>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</si>
  <si>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</si>
  <si>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</si>
  <si>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</si>
  <si>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</si>
  <si>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</si>
  <si>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</si>
  <si>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</si>
  <si>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</si>
  <si>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</si>
  <si>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</si>
  <si>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</si>
  <si>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</si>
  <si>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</si>
  <si>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</si>
  <si>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</si>
  <si>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</si>
  <si>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</si>
  <si>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</si>
  <si>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</si>
  <si>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</si>
  <si>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</si>
  <si>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</si>
  <si>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</si>
  <si>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</si>
  <si>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</si>
  <si>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</si>
  <si>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</si>
  <si>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</si>
  <si>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</si>
  <si>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</si>
  <si>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</si>
  <si>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</si>
  <si>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</si>
  <si>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</si>
  <si>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</si>
  <si>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</si>
  <si>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</si>
  <si>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</si>
  <si>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</si>
  <si>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</si>
  <si>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</si>
  <si>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</si>
  <si>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</si>
  <si>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</si>
  <si>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</si>
  <si>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</si>
  <si>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</si>
  <si>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</si>
  <si>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</si>
  <si>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</si>
  <si>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</si>
  <si>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</si>
  <si>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</si>
  <si>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</si>
  <si>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</si>
  <si>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</si>
  <si>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</si>
  <si>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</si>
  <si>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</si>
  <si>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</si>
  <si>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</si>
  <si>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</si>
  <si>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</si>
  <si>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</si>
  <si>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</si>
  <si>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</si>
  <si>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</si>
  <si>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</si>
  <si>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</si>
  <si>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</si>
  <si>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</si>
  <si>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</si>
  <si>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</si>
  <si>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</si>
  <si>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</si>
  <si>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</si>
  <si>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</si>
  <si>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</si>
  <si>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</si>
  <si>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</si>
  <si>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</si>
  <si>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</si>
  <si>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</si>
  <si>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</si>
  <si>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</si>
  <si>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</si>
  <si>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</si>
  <si>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</si>
  <si>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</si>
  <si>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</si>
  <si>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</si>
  <si>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</si>
  <si>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</si>
  <si>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</si>
  <si>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</si>
  <si>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</si>
  <si>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</si>
  <si>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</si>
  <si>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</si>
  <si>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</si>
  <si>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</si>
  <si>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</si>
  <si>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</si>
  <si>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</si>
  <si>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</si>
  <si>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</si>
  <si>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</si>
  <si>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</si>
  <si>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</si>
  <si>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</si>
  <si>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</si>
  <si>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</si>
  <si>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</si>
  <si>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</si>
  <si>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</si>
  <si>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</si>
  <si>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</si>
  <si>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</si>
  <si>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</si>
  <si>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</si>
  <si>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</si>
  <si>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</si>
  <si>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</si>
  <si>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</si>
  <si>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</si>
  <si>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</si>
  <si>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</si>
  <si>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</si>
  <si>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</si>
  <si>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</si>
  <si>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</si>
  <si>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</si>
  <si>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</si>
  <si>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</si>
  <si>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</si>
  <si>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</si>
  <si>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</si>
  <si>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</si>
  <si>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</si>
  <si>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</si>
  <si>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</si>
  <si>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</si>
  <si>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</si>
  <si>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</si>
  <si>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</si>
  <si>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</si>
  <si>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</si>
  <si>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</si>
  <si>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</si>
  <si>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</si>
  <si>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</si>
  <si>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</si>
  <si>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</si>
  <si>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</si>
  <si>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</si>
  <si>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</si>
  <si>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</si>
  <si>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</si>
  <si>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</si>
  <si>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</si>
  <si>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</si>
  <si>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</si>
  <si>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</si>
  <si>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</si>
  <si>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</si>
  <si>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</si>
  <si>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</si>
  <si>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</si>
  <si>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</si>
  <si>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</si>
  <si>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</si>
  <si>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</si>
  <si>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</si>
  <si>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</si>
  <si>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</si>
  <si>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</si>
  <si>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</si>
  <si>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</si>
  <si>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</si>
  <si>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</si>
  <si>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</si>
  <si>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</si>
  <si>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</si>
  <si>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</si>
  <si>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</si>
  <si>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</si>
  <si>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</si>
  <si>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</si>
  <si>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</si>
  <si>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</si>
  <si>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</si>
  <si>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</si>
  <si>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</si>
  <si>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</si>
  <si>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</si>
  <si>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</si>
  <si>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</si>
  <si>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</si>
  <si>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</si>
  <si>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</si>
  <si>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</si>
  <si>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</si>
  <si>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</si>
  <si>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</si>
  <si>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</si>
  <si>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</si>
  <si>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</si>
  <si>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</si>
  <si>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</si>
  <si>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</si>
  <si>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</si>
  <si>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</si>
  <si>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</si>
  <si>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</si>
  <si>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</si>
  <si>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</si>
  <si>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</si>
  <si>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</si>
  <si>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</si>
  <si>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</si>
  <si>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</si>
  <si>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</si>
  <si>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</si>
  <si>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</si>
  <si>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</si>
  <si>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</si>
  <si>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</si>
  <si>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</si>
  <si>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</si>
  <si>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</si>
  <si>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</si>
  <si>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</si>
  <si>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</si>
  <si>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</si>
  <si>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</si>
  <si>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</si>
  <si>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</si>
  <si>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</si>
  <si>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</si>
  <si>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</si>
  <si>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</si>
  <si>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</si>
  <si>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</si>
  <si>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</si>
  <si>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</si>
  <si>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</si>
  <si>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</si>
  <si>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</si>
  <si>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</si>
  <si>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</si>
  <si>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</si>
  <si>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</si>
  <si>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</si>
  <si>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</si>
  <si>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</si>
  <si>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</si>
  <si>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</si>
  <si>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</si>
  <si>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</si>
  <si>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</si>
  <si>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</si>
  <si>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</si>
  <si>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</si>
  <si>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</si>
  <si>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</si>
  <si>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</si>
  <si>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</si>
  <si>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</si>
  <si>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</si>
  <si>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</si>
  <si>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</si>
  <si>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</si>
  <si>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</si>
  <si>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</si>
  <si>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</si>
  <si>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</si>
  <si>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</si>
  <si>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</si>
  <si>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</si>
  <si>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</si>
  <si>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</si>
  <si>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</si>
  <si>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</si>
  <si>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</si>
  <si>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</si>
  <si>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</si>
  <si>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</si>
  <si>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</si>
  <si>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</si>
  <si>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</si>
  <si>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</si>
  <si>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</si>
  <si>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</si>
  <si>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</si>
  <si>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</si>
  <si>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</si>
  <si>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</si>
  <si>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</si>
  <si>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</si>
  <si>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</si>
  <si>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</si>
  <si>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</si>
  <si>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</si>
  <si>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</si>
  <si>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</si>
  <si>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</si>
  <si>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</si>
  <si>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</si>
  <si>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</si>
  <si>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</si>
  <si>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</si>
  <si>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</si>
  <si>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</si>
  <si>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</si>
  <si>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</si>
  <si>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</si>
  <si>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</si>
  <si>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</si>
  <si>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</si>
  <si>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</si>
  <si>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</si>
  <si>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</si>
  <si>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</si>
  <si>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</si>
  <si>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</si>
  <si>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</si>
  <si>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</si>
  <si>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</si>
  <si>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</si>
  <si>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</si>
  <si>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</si>
  <si>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</si>
  <si>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</si>
  <si>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</si>
  <si>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</si>
  <si>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</si>
  <si>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</si>
  <si>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</si>
  <si>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</si>
  <si>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</si>
  <si>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</si>
  <si>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</si>
  <si>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</si>
  <si>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</si>
  <si>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</si>
  <si>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</si>
  <si>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</si>
  <si>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</si>
  <si>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</si>
  <si>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</si>
  <si>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</si>
  <si>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</si>
  <si>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</si>
  <si>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</si>
  <si>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</si>
  <si>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</si>
  <si>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</si>
  <si>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</si>
  <si>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</si>
  <si>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</si>
  <si>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</si>
  <si>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</si>
  <si>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</si>
  <si>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</si>
  <si>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</si>
  <si>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</si>
  <si>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</si>
  <si>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</si>
  <si>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</si>
  <si>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</si>
  <si>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</si>
  <si>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</si>
  <si>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</si>
  <si>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</si>
  <si>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</si>
  <si>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</si>
  <si>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</si>
  <si>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</si>
  <si>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</si>
  <si>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</si>
  <si>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</si>
  <si>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</si>
  <si>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</si>
  <si>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</si>
  <si>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</si>
  <si>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</si>
  <si>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</si>
  <si>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</si>
  <si>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</si>
  <si>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</si>
  <si>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</si>
  <si>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</si>
  <si>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</si>
  <si>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</si>
  <si>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</si>
  <si>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</si>
  <si>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</si>
  <si>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</si>
  <si>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</si>
  <si>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</si>
  <si>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</si>
  <si>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</si>
  <si>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</si>
  <si>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</si>
  <si>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</si>
  <si>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</si>
  <si>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</si>
  <si>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</si>
  <si>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</si>
  <si>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</si>
  <si>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</si>
  <si>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</si>
  <si>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</si>
  <si>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</si>
  <si>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</si>
  <si>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</si>
  <si>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</si>
  <si>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</si>
  <si>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</si>
  <si>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</si>
  <si>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</si>
  <si>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</si>
  <si>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</si>
  <si>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</si>
  <si>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</si>
  <si>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</si>
  <si>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</si>
  <si>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</si>
  <si>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</si>
  <si>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</si>
  <si>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</si>
  <si>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</si>
  <si>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</si>
  <si>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</si>
  <si>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</si>
  <si>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</si>
  <si>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</si>
  <si>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</si>
  <si>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</si>
  <si>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</si>
  <si>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</si>
  <si>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</si>
  <si>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</si>
  <si>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</si>
  <si>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</si>
  <si>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</si>
  <si>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</si>
  <si>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</si>
  <si>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</si>
  <si>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</si>
  <si>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</si>
  <si>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</si>
  <si>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</si>
  <si>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</si>
  <si>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</si>
  <si>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</si>
  <si>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</si>
  <si>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</si>
  <si>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</si>
  <si>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</si>
  <si>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</si>
  <si>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</si>
  <si>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</si>
  <si>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</si>
  <si>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</si>
  <si>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</si>
  <si>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</si>
  <si>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</si>
  <si>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</si>
  <si>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</si>
  <si>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</si>
  <si>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</si>
  <si>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</si>
  <si>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</si>
  <si>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</si>
  <si>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</si>
  <si>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</si>
  <si>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</si>
  <si>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</si>
  <si>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</si>
  <si>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</si>
  <si>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</si>
  <si>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</si>
  <si>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</si>
  <si>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</si>
  <si>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</si>
  <si>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</si>
  <si>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</si>
  <si>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</si>
  <si>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</si>
  <si>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</si>
  <si>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</si>
  <si>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</si>
  <si>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</si>
  <si>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</si>
  <si>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</si>
  <si>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</si>
  <si>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</si>
  <si>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</si>
  <si>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</si>
  <si>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</si>
  <si>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</si>
  <si>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</si>
  <si>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</si>
  <si>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</si>
  <si>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</si>
  <si>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</si>
  <si>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</si>
  <si>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</si>
  <si>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</si>
  <si>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</si>
  <si>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</si>
  <si>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</si>
  <si>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</si>
  <si>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</si>
  <si>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</si>
  <si>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</si>
  <si>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</si>
  <si>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</si>
  <si>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</si>
  <si>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</si>
  <si>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</si>
  <si>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</si>
  <si>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</si>
  <si>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</si>
  <si>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</si>
  <si>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</si>
  <si>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</si>
  <si>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</si>
  <si>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</si>
  <si>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</si>
  <si>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</si>
  <si>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</si>
  <si>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</si>
  <si>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</si>
  <si>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</si>
  <si>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</si>
  <si>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</si>
  <si>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</si>
  <si>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</si>
  <si>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</si>
  <si>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</si>
  <si>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</si>
  <si>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</si>
  <si>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</si>
  <si>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</si>
  <si>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</si>
  <si>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</si>
  <si>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</si>
  <si>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</si>
  <si>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</si>
  <si>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</si>
  <si>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</si>
  <si>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</si>
  <si>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</si>
  <si>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</si>
  <si>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</si>
  <si>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</si>
  <si>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</si>
  <si>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</si>
  <si>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</si>
  <si>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</si>
  <si>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</si>
  <si>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</si>
  <si>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</si>
  <si>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</si>
  <si>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</si>
  <si>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</si>
  <si>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</si>
  <si>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</si>
  <si>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</si>
  <si>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</si>
  <si>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</si>
  <si>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</si>
  <si>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</si>
  <si>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</si>
  <si>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</si>
  <si>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</si>
  <si>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</si>
  <si>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</si>
  <si>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</si>
  <si>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</si>
  <si>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</si>
  <si>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</si>
  <si>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</si>
  <si>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</si>
  <si>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</si>
  <si>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</si>
  <si>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</si>
  <si>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</si>
  <si>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</si>
  <si>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</si>
  <si>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</si>
  <si>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</si>
  <si>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</si>
  <si>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</si>
  <si>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</si>
  <si>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</si>
  <si>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</si>
  <si>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</si>
  <si>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</si>
  <si>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</si>
  <si>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</si>
  <si>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</si>
  <si>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</si>
  <si>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</si>
  <si>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</si>
  <si>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</si>
  <si>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</si>
  <si>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</si>
  <si>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</si>
  <si>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</si>
  <si>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</si>
  <si>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</si>
  <si>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</si>
  <si>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</si>
  <si>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</si>
  <si>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</si>
  <si>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</si>
  <si>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</si>
  <si>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</si>
  <si>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</si>
  <si>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</si>
  <si>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</si>
  <si>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</si>
  <si>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</si>
  <si>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</si>
  <si>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</si>
  <si>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</si>
  <si>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</si>
  <si>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</si>
  <si>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</si>
  <si>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</si>
  <si>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</si>
  <si>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</si>
  <si>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</si>
  <si>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</si>
  <si>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</si>
  <si>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</si>
  <si>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</si>
  <si>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</si>
  <si>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</si>
  <si>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</si>
  <si>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</si>
  <si>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</si>
  <si>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</si>
  <si>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</si>
  <si>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</si>
  <si>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</si>
  <si>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</si>
  <si>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</si>
  <si>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</si>
  <si>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</si>
  <si>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</si>
  <si>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</si>
  <si>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</si>
  <si>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</si>
  <si>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</si>
  <si>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</si>
  <si>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</si>
  <si>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</si>
  <si>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</si>
  <si>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</si>
  <si>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</si>
  <si>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</si>
  <si>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</si>
  <si>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</si>
  <si>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</si>
  <si>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</si>
  <si>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</si>
  <si>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</si>
  <si>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</si>
  <si>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</si>
  <si>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</si>
  <si>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</si>
  <si>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</si>
  <si>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</si>
  <si>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</si>
  <si>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</si>
  <si>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</si>
  <si>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</si>
  <si>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</si>
  <si>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</si>
  <si>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</si>
  <si>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</si>
  <si>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</si>
  <si>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</si>
  <si>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</si>
  <si>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</si>
  <si>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</si>
  <si>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</si>
  <si>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</si>
  <si>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</si>
  <si>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</si>
  <si>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</si>
  <si>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</si>
  <si>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</si>
  <si>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</si>
  <si>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</si>
  <si>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</si>
  <si>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</si>
  <si>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</si>
  <si>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</si>
  <si>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</si>
  <si>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</si>
  <si>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</si>
  <si>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</si>
  <si>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</si>
  <si>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</si>
  <si>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</si>
  <si>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</si>
  <si>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</si>
  <si>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</si>
  <si>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</si>
  <si>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</si>
  <si>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</si>
  <si>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</si>
  <si>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</si>
  <si>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</si>
  <si>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</si>
  <si>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</si>
  <si>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</si>
  <si>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</si>
  <si>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</si>
  <si>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</si>
  <si>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</si>
  <si>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</si>
  <si>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</si>
  <si>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</si>
  <si>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</si>
  <si>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</si>
  <si>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</si>
  <si>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</si>
  <si>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</si>
  <si>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</si>
  <si>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</si>
  <si>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</si>
  <si>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</si>
  <si>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</si>
  <si>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</si>
  <si>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</si>
  <si>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</si>
  <si>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</si>
  <si>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</si>
  <si>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</si>
  <si>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</si>
  <si>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</si>
  <si>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</si>
  <si>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</si>
  <si>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</si>
  <si>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</si>
  <si>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</si>
  <si>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</si>
  <si>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</si>
  <si>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</si>
  <si>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</si>
  <si>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</si>
  <si>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</si>
  <si>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</si>
  <si>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</si>
  <si>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</si>
  <si>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</si>
  <si>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</si>
  <si>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</si>
  <si>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</si>
  <si>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</si>
  <si>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</si>
  <si>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</si>
  <si>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</si>
  <si>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</si>
  <si>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</si>
  <si>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</si>
  <si>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</si>
  <si>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</si>
  <si>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</si>
  <si>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</si>
  <si>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</si>
  <si>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</si>
  <si>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</si>
  <si>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</si>
  <si>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</si>
  <si>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</si>
  <si>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</si>
  <si>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</si>
  <si>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</si>
  <si>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</si>
  <si>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</si>
  <si>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</si>
  <si>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</si>
  <si>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</si>
  <si>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</si>
  <si>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</si>
  <si>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</si>
  <si>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</si>
  <si>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</si>
  <si>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</si>
  <si>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</si>
  <si>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</si>
  <si>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</si>
  <si>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</si>
  <si>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</si>
  <si>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</si>
  <si>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</si>
  <si>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</si>
  <si>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</si>
  <si>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</si>
  <si>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</si>
  <si>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</si>
  <si>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</si>
  <si>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</si>
  <si>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</si>
  <si>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</si>
  <si>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</si>
  <si>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</si>
  <si>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</si>
  <si>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</si>
  <si>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</si>
  <si>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</si>
  <si>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</si>
  <si>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</si>
  <si>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</si>
  <si>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</si>
  <si>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</si>
  <si>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</si>
  <si>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</si>
  <si>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</si>
  <si>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</si>
  <si>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</si>
  <si>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</si>
  <si>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</si>
  <si>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</si>
  <si>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</si>
  <si>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</si>
  <si>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</si>
  <si>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</si>
  <si>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</si>
  <si>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</si>
  <si>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</si>
  <si>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</si>
  <si>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</si>
  <si>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</si>
  <si>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</si>
  <si>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</si>
  <si>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</si>
  <si>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</si>
  <si>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</si>
  <si>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</si>
  <si>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</si>
  <si>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</si>
  <si>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</si>
  <si>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</si>
  <si>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</si>
  <si>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</si>
  <si>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</si>
  <si>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</si>
  <si>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</si>
  <si>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</si>
  <si>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</si>
  <si>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</si>
  <si>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</si>
  <si>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</si>
  <si>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</si>
  <si>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</si>
  <si>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</si>
  <si>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</si>
  <si>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</si>
  <si>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</si>
  <si>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</si>
  <si>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</si>
  <si>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</si>
  <si>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</si>
  <si>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</si>
  <si>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</si>
  <si>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</si>
  <si>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</si>
  <si>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</si>
  <si>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</si>
  <si>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</si>
  <si>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</si>
  <si>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</si>
  <si>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</si>
  <si>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</si>
  <si>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</si>
  <si>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</si>
  <si>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</si>
  <si>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</si>
  <si>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</si>
  <si>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</si>
  <si>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</si>
  <si>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</si>
  <si>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</si>
  <si>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</si>
  <si>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</si>
  <si>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</si>
  <si>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</si>
  <si>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</si>
  <si>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</si>
  <si>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</si>
  <si>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</si>
  <si>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</si>
  <si>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</si>
  <si>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</si>
  <si>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</si>
  <si>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</si>
  <si>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</si>
  <si>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</si>
  <si>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</si>
  <si>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</si>
  <si>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</si>
  <si>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</si>
  <si>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</si>
  <si>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</si>
  <si>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</si>
  <si>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</si>
  <si>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</si>
  <si>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</si>
  <si>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</si>
  <si>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</si>
  <si>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</si>
  <si>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</si>
  <si>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</si>
  <si>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</si>
  <si>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</si>
  <si>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</si>
  <si>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</si>
  <si>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</si>
  <si>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</si>
  <si>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</si>
  <si>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</si>
  <si>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</si>
  <si>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</si>
  <si>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</si>
  <si>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</si>
  <si>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</si>
  <si>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</si>
  <si>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</si>
  <si>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</si>
  <si>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</si>
  <si>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</si>
  <si>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</si>
  <si>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</si>
  <si>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</si>
  <si>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</si>
  <si>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</si>
  <si>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</si>
  <si>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</si>
  <si>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</si>
  <si>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</si>
  <si>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</si>
  <si>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</si>
  <si>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</si>
  <si>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</si>
  <si>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</si>
  <si>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</si>
  <si>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</si>
  <si>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</si>
  <si>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</si>
  <si>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</si>
  <si>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</si>
  <si>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</si>
  <si>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</si>
  <si>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</si>
  <si>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</si>
  <si>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</si>
  <si>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</si>
  <si>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</si>
  <si>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</si>
  <si>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</si>
  <si>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</si>
  <si>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</si>
  <si>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</si>
  <si>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</si>
  <si>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</si>
  <si>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</si>
  <si>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</si>
  <si>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</si>
  <si>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</si>
  <si>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</si>
  <si>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</si>
  <si>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</si>
  <si>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</si>
  <si>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</si>
  <si>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</si>
  <si>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</si>
  <si>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</si>
  <si>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</si>
  <si>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</si>
  <si>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</si>
  <si>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</si>
  <si>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</si>
  <si>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</si>
  <si>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</si>
  <si>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</si>
  <si>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</si>
  <si>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</si>
  <si>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</si>
  <si>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</si>
  <si>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</si>
  <si>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</si>
  <si>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</si>
  <si>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</si>
  <si>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</si>
  <si>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</si>
  <si>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</si>
  <si>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</si>
  <si>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</si>
  <si>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</si>
  <si>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</si>
  <si>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</si>
  <si>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</si>
  <si>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</si>
  <si>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</si>
  <si>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</si>
  <si>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</si>
  <si>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</si>
  <si>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</si>
  <si>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</si>
  <si>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</si>
  <si>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</si>
  <si>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</si>
  <si>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</si>
  <si>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</si>
  <si>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</si>
  <si>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</si>
  <si>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</si>
  <si>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</si>
  <si>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</si>
  <si>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</si>
  <si>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</si>
  <si>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</si>
  <si>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</si>
  <si>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</si>
  <si>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</si>
  <si>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</si>
  <si>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</si>
  <si>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</si>
  <si>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</si>
  <si>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</si>
  <si>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</si>
  <si>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</si>
  <si>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</si>
  <si>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</si>
  <si>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</si>
  <si>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</si>
  <si>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</si>
  <si>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</si>
  <si>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</si>
  <si>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</si>
  <si>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</si>
  <si>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</si>
  <si>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</si>
  <si>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</si>
  <si>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</si>
  <si>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</si>
  <si>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</si>
  <si>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</si>
  <si>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</si>
  <si>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</si>
  <si>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</si>
  <si>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</si>
  <si>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</si>
  <si>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</si>
  <si>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</si>
  <si>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</si>
  <si>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</si>
  <si>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</si>
  <si>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</si>
  <si>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</si>
  <si>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</si>
  <si>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</si>
  <si>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</si>
  <si>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</si>
  <si>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</si>
  <si>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</si>
  <si>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</si>
  <si>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</si>
  <si>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</si>
  <si>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</si>
  <si>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</si>
  <si>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</si>
  <si>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</si>
  <si>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</si>
  <si>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</si>
  <si>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</si>
  <si>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</si>
  <si>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</si>
  <si>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</si>
  <si>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</si>
  <si>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</si>
  <si>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</si>
  <si>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</si>
  <si>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</si>
  <si>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</si>
  <si>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</si>
  <si>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</si>
  <si>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</si>
  <si>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</si>
  <si>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</si>
  <si>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</si>
  <si>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</si>
  <si>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</si>
  <si>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</si>
  <si>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</si>
  <si>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</si>
  <si>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</si>
  <si>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</si>
  <si>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</si>
  <si>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</si>
  <si>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</si>
  <si>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</si>
  <si>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</si>
  <si>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</si>
  <si>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</si>
  <si>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</si>
  <si>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</si>
  <si>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</si>
  <si>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</si>
  <si>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</si>
  <si>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</si>
  <si>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</si>
  <si>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</si>
  <si>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</si>
  <si>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</si>
  <si>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</si>
  <si>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</si>
  <si>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</si>
  <si>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</si>
  <si>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</si>
  <si>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</si>
  <si>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</si>
  <si>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</si>
  <si>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</si>
  <si>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</si>
  <si>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</si>
  <si>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</si>
  <si>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</si>
  <si>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</si>
  <si>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</si>
  <si>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</si>
  <si>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</si>
  <si>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</si>
  <si>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</si>
  <si>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</si>
  <si>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</si>
  <si>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</si>
  <si>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</si>
  <si>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</si>
  <si>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</si>
  <si>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</si>
  <si>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</si>
  <si>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</si>
  <si>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</si>
  <si>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</si>
  <si>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</si>
  <si>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</si>
  <si>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</si>
  <si>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</si>
  <si>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</si>
  <si>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</si>
  <si>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</si>
  <si>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</si>
  <si>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</si>
  <si>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</si>
  <si>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</si>
  <si>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</si>
  <si>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</si>
  <si>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</si>
  <si>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</si>
  <si>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</si>
  <si>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</si>
  <si>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</si>
  <si>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</si>
  <si>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</si>
  <si>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</si>
  <si>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</si>
  <si>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</si>
  <si>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</si>
  <si>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</si>
  <si>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</si>
  <si>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</si>
  <si>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</si>
  <si>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</si>
  <si>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</si>
  <si>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</si>
  <si>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</si>
  <si>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</si>
  <si>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</si>
  <si>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</si>
  <si>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</si>
  <si>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</si>
  <si>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</si>
  <si>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</si>
  <si>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</si>
  <si>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</si>
  <si>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</si>
  <si>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</si>
  <si>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</si>
  <si>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</si>
  <si>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</si>
  <si>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</si>
  <si>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</si>
  <si>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</si>
  <si>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</si>
  <si>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</si>
  <si>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</si>
  <si>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</si>
  <si>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</si>
  <si>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</si>
  <si>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</si>
  <si>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</si>
  <si>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</si>
  <si>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</si>
  <si>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</si>
  <si>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</si>
  <si>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</si>
  <si>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</si>
  <si>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</si>
  <si>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</si>
  <si>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</si>
  <si>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</si>
  <si>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</si>
  <si>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</si>
  <si>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</si>
  <si>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</si>
  <si>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</si>
  <si>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</si>
  <si>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</si>
  <si>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</si>
  <si>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</si>
  <si>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</si>
  <si>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</si>
  <si>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</si>
  <si>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</si>
  <si>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</si>
  <si>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</si>
  <si>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</si>
  <si>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</si>
  <si>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</si>
  <si>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</si>
  <si>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</si>
  <si>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</si>
  <si>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</si>
  <si>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</si>
  <si>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</si>
  <si>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</si>
  <si>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</si>
  <si>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</si>
  <si>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</si>
  <si>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</si>
  <si>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</si>
  <si>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</si>
  <si>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</si>
  <si>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</si>
  <si>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</si>
  <si>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</si>
  <si>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</si>
  <si>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</si>
  <si>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</si>
  <si>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</si>
  <si>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</si>
  <si>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</si>
  <si>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</si>
  <si>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</si>
  <si>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</si>
  <si>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</si>
  <si>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</si>
  <si>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</si>
  <si>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</si>
  <si>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</si>
  <si>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</si>
  <si>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</si>
  <si>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</si>
  <si>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</si>
  <si>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</si>
  <si>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</si>
  <si>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</si>
  <si>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</si>
  <si>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</si>
  <si>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</si>
  <si>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</si>
  <si>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</si>
  <si>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</si>
  <si>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</si>
  <si>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</si>
  <si>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</si>
  <si>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</si>
  <si>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</si>
  <si>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</si>
  <si>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</si>
  <si>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</si>
  <si>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</si>
  <si>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</si>
  <si>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</si>
  <si>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</si>
  <si>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</si>
  <si>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</si>
  <si>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</si>
  <si>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</si>
  <si>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</si>
  <si>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</si>
  <si>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</si>
  <si>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</si>
  <si>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</si>
  <si>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</si>
  <si>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</si>
  <si>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</si>
  <si>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</si>
  <si>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</si>
  <si>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</si>
  <si>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</si>
  <si>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</si>
  <si>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</si>
  <si>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</si>
  <si>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</si>
  <si>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</si>
  <si>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</si>
  <si>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</si>
  <si>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</si>
  <si>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</si>
  <si>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</si>
  <si>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</si>
  <si>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</si>
  <si>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</si>
  <si>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</si>
  <si>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</si>
  <si>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</si>
  <si>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</si>
  <si>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</si>
  <si>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</si>
  <si>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</si>
  <si>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</si>
  <si>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</si>
  <si>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</si>
  <si>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</si>
  <si>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</si>
  <si>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</si>
  <si>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</si>
  <si>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</si>
  <si>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</si>
  <si>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</si>
  <si>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</si>
  <si>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</si>
  <si>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</si>
  <si>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</si>
  <si>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</si>
  <si>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</si>
  <si>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</si>
  <si>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</si>
  <si>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</si>
  <si>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</si>
  <si>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</si>
  <si>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</si>
  <si>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</si>
  <si>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</si>
  <si>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</si>
  <si>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</si>
  <si>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</si>
  <si>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</si>
  <si>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</si>
  <si>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</si>
  <si>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</si>
  <si>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</si>
  <si>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</si>
  <si>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</si>
  <si>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</si>
  <si>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</si>
  <si>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</si>
  <si>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</si>
  <si>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</si>
  <si>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</si>
  <si>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</si>
  <si>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</si>
  <si>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</si>
  <si>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</si>
  <si>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</si>
  <si>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</si>
  <si>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</si>
  <si>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</si>
  <si>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</si>
  <si>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</si>
  <si>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</si>
  <si>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</si>
  <si>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</si>
  <si>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</si>
  <si>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</si>
  <si>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</si>
  <si>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</si>
  <si>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</si>
  <si>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</si>
  <si>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</si>
  <si>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</si>
  <si>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</si>
  <si>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</si>
  <si>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</si>
  <si>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</si>
  <si>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</si>
  <si>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</si>
  <si>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</si>
  <si>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</si>
  <si>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</si>
  <si>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</si>
  <si>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</si>
  <si>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</si>
  <si>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</si>
  <si>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</si>
  <si>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</si>
  <si>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</si>
  <si>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</si>
  <si>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</si>
  <si>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</si>
  <si>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租金比较法-办公</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</si>
  <si>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</si>
  <si>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</si>
  <si>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</si>
  <si>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</si>
  <si>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</si>
  <si>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</si>
  <si>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</si>
  <si>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</si>
  <si>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</si>
  <si>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</si>
  <si>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</si>
  <si>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</si>
  <si>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</si>
  <si>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</si>
  <si>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</si>
  <si>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</si>
  <si>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</si>
  <si>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</si>
  <si>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</si>
  <si>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</si>
  <si>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</si>
  <si>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</si>
  <si>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</si>
  <si>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</si>
  <si>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</si>
  <si>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</si>
  <si>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</si>
  <si>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</si>
  <si>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</si>
  <si>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</si>
  <si>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</si>
  <si>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</si>
  <si>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</si>
  <si>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</si>
  <si>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</si>
  <si>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</si>
  <si>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</si>
  <si>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</si>
  <si>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</si>
  <si>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</si>
  <si>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</si>
  <si>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</si>
  <si>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</si>
  <si>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</si>
  <si>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</si>
  <si>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</si>
  <si>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</si>
  <si>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</si>
  <si>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</si>
  <si>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</si>
  <si>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</si>
  <si>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</si>
  <si>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</si>
  <si>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</si>
  <si>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</si>
  <si>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</si>
  <si>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</si>
  <si>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</si>
  <si>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</si>
  <si>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</si>
  <si>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</si>
  <si>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</si>
  <si>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</si>
  <si>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</si>
  <si>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</si>
  <si>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</si>
  <si>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</si>
  <si>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</si>
  <si>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</si>
  <si>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</si>
  <si>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</si>
  <si>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</si>
  <si>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</si>
  <si>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</si>
  <si>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</si>
  <si>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</si>
  <si>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</si>
  <si>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</si>
  <si>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</si>
  <si>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</si>
  <si>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</si>
  <si>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</si>
  <si>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</si>
  <si>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</si>
  <si>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</si>
  <si>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</si>
  <si>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</si>
  <si>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</si>
  <si>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</si>
  <si>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</si>
  <si>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</si>
  <si>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</si>
  <si>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</si>
  <si>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</si>
  <si>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</si>
  <si>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</si>
  <si>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</si>
  <si>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</si>
  <si>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</si>
  <si>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</si>
  <si>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</si>
  <si>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</si>
  <si>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</si>
  <si>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</si>
  <si>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</si>
  <si>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</si>
  <si>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</si>
  <si>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</si>
  <si>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</si>
  <si>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</si>
  <si>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</si>
  <si>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</si>
  <si>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</si>
  <si>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</si>
  <si>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</si>
  <si>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</si>
  <si>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</si>
  <si>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</si>
  <si>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</si>
  <si>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</si>
  <si>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</si>
  <si>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</si>
  <si>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</si>
  <si>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</si>
  <si>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</si>
  <si>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</si>
  <si>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</si>
  <si>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</si>
  <si>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</si>
  <si>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陈颖</t>
  </si>
  <si>
    <t>核定资产</t>
  </si>
  <si>
    <t>房地产市场价值</t>
  </si>
  <si>
    <t>北京市</t>
  </si>
  <si>
    <t>企业</t>
  </si>
  <si>
    <t>现房</t>
  </si>
  <si>
    <t>通路</t>
  </si>
  <si>
    <t>通电</t>
  </si>
  <si>
    <t>通讯</t>
  </si>
  <si>
    <t>通上水</t>
  </si>
  <si>
    <t>通下水</t>
  </si>
  <si>
    <t>平整</t>
  </si>
  <si>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
    </r>
    <phoneticPr fontId="6" type="noConversion"/>
  </si>
  <si>
    <t>是</t>
  </si>
  <si>
    <t>地上</t>
  </si>
  <si>
    <t>成新度</t>
  </si>
  <si>
    <t>项目局部</t>
  </si>
  <si>
    <t>收益法倒推-办公</t>
  </si>
  <si>
    <t>售价</t>
  </si>
  <si>
    <t>与级别开发程度不一致</t>
  </si>
  <si>
    <t>按公示增长率计算</t>
  </si>
  <si>
    <t>一般</t>
  </si>
  <si>
    <t>好</t>
  </si>
  <si>
    <t>较好</t>
  </si>
  <si>
    <t>未包含在土地购买价格中</t>
  </si>
  <si>
    <t>已包含在土地取得成本中</t>
  </si>
  <si>
    <t>挂牌</t>
  </si>
  <si>
    <t>挂牌</t>
    <phoneticPr fontId="32" type="noConversion"/>
  </si>
  <si>
    <t>办公</t>
    <phoneticPr fontId="32" type="noConversion"/>
  </si>
  <si>
    <t>30-40（含）</t>
  </si>
  <si>
    <t>五通</t>
  </si>
  <si>
    <t>楼层</t>
    <phoneticPr fontId="32" type="noConversion"/>
  </si>
  <si>
    <t>高速</t>
    <rPh sb="0" eb="1">
      <t>gao su</t>
    </rPh>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</si>
  <si>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</si>
  <si>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</si>
  <si>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</si>
  <si>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钢混</t>
  </si>
  <si>
    <t>钢混</t>
    <phoneticPr fontId="32" type="noConversion"/>
  </si>
  <si>
    <t>精装修</t>
  </si>
  <si>
    <t>甲级</t>
    <phoneticPr fontId="32" type="noConversion"/>
  </si>
  <si>
    <t>物业公司管理</t>
  </si>
  <si>
    <t>物业公司管理</t>
    <phoneticPr fontId="32" type="noConversion"/>
  </si>
  <si>
    <t>五通</t>
    <phoneticPr fontId="32" type="noConversion"/>
  </si>
  <si>
    <t>简单装修</t>
  </si>
  <si>
    <t>标准层高</t>
  </si>
  <si>
    <t>标准层高</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</si>
  <si>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</si>
  <si>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</si>
  <si>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</si>
  <si>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</si>
  <si>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</si>
  <si>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挂牌</t>
    <phoneticPr fontId="140" type="noConversion"/>
  </si>
  <si>
    <t>楼层</t>
    <phoneticPr fontId="140" type="noConversion"/>
  </si>
  <si>
    <r>
      <rPr>
        <sz val="11"/>
        <color indexed="8"/>
        <rFont val="宋体"/>
        <family val="3"/>
        <charset val="134"/>
      </rPr>
      <t>中楼层</t>
    </r>
    <r>
      <rPr>
        <sz val="11"/>
        <color indexed="8"/>
        <rFont val="Arial"/>
        <family val="2"/>
      </rPr>
      <t>/15</t>
    </r>
    <phoneticPr fontId="140" type="noConversion"/>
  </si>
  <si>
    <r>
      <rPr>
        <sz val="11"/>
        <color indexed="8"/>
        <rFont val="宋体"/>
        <family val="3"/>
        <charset val="134"/>
      </rPr>
      <t>中楼层</t>
    </r>
    <r>
      <rPr>
        <sz val="11"/>
        <color indexed="8"/>
        <rFont val="Arial"/>
        <family val="2"/>
      </rPr>
      <t>/20</t>
    </r>
    <phoneticPr fontId="140" type="noConversion"/>
  </si>
  <si>
    <r>
      <rPr>
        <sz val="11"/>
        <color indexed="8"/>
        <rFont val="宋体"/>
        <family val="3"/>
        <charset val="134"/>
      </rPr>
      <t>低楼层</t>
    </r>
    <r>
      <rPr>
        <sz val="11"/>
        <color indexed="8"/>
        <rFont val="Arial"/>
        <family val="2"/>
      </rPr>
      <t>/15</t>
    </r>
    <phoneticPr fontId="140" type="noConversion"/>
  </si>
  <si>
    <t>办公</t>
    <phoneticPr fontId="140" type="noConversion"/>
  </si>
  <si>
    <t>建成年份</t>
    <phoneticPr fontId="140" type="noConversion"/>
  </si>
  <si>
    <t>复印件</t>
  </si>
  <si>
    <t>2020-4</t>
    <phoneticPr fontId="140" type="noConversion"/>
  </si>
  <si>
    <t>2020-3</t>
    <phoneticPr fontId="3" type="noConversion"/>
  </si>
  <si>
    <t>房型</t>
    <phoneticPr fontId="32" type="noConversion"/>
  </si>
  <si>
    <t>全部缴纳</t>
  </si>
  <si>
    <t>叶凌</t>
  </si>
  <si>
    <t>商务金融用地（商业类）</t>
  </si>
  <si>
    <t>不临58条商业街</t>
  </si>
  <si>
    <t>出让</t>
  </si>
  <si>
    <r>
      <rPr>
        <sz val="11"/>
        <rFont val="宋体"/>
        <family val="3"/>
        <charset val="134"/>
      </rPr>
      <t>估价对象位于</t>
    </r>
    <r>
      <rPr>
        <sz val="11"/>
        <rFont val="Arial"/>
        <family val="2"/>
      </rPr>
      <t>XX</t>
    </r>
    <r>
      <rPr>
        <sz val="11"/>
        <rFont val="宋体"/>
        <family val="3"/>
        <charset val="134"/>
      </rPr>
      <t>商圈，周边商业氛围成熟，人流量大，商业繁华度好</t>
    </r>
    <phoneticPr fontId="32" type="noConversion"/>
  </si>
  <si>
    <t>收益法倒推-商业</t>
  </si>
  <si>
    <t>收益法倒推-商业</t>
    <phoneticPr fontId="16" type="noConversion"/>
  </si>
  <si>
    <t>售价比较法-商业</t>
    <phoneticPr fontId="16" type="noConversion"/>
  </si>
  <si>
    <t>租金比较法-商业</t>
    <phoneticPr fontId="16" type="noConversion"/>
  </si>
  <si>
    <r>
      <t>1</t>
    </r>
    <r>
      <rPr>
        <sz val="11"/>
        <color indexed="8"/>
        <rFont val="宋体"/>
        <family val="3"/>
        <charset val="134"/>
      </rPr>
      <t>层</t>
    </r>
    <phoneticPr fontId="31" type="noConversion"/>
  </si>
  <si>
    <t>单面临街</t>
  </si>
  <si>
    <t>单面临街</t>
    <phoneticPr fontId="31" type="noConversion"/>
  </si>
  <si>
    <t>双面临街</t>
    <phoneticPr fontId="31" type="noConversion"/>
  </si>
  <si>
    <t>商业街</t>
    <phoneticPr fontId="31" type="noConversion"/>
  </si>
  <si>
    <t>钢混</t>
    <phoneticPr fontId="31" type="noConversion"/>
  </si>
  <si>
    <t>精装修</t>
    <phoneticPr fontId="31" type="noConversion"/>
  </si>
  <si>
    <t>五通</t>
    <phoneticPr fontId="31" type="noConversion"/>
  </si>
  <si>
    <t>标准层高</t>
    <phoneticPr fontId="31" type="noConversion"/>
  </si>
  <si>
    <t>较适宜</t>
  </si>
  <si>
    <t>较适宜</t>
    <phoneticPr fontId="31" type="noConversion"/>
  </si>
  <si>
    <t>挂牌</t>
    <phoneticPr fontId="31" type="noConversion"/>
  </si>
  <si>
    <r>
      <t>估价对象</t>
    </r>
    <r>
      <rPr>
        <b/>
        <sz val="9"/>
        <color indexed="10"/>
        <rFont val="宋体"/>
        <family val="3"/>
        <charset val="134"/>
      </rPr>
      <t>1-2层商业用房</t>
    </r>
    <r>
      <rPr>
        <b/>
        <sz val="9"/>
        <rFont val="宋体"/>
        <family val="3"/>
        <charset val="134"/>
      </rPr>
      <t>结果一览表</t>
    </r>
    <phoneticPr fontId="3" type="noConversion"/>
  </si>
  <si>
    <t>中行</t>
    <phoneticPr fontId="6" type="noConversion"/>
  </si>
  <si>
    <t>否</t>
  </si>
  <si>
    <t>办公项目</t>
  </si>
  <si>
    <t>地上二层商业</t>
  </si>
  <si>
    <t>地上二层商业</t>
    <phoneticPr fontId="7" type="noConversion"/>
  </si>
  <si>
    <t>估价对象容积率</t>
  </si>
  <si>
    <t>楼层修正</t>
  </si>
  <si>
    <t>写字楼底商</t>
    <phoneticPr fontId="31" type="noConversion"/>
  </si>
  <si>
    <t>住宅底商</t>
    <phoneticPr fontId="31" type="noConversion"/>
  </si>
  <si>
    <t>普通装修</t>
    <phoneticPr fontId="31" type="noConversion"/>
  </si>
  <si>
    <t>毛坯</t>
    <phoneticPr fontId="31" type="noConversion"/>
  </si>
  <si>
    <t>建筑面积</t>
    <phoneticPr fontId="32" type="noConversion"/>
  </si>
  <si>
    <t>套内面积</t>
    <phoneticPr fontId="7" type="noConversion"/>
  </si>
  <si>
    <t>合计</t>
    <phoneticPr fontId="7" type="noConversion"/>
  </si>
  <si>
    <t>位置</t>
    <phoneticPr fontId="140" type="noConversion"/>
  </si>
  <si>
    <t>店铺/楼盘名称</t>
    <phoneticPr fontId="140" type="noConversion"/>
  </si>
  <si>
    <t>租/售</t>
    <phoneticPr fontId="140" type="noConversion"/>
  </si>
  <si>
    <t>总价（元）</t>
    <phoneticPr fontId="140" type="noConversion"/>
  </si>
  <si>
    <t>平安幸福中心</t>
    <phoneticPr fontId="140" type="noConversion"/>
  </si>
  <si>
    <t>丽泽商务区</t>
    <phoneticPr fontId="140" type="noConversion"/>
  </si>
  <si>
    <t>北京市丰台区北京西站南路与丽泽路交叉路口东南侧</t>
    <phoneticPr fontId="140" type="noConversion"/>
  </si>
  <si>
    <t>租</t>
    <phoneticPr fontId="140" type="noConversion"/>
  </si>
  <si>
    <t>-</t>
    <phoneticPr fontId="140" type="noConversion"/>
  </si>
  <si>
    <t>通用国际中心所在地周边商铺价格调研表</t>
    <phoneticPr fontId="140" type="noConversion"/>
  </si>
  <si>
    <r>
      <t>市场租金（元/</t>
    </r>
    <r>
      <rPr>
        <sz val="10"/>
        <color indexed="10"/>
        <rFont val="仿宋_GB2312"/>
        <family val="3"/>
        <charset val="134"/>
      </rPr>
      <t>建筑</t>
    </r>
    <r>
      <rPr>
        <sz val="10"/>
        <color indexed="8"/>
        <rFont val="仿宋_GB2312"/>
        <family val="3"/>
        <charset val="134"/>
      </rPr>
      <t>㎡·天）</t>
    </r>
    <phoneticPr fontId="3" type="noConversion"/>
  </si>
  <si>
    <t>使用面积比</t>
    <phoneticPr fontId="140" type="noConversion"/>
  </si>
  <si>
    <t>建筑面积（平方米）</t>
    <phoneticPr fontId="140" type="noConversion"/>
  </si>
  <si>
    <t>建筑面积单位租金（元/平方米/天）</t>
    <phoneticPr fontId="140" type="noConversion"/>
  </si>
  <si>
    <t>使用面积单位租金（元/平方米/天）</t>
    <phoneticPr fontId="140" type="noConversion"/>
  </si>
  <si>
    <t>丽泽SOHO</t>
    <phoneticPr fontId="140" type="noConversion"/>
  </si>
  <si>
    <t>北京市丰台区丽泽路20号院1号楼</t>
    <phoneticPr fontId="140" type="noConversion"/>
  </si>
  <si>
    <t>租</t>
    <phoneticPr fontId="140" type="noConversion"/>
  </si>
  <si>
    <t>-</t>
    <phoneticPr fontId="140" type="noConversion"/>
  </si>
  <si>
    <t>现代城</t>
    <phoneticPr fontId="32" type="noConversion"/>
  </si>
  <si>
    <t>佳兆业广场</t>
    <phoneticPr fontId="32" type="noConversion"/>
  </si>
  <si>
    <t>华贸中心</t>
    <phoneticPr fontId="32" type="noConversion"/>
  </si>
  <si>
    <t>金地中心</t>
    <phoneticPr fontId="32" type="noConversion"/>
  </si>
  <si>
    <t>40-50（含）</t>
  </si>
  <si>
    <t>1-2</t>
    <phoneticPr fontId="32" type="noConversion"/>
  </si>
  <si>
    <r>
      <rPr>
        <sz val="11"/>
        <color indexed="8"/>
        <rFont val="宋体"/>
        <family val="3"/>
        <charset val="134"/>
      </rPr>
      <t>高层</t>
    </r>
    <r>
      <rPr>
        <sz val="11"/>
        <color indexed="8"/>
        <rFont val="Arial"/>
        <family val="2"/>
      </rPr>
      <t>/31</t>
    </r>
    <phoneticPr fontId="32" type="noConversion"/>
  </si>
  <si>
    <r>
      <rPr>
        <sz val="11"/>
        <color indexed="8"/>
        <rFont val="宋体"/>
        <family val="3"/>
        <charset val="134"/>
      </rPr>
      <t>高层</t>
    </r>
    <r>
      <rPr>
        <sz val="11"/>
        <color indexed="8"/>
        <rFont val="Arial"/>
        <family val="2"/>
      </rPr>
      <t>/40</t>
    </r>
    <phoneticPr fontId="32" type="noConversion"/>
  </si>
  <si>
    <r>
      <rPr>
        <sz val="11"/>
        <color indexed="8"/>
        <rFont val="宋体"/>
        <family val="3"/>
        <charset val="134"/>
      </rPr>
      <t>高层</t>
    </r>
    <r>
      <rPr>
        <sz val="11"/>
        <color indexed="8"/>
        <rFont val="Arial"/>
        <family val="2"/>
      </rPr>
      <t>/31</t>
    </r>
    <phoneticPr fontId="32" type="noConversion"/>
  </si>
  <si>
    <r>
      <rPr>
        <sz val="11"/>
        <color indexed="8"/>
        <rFont val="宋体"/>
        <family val="3"/>
        <charset val="134"/>
      </rPr>
      <t>高层</t>
    </r>
    <r>
      <rPr>
        <sz val="11"/>
        <color indexed="8"/>
        <rFont val="Arial"/>
        <family val="2"/>
      </rPr>
      <t>/40</t>
    </r>
    <phoneticPr fontId="32" type="noConversion"/>
  </si>
  <si>
    <t>甲级写字楼</t>
  </si>
  <si>
    <t>甲级写字楼</t>
    <phoneticPr fontId="31" type="noConversion"/>
  </si>
  <si>
    <t>东方梅地亚</t>
    <phoneticPr fontId="32" type="noConversion"/>
  </si>
  <si>
    <t>泰达时代中心</t>
    <phoneticPr fontId="31" type="noConversion"/>
  </si>
  <si>
    <t>蓝堡国际中心</t>
    <phoneticPr fontId="32" type="noConversion"/>
  </si>
  <si>
    <t>办公</t>
    <phoneticPr fontId="31" type="noConversion"/>
  </si>
  <si>
    <t>双面临街</t>
  </si>
  <si>
    <t>中层</t>
  </si>
  <si>
    <t>中层</t>
    <phoneticPr fontId="31" type="noConversion"/>
  </si>
  <si>
    <t>高层</t>
  </si>
  <si>
    <t>高层</t>
    <phoneticPr fontId="31" type="noConversion"/>
  </si>
  <si>
    <r>
      <t>1-2</t>
    </r>
    <r>
      <rPr>
        <sz val="11"/>
        <color indexed="8"/>
        <rFont val="宋体"/>
        <family val="3"/>
        <charset val="134"/>
      </rPr>
      <t>层</t>
    </r>
    <phoneticPr fontId="31" type="noConversion"/>
  </si>
  <si>
    <t>1-2层</t>
  </si>
  <si>
    <t>标准写字楼</t>
  </si>
  <si>
    <t>标准写字楼</t>
    <phoneticPr fontId="31" type="noConversion"/>
  </si>
  <si>
    <t>展示面</t>
    <rPh sb="0" eb="1">
      <t>zhan shi mian</t>
    </rPh>
    <phoneticPr fontId="32" type="noConversion"/>
  </si>
  <si>
    <t>20-30米</t>
    <rPh sb="5" eb="6">
      <t>mi</t>
    </rPh>
    <phoneticPr fontId="32" type="noConversion"/>
  </si>
  <si>
    <t>较好</t>
    <rPh sb="0" eb="1">
      <t>jiao hao</t>
    </rPh>
    <phoneticPr fontId="31" type="noConversion"/>
  </si>
  <si>
    <t>一般</t>
    <rPh sb="0" eb="1">
      <t>yi ban</t>
    </rPh>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</si>
</sst>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71" x14ac:knownFonts="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DengXian"/>
      <family val="4"/>
      <charset val="134"/>
      <scheme val="minor"/>
    </font>
    <font>
      <sz val="10"/>
      <color rgb="FFFF0000"/>
      <name val="DengXian"/>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DengXian Light"/>
      <family val="4"/>
      <charset val="134"/>
      <scheme val="major"/>
    </font>
    <font>
      <sz val="10"/>
      <name val="DengXian Light"/>
      <family val="4"/>
      <charset val="134"/>
      <scheme val="major"/>
    </font>
    <font>
      <sz val="9"/>
      <color theme="1"/>
      <name val="DengXian"/>
      <family val="4"/>
      <charset val="134"/>
      <scheme val="minor"/>
    </font>
    <font>
      <sz val="10"/>
      <color theme="1"/>
      <name val="DengXian Light"/>
      <family val="4"/>
      <charset val="134"/>
      <scheme val="major"/>
    </font>
    <font>
      <sz val="10"/>
      <color indexed="10"/>
      <name val="仿宋_GB2312"/>
      <family val="3"/>
      <charset val="134"/>
    </font>
    <font>
      <b/>
      <sz val="9"/>
      <name val="DengXian"/>
      <family val="4"/>
      <charset val="134"/>
      <scheme val="minor"/>
    </font>
    <font>
      <b/>
      <sz val="9"/>
      <color indexed="10"/>
      <name val="宋体"/>
      <family val="3"/>
      <charset val="134"/>
    </font>
    <font>
      <b/>
      <sz val="9"/>
      <name val="宋体"/>
      <family val="3"/>
      <charset val="134"/>
    </font>
    <font>
      <sz val="9"/>
      <color rgb="FFFF0000"/>
      <name val="DengXian"/>
      <family val="4"/>
      <charset val="134"/>
      <scheme val="minor"/>
    </font>
    <font>
      <sz val="11"/>
      <color rgb="FFFF0000"/>
      <name val="DengXian"/>
      <family val="4"/>
      <charset val="134"/>
      <scheme val="minor"/>
    </font>
    <font>
      <u/>
      <sz val="11"/>
      <color theme="10"/>
      <name val="DengXian"/>
      <family val="3"/>
      <charset val="134"/>
      <scheme val="minor"/>
    </font>
    <font>
      <sz val="11"/>
      <color indexed="8"/>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00B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9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269" fillId="0" borderId="0" applyNumberFormat="0" applyFill="0" applyBorder="0" applyAlignment="0" applyProtection="0">
      <alignment vertical="center"/>
    </xf>
  </cellStyleXfs>
  <cellXfs count="36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0" xfId="10" applyFont="1" applyBorder="1" applyAlignment="1">
      <alignment vertical="center"/>
    </xf>
    <xf numFmtId="0" fontId="254" fillId="0" borderId="1" xfId="10" applyNumberFormat="1" applyFont="1" applyBorder="1" applyAlignment="1">
      <alignment horizontal="left" vertical="center" wrapText="1" shrinkToFit="1"/>
    </xf>
    <xf numFmtId="9" fontId="255" fillId="0" borderId="1" xfId="10" applyNumberFormat="1" applyFont="1" applyBorder="1" applyAlignment="1">
      <alignment horizontal="center" vertical="center" wrapText="1" shrinkToFit="1"/>
    </xf>
    <xf numFmtId="0" fontId="98" fillId="0" borderId="0" xfId="10" applyAlignment="1"/>
    <xf numFmtId="0" fontId="98" fillId="0" borderId="0" xfId="10" applyFont="1" applyAlignment="1">
      <alignment vertical="center" wrapText="1"/>
    </xf>
    <xf numFmtId="49" fontId="114" fillId="0" borderId="1" xfId="10" applyNumberFormat="1" applyFont="1" applyFill="1" applyBorder="1" applyAlignment="1">
      <alignment horizontal="center" vertical="center" wrapText="1" shrinkToFit="1"/>
    </xf>
    <xf numFmtId="0" fontId="114" fillId="0" borderId="1" xfId="10" applyFont="1" applyFill="1" applyBorder="1" applyAlignment="1">
      <alignment vertical="center" wrapText="1" shrinkToFit="1"/>
    </xf>
    <xf numFmtId="0" fontId="114" fillId="0" borderId="1" xfId="10" applyFont="1" applyFill="1" applyBorder="1" applyAlignment="1">
      <alignment horizontal="center" vertical="center" wrapText="1" shrinkToFit="1"/>
    </xf>
    <xf numFmtId="49" fontId="254" fillId="0" borderId="1" xfId="10" applyNumberFormat="1" applyFont="1" applyBorder="1" applyAlignment="1">
      <alignment horizontal="center" vertical="center" wrapText="1" shrinkToFit="1"/>
    </xf>
    <xf numFmtId="0" fontId="111" fillId="0" borderId="0" xfId="10" applyFont="1" applyAlignment="1">
      <alignment wrapTex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1" xfId="10" applyFont="1" applyBorder="1" applyAlignment="1">
      <alignment horizontal="left" vertical="center" wrapText="1" shrinkToFit="1"/>
    </xf>
    <xf numFmtId="179" fontId="114" fillId="0" borderId="1" xfId="10" applyNumberFormat="1" applyFont="1" applyBorder="1" applyAlignment="1">
      <alignment horizontal="center" vertical="center" wrapText="1" shrinkToFit="1"/>
    </xf>
    <xf numFmtId="0" fontId="111" fillId="0" borderId="0" xfId="10" applyFont="1" applyFill="1" applyAlignment="1">
      <alignment wrapText="1"/>
    </xf>
    <xf numFmtId="9" fontId="114" fillId="0" borderId="1" xfId="10" applyNumberFormat="1" applyFont="1" applyFill="1" applyBorder="1" applyAlignment="1">
      <alignment horizontal="left" vertical="center" wrapText="1" shrinkToFit="1"/>
    </xf>
    <xf numFmtId="9" fontId="259" fillId="0" borderId="1" xfId="10" applyNumberFormat="1" applyFont="1" applyFill="1" applyBorder="1" applyAlignment="1">
      <alignment horizontal="center" vertical="center" wrapText="1"/>
    </xf>
    <xf numFmtId="179" fontId="258" fillId="0" borderId="1" xfId="10" applyNumberFormat="1" applyFont="1" applyFill="1" applyBorder="1" applyAlignment="1">
      <alignment horizontal="center" vertical="center" wrapText="1" shrinkToFit="1"/>
    </xf>
    <xf numFmtId="0" fontId="114" fillId="0" borderId="0" xfId="10" applyFont="1" applyFill="1" applyBorder="1" applyAlignment="1">
      <alignment horizontal="center" vertical="center"/>
    </xf>
    <xf numFmtId="9" fontId="260" fillId="20" borderId="1" xfId="10" applyNumberFormat="1" applyFont="1" applyFill="1" applyBorder="1" applyAlignment="1">
      <alignment horizontal="center" vertical="center" wrapText="1"/>
    </xf>
    <xf numFmtId="0" fontId="98" fillId="0" borderId="0" xfId="10" applyFont="1" applyAlignment="1">
      <alignment vertical="center" wrapText="1" shrinkToFit="1"/>
    </xf>
    <xf numFmtId="179" fontId="114" fillId="0" borderId="0" xfId="10" applyNumberFormat="1" applyFont="1" applyBorder="1" applyAlignment="1">
      <alignment horizontal="center" vertical="center"/>
    </xf>
    <xf numFmtId="0" fontId="111" fillId="0" borderId="1" xfId="10" applyNumberFormat="1" applyFont="1" applyBorder="1" applyAlignment="1">
      <alignment vertical="center" wrapText="1"/>
    </xf>
    <xf numFmtId="0" fontId="111" fillId="0" borderId="1" xfId="10" applyNumberFormat="1" applyFont="1" applyBorder="1" applyAlignment="1">
      <alignment horizontal="center" vertical="center" wrapText="1"/>
    </xf>
    <xf numFmtId="9" fontId="254" fillId="0" borderId="1" xfId="10" applyNumberFormat="1" applyFont="1" applyFill="1" applyBorder="1" applyAlignment="1">
      <alignment horizontal="center" vertical="center" wrapText="1"/>
    </xf>
    <xf numFmtId="9" fontId="111" fillId="0" borderId="1" xfId="10" applyNumberFormat="1" applyFont="1" applyBorder="1" applyAlignment="1">
      <alignment horizontal="center" vertical="center" wrapText="1"/>
    </xf>
    <xf numFmtId="179" fontId="261" fillId="0" borderId="0" xfId="10" applyNumberFormat="1" applyFont="1" applyAlignment="1">
      <alignment vertical="center"/>
    </xf>
    <xf numFmtId="10" fontId="111" fillId="0" borderId="1" xfId="10" applyNumberFormat="1" applyFont="1" applyBorder="1" applyAlignment="1">
      <alignment horizontal="center" vertical="center" wrapText="1"/>
    </xf>
    <xf numFmtId="9" fontId="111" fillId="20" borderId="1" xfId="10" applyNumberFormat="1" applyFont="1" applyFill="1" applyBorder="1" applyAlignment="1">
      <alignment horizontal="center" vertical="center" wrapText="1"/>
    </xf>
    <xf numFmtId="10" fontId="117" fillId="0" borderId="1" xfId="10" applyNumberFormat="1" applyFont="1" applyBorder="1" applyAlignment="1">
      <alignment horizontal="center" vertical="center" wrapText="1"/>
    </xf>
    <xf numFmtId="0" fontId="111" fillId="0" borderId="1" xfId="10" applyFont="1" applyBorder="1" applyAlignment="1">
      <alignment wrapText="1"/>
    </xf>
    <xf numFmtId="0" fontId="98" fillId="0" borderId="0" xfId="10" applyFont="1" applyAlignment="1">
      <alignment vertical="center"/>
    </xf>
    <xf numFmtId="0" fontId="128" fillId="0" borderId="0" xfId="1" applyFont="1" applyBorder="1" applyAlignment="1" applyProtection="1">
      <alignment horizontal="left" vertical="center"/>
      <protection hidden="1"/>
    </xf>
    <xf numFmtId="179" fontId="261" fillId="0" borderId="0" xfId="10" applyNumberFormat="1" applyFont="1" applyAlignment="1">
      <alignment vertical="center" wrapText="1" shrinkToFit="1"/>
    </xf>
    <xf numFmtId="181" fontId="114" fillId="0" borderId="0" xfId="10" applyNumberFormat="1" applyFont="1" applyFill="1" applyBorder="1" applyAlignment="1">
      <alignment horizontal="center" vertical="center"/>
    </xf>
    <xf numFmtId="179" fontId="98" fillId="0" borderId="0" xfId="10" applyNumberFormat="1" applyFont="1" applyAlignment="1">
      <alignment vertical="center"/>
    </xf>
    <xf numFmtId="49" fontId="114" fillId="0" borderId="13" xfId="10" applyNumberFormat="1" applyFont="1" applyFill="1" applyBorder="1" applyAlignment="1">
      <alignment horizontal="center" vertical="center" wrapText="1" shrinkToFit="1"/>
    </xf>
    <xf numFmtId="0" fontId="114" fillId="0" borderId="13" xfId="10" applyFont="1" applyFill="1" applyBorder="1" applyAlignment="1">
      <alignment vertical="center" wrapText="1" shrinkToFi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180" fontId="114" fillId="0" borderId="54" xfId="10" applyNumberFormat="1" applyFont="1" applyFill="1" applyBorder="1" applyAlignment="1">
      <alignment horizontal="center" vertical="center" wrapText="1" shrinkToFit="1"/>
    </xf>
    <xf numFmtId="0" fontId="114" fillId="0" borderId="3" xfId="10" applyFont="1" applyFill="1" applyBorder="1" applyAlignment="1">
      <alignment horizontal="left" vertical="center" wrapText="1" shrinkToFit="1"/>
    </xf>
    <xf numFmtId="0" fontId="114" fillId="0" borderId="1" xfId="10" applyNumberFormat="1" applyFont="1" applyFill="1" applyBorder="1" applyAlignment="1">
      <alignment horizontal="center" vertical="center" wrapText="1" shrinkToFit="1"/>
    </xf>
    <xf numFmtId="10" fontId="114" fillId="0" borderId="1" xfId="10" applyNumberFormat="1" applyFont="1" applyFill="1" applyBorder="1" applyAlignment="1">
      <alignment horizontal="center" vertical="center" wrapText="1" shrinkToFit="1"/>
    </xf>
    <xf numFmtId="9" fontId="114" fillId="0" borderId="0" xfId="10" applyNumberFormat="1" applyFont="1" applyFill="1" applyBorder="1" applyAlignment="1">
      <alignment horizontal="center" vertical="center"/>
    </xf>
    <xf numFmtId="0" fontId="114" fillId="0" borderId="5" xfId="10" applyFont="1" applyFill="1" applyBorder="1" applyAlignment="1">
      <alignment horizontal="right" vertical="center" wrapText="1" shrinkToFit="1"/>
    </xf>
    <xf numFmtId="49" fontId="114" fillId="0" borderId="54" xfId="10" applyNumberFormat="1" applyFont="1" applyFill="1" applyBorder="1" applyAlignment="1">
      <alignment horizontal="center" vertical="center" wrapText="1" shrinkToFit="1"/>
    </xf>
    <xf numFmtId="10" fontId="115" fillId="0" borderId="0" xfId="10" applyNumberFormat="1" applyFont="1" applyFill="1" applyBorder="1" applyAlignment="1">
      <alignment horizontal="center" vertical="center"/>
    </xf>
    <xf numFmtId="0" fontId="262" fillId="0" borderId="0" xfId="10" applyFont="1" applyFill="1" applyAlignment="1">
      <alignment vertical="center"/>
    </xf>
    <xf numFmtId="183" fontId="114" fillId="0" borderId="0" xfId="10" applyNumberFormat="1" applyFont="1" applyFill="1" applyBorder="1" applyAlignment="1">
      <alignment horizontal="center" vertical="center"/>
    </xf>
    <xf numFmtId="10" fontId="114" fillId="0" borderId="0" xfId="10" applyNumberFormat="1" applyFont="1" applyFill="1" applyBorder="1" applyAlignment="1">
      <alignment horizontal="center" vertical="center"/>
    </xf>
    <xf numFmtId="0" fontId="98" fillId="0" borderId="0" xfId="10" applyAlignment="1">
      <alignment horizontal="left" vertical="center" wrapText="1"/>
    </xf>
    <xf numFmtId="0" fontId="98" fillId="0" borderId="0" xfId="10" applyFill="1" applyAlignment="1">
      <alignment vertical="center" wrapText="1"/>
    </xf>
    <xf numFmtId="0" fontId="98" fillId="0" borderId="0" xfId="10" applyAlignment="1">
      <alignment horizontal="center" vertical="center" wrapText="1"/>
    </xf>
    <xf numFmtId="0" fontId="98" fillId="0" borderId="0" xfId="10" applyAlignment="1">
      <alignment vertical="center" wrapText="1"/>
    </xf>
    <xf numFmtId="0" fontId="114" fillId="0" borderId="0" xfId="10" applyFont="1" applyBorder="1" applyAlignment="1">
      <alignment horizontal="center" vertical="center"/>
    </xf>
    <xf numFmtId="0" fontId="261" fillId="0" borderId="0" xfId="10" applyFont="1" applyAlignment="1">
      <alignment horizontal="center" vertical="center" wrapText="1"/>
    </xf>
    <xf numFmtId="0" fontId="261" fillId="0" borderId="0" xfId="10" applyFont="1" applyAlignment="1">
      <alignment vertical="center" wrapText="1"/>
    </xf>
    <xf numFmtId="0" fontId="140" fillId="0" borderId="1" xfId="10" applyFont="1" applyBorder="1" applyAlignment="1">
      <alignment horizontal="center" vertical="center" wrapText="1"/>
    </xf>
    <xf numFmtId="0" fontId="140" fillId="0" borderId="1" xfId="10" applyFont="1" applyFill="1" applyBorder="1" applyAlignment="1">
      <alignment horizontal="center" vertical="center" wrapText="1"/>
    </xf>
    <xf numFmtId="9" fontId="140" fillId="0" borderId="1" xfId="10" applyNumberFormat="1" applyFont="1" applyFill="1" applyBorder="1" applyAlignment="1">
      <alignment horizontal="center" vertical="center" wrapText="1"/>
    </xf>
    <xf numFmtId="0" fontId="267" fillId="0" borderId="0" xfId="10" applyFont="1" applyFill="1" applyAlignment="1">
      <alignment horizontal="center" vertical="center" wrapText="1"/>
    </xf>
    <xf numFmtId="0" fontId="261" fillId="0" borderId="1" xfId="10" applyFont="1" applyBorder="1" applyAlignment="1">
      <alignment horizontal="center" vertical="center" wrapText="1"/>
    </xf>
    <xf numFmtId="0" fontId="261" fillId="0" borderId="0" xfId="10" applyFont="1" applyAlignment="1">
      <alignment horizontal="left" vertical="center" wrapText="1"/>
    </xf>
    <xf numFmtId="179" fontId="261" fillId="0" borderId="0" xfId="10" applyNumberFormat="1" applyFont="1" applyFill="1" applyAlignment="1">
      <alignment vertical="center" wrapText="1"/>
    </xf>
    <xf numFmtId="0" fontId="261" fillId="0" borderId="0" xfId="10" applyFont="1" applyFill="1" applyAlignment="1">
      <alignment vertical="center" wrapText="1"/>
    </xf>
    <xf numFmtId="0" fontId="98" fillId="0" borderId="0" xfId="10" applyFont="1" applyAlignment="1">
      <alignment horizontal="left" vertical="center" wrapText="1"/>
    </xf>
    <xf numFmtId="0" fontId="98" fillId="0" borderId="0" xfId="10" applyFont="1" applyFill="1" applyAlignment="1">
      <alignment vertical="center" wrapText="1"/>
    </xf>
    <xf numFmtId="0" fontId="98" fillId="0" borderId="0" xfId="10" applyFont="1" applyAlignment="1">
      <alignment horizontal="center" vertical="center" wrapText="1"/>
    </xf>
    <xf numFmtId="0" fontId="79" fillId="7" borderId="15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2"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24" xfId="0" applyFont="1" applyFill="1" applyBorder="1" applyAlignment="1" applyProtection="1">
      <alignment horizontal="center" vertical="center" wrapText="1"/>
      <protection locked="0"/>
    </xf>
    <xf numFmtId="0" fontId="53" fillId="6" borderId="34"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49" fillId="12" borderId="125" xfId="9" applyFont="1" applyFill="1" applyBorder="1" applyAlignment="1" applyProtection="1">
      <alignment horizontal="left" vertical="center" wrapText="1"/>
    </xf>
    <xf numFmtId="0" fontId="97" fillId="2" borderId="23"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49" fontId="53" fillId="0" borderId="54" xfId="0" applyNumberFormat="1" applyFont="1" applyFill="1" applyBorder="1" applyAlignment="1" applyProtection="1">
      <alignment horizontal="center" vertical="center" wrapText="1"/>
      <protection locked="0"/>
    </xf>
    <xf numFmtId="49" fontId="46" fillId="0" borderId="44" xfId="0" applyNumberFormat="1" applyFont="1" applyFill="1" applyBorder="1" applyAlignment="1" applyProtection="1">
      <alignment horizontal="center" vertical="center" wrapText="1"/>
      <protection locked="0"/>
    </xf>
    <xf numFmtId="0" fontId="104" fillId="2" borderId="23" xfId="0" applyNumberFormat="1" applyFont="1" applyFill="1" applyBorder="1" applyAlignment="1" applyProtection="1">
      <alignment horizontal="center" vertical="center" wrapText="1"/>
      <protection locked="0"/>
    </xf>
    <xf numFmtId="0" fontId="104" fillId="6" borderId="24" xfId="0" applyNumberFormat="1" applyFont="1" applyFill="1" applyBorder="1" applyAlignment="1" applyProtection="1">
      <alignment horizontal="center" vertical="center" wrapText="1"/>
    </xf>
    <xf numFmtId="0" fontId="104" fillId="6" borderId="5" xfId="0" applyNumberFormat="1" applyFont="1" applyFill="1" applyBorder="1" applyAlignment="1" applyProtection="1">
      <alignment horizontal="center" vertical="center" wrapText="1"/>
    </xf>
    <xf numFmtId="176" fontId="140" fillId="0" borderId="1" xfId="10" applyNumberFormat="1" applyFont="1" applyBorder="1" applyAlignment="1">
      <alignment horizontal="center" vertical="center" wrapText="1"/>
    </xf>
    <xf numFmtId="176" fontId="140" fillId="0" borderId="1" xfId="10" applyNumberFormat="1" applyFont="1" applyFill="1" applyBorder="1" applyAlignment="1">
      <alignment horizontal="center" vertical="center" wrapText="1"/>
    </xf>
    <xf numFmtId="0" fontId="71" fillId="9" borderId="14" xfId="0" applyFont="1" applyFill="1" applyBorder="1" applyAlignment="1" applyProtection="1">
      <alignment vertical="center" textRotation="255" wrapText="1"/>
    </xf>
    <xf numFmtId="0" fontId="46" fillId="9" borderId="5" xfId="0" applyFont="1" applyFill="1" applyBorder="1" applyAlignment="1" applyProtection="1">
      <alignment horizontal="center" vertical="center" wrapText="1"/>
    </xf>
    <xf numFmtId="0" fontId="46" fillId="9" borderId="37" xfId="0" applyNumberFormat="1" applyFont="1" applyFill="1" applyBorder="1" applyAlignment="1" applyProtection="1">
      <alignment horizontal="center" vertical="center" wrapText="1"/>
      <protection locked="0"/>
    </xf>
    <xf numFmtId="0" fontId="46" fillId="9" borderId="24" xfId="0" applyNumberFormat="1" applyFont="1" applyFill="1" applyBorder="1" applyAlignment="1" applyProtection="1">
      <alignment horizontal="center" vertical="center" wrapText="1"/>
    </xf>
    <xf numFmtId="0" fontId="46" fillId="9" borderId="3" xfId="0" applyNumberFormat="1" applyFont="1" applyFill="1" applyBorder="1" applyAlignment="1" applyProtection="1">
      <alignment horizontal="center" vertical="center" wrapText="1"/>
      <protection locked="0"/>
    </xf>
    <xf numFmtId="0" fontId="46" fillId="9" borderId="5" xfId="0" applyNumberFormat="1" applyFont="1" applyFill="1" applyBorder="1" applyAlignment="1" applyProtection="1">
      <alignment horizontal="center" vertical="center" wrapText="1"/>
    </xf>
    <xf numFmtId="0" fontId="46" fillId="9" borderId="23" xfId="0" applyNumberFormat="1" applyFont="1" applyFill="1" applyBorder="1" applyAlignment="1" applyProtection="1">
      <alignment horizontal="center" vertical="center" wrapText="1"/>
      <protection locked="0"/>
    </xf>
    <xf numFmtId="0" fontId="60" fillId="9" borderId="3" xfId="0" applyNumberFormat="1" applyFont="1" applyFill="1" applyBorder="1" applyAlignment="1" applyProtection="1">
      <alignment horizontal="center" vertical="center" wrapText="1"/>
    </xf>
    <xf numFmtId="181" fontId="51"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8"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3" fillId="9" borderId="1" xfId="0" applyNumberFormat="1" applyFont="1" applyFill="1" applyBorder="1" applyAlignment="1" applyProtection="1">
      <alignment horizontal="center" vertical="center"/>
    </xf>
    <xf numFmtId="0" fontId="53" fillId="9" borderId="24"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181" fontId="46" fillId="9" borderId="0" xfId="0" applyNumberFormat="1" applyFont="1" applyFill="1" applyBorder="1" applyAlignment="1" applyProtection="1">
      <alignment horizontal="center" vertical="center" wrapText="1"/>
      <protection locked="0"/>
    </xf>
    <xf numFmtId="0" fontId="46" fillId="9" borderId="0" xfId="0" applyFont="1" applyFill="1" applyBorder="1" applyAlignment="1" applyProtection="1">
      <alignment horizontal="center" vertical="center"/>
      <protection locked="0"/>
    </xf>
    <xf numFmtId="0" fontId="46" fillId="9" borderId="1" xfId="0" applyFont="1" applyFill="1" applyBorder="1" applyAlignment="1" applyProtection="1">
      <alignment horizontal="center" vertical="center" wrapText="1"/>
    </xf>
    <xf numFmtId="188" fontId="46" fillId="9" borderId="5" xfId="0" applyNumberFormat="1" applyFont="1" applyFill="1" applyBorder="1" applyAlignment="1" applyProtection="1">
      <alignment horizontal="center" vertical="center"/>
    </xf>
    <xf numFmtId="49" fontId="46" fillId="9" borderId="3" xfId="0" applyNumberFormat="1" applyFont="1" applyFill="1" applyBorder="1" applyAlignment="1" applyProtection="1">
      <alignment horizontal="center" vertical="center"/>
    </xf>
    <xf numFmtId="0" fontId="46" fillId="9" borderId="15" xfId="0" applyFont="1" applyFill="1" applyBorder="1" applyAlignment="1" applyProtection="1">
      <alignment horizontal="center" vertical="center"/>
    </xf>
    <xf numFmtId="0" fontId="46" fillId="9" borderId="1" xfId="0" applyFont="1" applyFill="1" applyBorder="1" applyAlignment="1" applyProtection="1">
      <alignment horizontal="center" vertical="center"/>
    </xf>
    <xf numFmtId="0" fontId="46" fillId="9" borderId="1" xfId="0" applyNumberFormat="1" applyFont="1" applyFill="1" applyBorder="1" applyAlignment="1" applyProtection="1">
      <alignment horizontal="center" vertical="center"/>
    </xf>
    <xf numFmtId="0" fontId="46" fillId="9" borderId="24" xfId="0" applyNumberFormat="1" applyFont="1" applyFill="1" applyBorder="1" applyAlignment="1" applyProtection="1">
      <alignment horizontal="center" vertical="center"/>
    </xf>
    <xf numFmtId="0" fontId="46" fillId="9" borderId="0" xfId="0" applyFont="1" applyFill="1" applyAlignment="1" applyProtection="1">
      <alignment horizontal="center" vertical="center"/>
      <protection locked="0"/>
    </xf>
    <xf numFmtId="0" fontId="60" fillId="17" borderId="3" xfId="0" applyNumberFormat="1" applyFont="1" applyFill="1" applyBorder="1" applyAlignment="1" applyProtection="1">
      <alignment horizontal="center" vertical="center" wrapText="1"/>
    </xf>
    <xf numFmtId="181" fontId="70" fillId="17" borderId="0" xfId="0" applyNumberFormat="1" applyFont="1" applyFill="1" applyBorder="1" applyAlignment="1" applyProtection="1">
      <alignment horizontal="center" vertical="center" wrapText="1"/>
      <protection locked="0"/>
    </xf>
    <xf numFmtId="0" fontId="53" fillId="17" borderId="0" xfId="0" applyFont="1" applyFill="1" applyBorder="1" applyAlignment="1" applyProtection="1">
      <alignment horizontal="center" vertical="center"/>
      <protection locked="0"/>
    </xf>
    <xf numFmtId="0" fontId="53" fillId="17" borderId="1" xfId="0" applyFont="1" applyFill="1" applyBorder="1" applyAlignment="1" applyProtection="1">
      <alignment horizontal="center" vertical="center" wrapText="1"/>
    </xf>
    <xf numFmtId="188" fontId="53" fillId="17" borderId="5" xfId="0" applyNumberFormat="1" applyFont="1" applyFill="1" applyBorder="1" applyAlignment="1" applyProtection="1">
      <alignment horizontal="center" vertical="center"/>
    </xf>
    <xf numFmtId="49" fontId="53" fillId="17" borderId="3" xfId="0" applyNumberFormat="1" applyFont="1" applyFill="1" applyBorder="1" applyAlignment="1" applyProtection="1">
      <alignment horizontal="center" vertical="center"/>
    </xf>
    <xf numFmtId="0" fontId="53" fillId="17" borderId="15" xfId="0" applyFont="1" applyFill="1" applyBorder="1" applyAlignment="1" applyProtection="1">
      <alignment horizontal="center" vertical="center"/>
    </xf>
    <xf numFmtId="0" fontId="53" fillId="17" borderId="1" xfId="0" applyFont="1" applyFill="1" applyBorder="1" applyAlignment="1" applyProtection="1">
      <alignment horizontal="center" vertical="center"/>
    </xf>
    <xf numFmtId="0" fontId="53" fillId="17" borderId="1" xfId="0" applyNumberFormat="1" applyFont="1" applyFill="1" applyBorder="1" applyAlignment="1" applyProtection="1">
      <alignment horizontal="center" vertical="center"/>
    </xf>
    <xf numFmtId="0" fontId="53" fillId="17" borderId="24" xfId="0" applyNumberFormat="1" applyFont="1" applyFill="1" applyBorder="1" applyAlignment="1" applyProtection="1">
      <alignment horizontal="center" vertical="center"/>
    </xf>
    <xf numFmtId="0" fontId="53" fillId="17" borderId="0" xfId="0" applyFont="1" applyFill="1" applyAlignment="1" applyProtection="1">
      <alignment horizontal="center" vertical="center"/>
      <protection locked="0"/>
    </xf>
    <xf numFmtId="0" fontId="261" fillId="0" borderId="0" xfId="10" applyFont="1" applyFill="1" applyAlignment="1">
      <alignment horizontal="center" vertical="center" wrapText="1"/>
    </xf>
    <xf numFmtId="9" fontId="98" fillId="0" borderId="0" xfId="10" applyNumberFormat="1" applyFont="1" applyFill="1" applyAlignment="1">
      <alignment vertical="center" wrapText="1"/>
    </xf>
    <xf numFmtId="0" fontId="267" fillId="0" borderId="0" xfId="10" applyFont="1" applyFill="1" applyAlignment="1">
      <alignment vertical="center" wrapText="1"/>
    </xf>
    <xf numFmtId="0" fontId="268" fillId="0" borderId="0" xfId="10" applyFont="1" applyFill="1" applyAlignment="1">
      <alignment vertical="center" wrapText="1"/>
    </xf>
    <xf numFmtId="184" fontId="46" fillId="0" borderId="73" xfId="0" applyNumberFormat="1" applyFont="1" applyFill="1" applyBorder="1" applyAlignment="1" applyProtection="1">
      <alignment horizontal="center" vertical="center" wrapText="1"/>
      <protection locked="0"/>
    </xf>
    <xf numFmtId="0" fontId="134" fillId="6" borderId="62" xfId="0"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2" fontId="261" fillId="0" borderId="0" xfId="10" applyNumberFormat="1" applyFont="1" applyFill="1" applyAlignment="1">
      <alignment horizontal="center" vertical="center" wrapText="1"/>
    </xf>
    <xf numFmtId="0" fontId="0" fillId="0" borderId="0" xfId="0" applyFill="1">
      <alignment vertical="center"/>
    </xf>
    <xf numFmtId="0" fontId="98" fillId="0" borderId="0" xfId="0" applyFont="1" applyFill="1">
      <alignment vertical="center"/>
    </xf>
    <xf numFmtId="0" fontId="269" fillId="0" borderId="0" xfId="51" applyFill="1">
      <alignment vertical="center"/>
    </xf>
    <xf numFmtId="31" fontId="98" fillId="0" borderId="0" xfId="10" applyNumberFormat="1" applyFont="1" applyAlignment="1">
      <alignment vertical="center"/>
    </xf>
    <xf numFmtId="14" fontId="49" fillId="7" borderId="13" xfId="0" applyNumberFormat="1" applyFont="1" applyFill="1" applyBorder="1" applyAlignment="1" applyProtection="1">
      <alignment horizontal="left" vertical="center"/>
      <protection locked="0"/>
    </xf>
    <xf numFmtId="0" fontId="49" fillId="22" borderId="1" xfId="0" applyFont="1" applyFill="1" applyBorder="1" applyAlignment="1" applyProtection="1">
      <alignment horizontal="center" vertical="center" wrapText="1"/>
      <protection locked="0"/>
    </xf>
    <xf numFmtId="0" fontId="97" fillId="0" borderId="0" xfId="0" applyFont="1" applyFill="1" applyAlignment="1" applyProtection="1">
      <alignment horizontal="center" vertical="center"/>
      <protection locked="0"/>
    </xf>
    <xf numFmtId="0" fontId="134" fillId="7" borderId="5" xfId="0" applyFont="1" applyFill="1" applyBorder="1" applyAlignment="1" applyProtection="1">
      <alignment horizontal="center" vertical="center" wrapText="1"/>
      <protection locked="0"/>
    </xf>
    <xf numFmtId="0" fontId="46" fillId="7" borderId="37" xfId="0" applyNumberFormat="1"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xf>
    <xf numFmtId="0" fontId="46" fillId="7" borderId="41" xfId="0" applyNumberFormat="1" applyFont="1" applyFill="1" applyBorder="1" applyAlignment="1" applyProtection="1">
      <alignment horizontal="center" vertical="center" wrapText="1"/>
      <protection locked="0"/>
    </xf>
    <xf numFmtId="0" fontId="46" fillId="7" borderId="5" xfId="0" applyNumberFormat="1" applyFont="1" applyFill="1" applyBorder="1" applyAlignment="1" applyProtection="1">
      <alignment horizontal="center" vertical="center" wrapText="1"/>
    </xf>
    <xf numFmtId="0" fontId="97" fillId="7" borderId="37" xfId="0" applyNumberFormat="1" applyFont="1" applyFill="1" applyBorder="1" applyAlignment="1" applyProtection="1">
      <alignment horizontal="center" vertical="center" wrapText="1"/>
      <protection locked="0"/>
    </xf>
    <xf numFmtId="0" fontId="53" fillId="7" borderId="24" xfId="0" applyNumberFormat="1" applyFont="1" applyFill="1" applyBorder="1" applyAlignment="1" applyProtection="1">
      <alignment horizontal="center" vertical="center" wrapText="1"/>
    </xf>
    <xf numFmtId="0" fontId="134" fillId="7" borderId="41" xfId="0" applyNumberFormat="1" applyFont="1" applyFill="1" applyBorder="1" applyAlignment="1" applyProtection="1">
      <alignment horizontal="center" vertical="center" wrapText="1"/>
      <protection locked="0"/>
    </xf>
    <xf numFmtId="0" fontId="53" fillId="7" borderId="5" xfId="0" applyNumberFormat="1" applyFont="1" applyFill="1" applyBorder="1" applyAlignment="1" applyProtection="1">
      <alignment horizontal="center" vertical="center" wrapText="1"/>
    </xf>
    <xf numFmtId="0" fontId="134" fillId="7" borderId="33" xfId="0" applyFont="1" applyFill="1" applyBorder="1" applyAlignment="1" applyProtection="1">
      <alignment horizontal="center" vertical="center" wrapText="1"/>
      <protection locked="0"/>
    </xf>
    <xf numFmtId="0" fontId="53" fillId="7" borderId="37" xfId="0" applyNumberFormat="1" applyFont="1" applyFill="1" applyBorder="1" applyAlignment="1" applyProtection="1">
      <alignment horizontal="center" vertical="center" wrapText="1"/>
      <protection locked="0"/>
    </xf>
    <xf numFmtId="0" fontId="53" fillId="7" borderId="49" xfId="0" applyNumberFormat="1" applyFont="1" applyFill="1" applyBorder="1" applyAlignment="1" applyProtection="1">
      <alignment horizontal="center" vertical="center" wrapText="1"/>
    </xf>
    <xf numFmtId="0" fontId="53" fillId="7" borderId="33" xfId="0" applyNumberFormat="1" applyFont="1" applyFill="1" applyBorder="1" applyAlignment="1" applyProtection="1">
      <alignment horizontal="center" vertical="center" wrapText="1"/>
    </xf>
    <xf numFmtId="0" fontId="48" fillId="23" borderId="14" xfId="0" applyFont="1" applyFill="1" applyBorder="1" applyAlignment="1" applyProtection="1">
      <alignment vertical="center" textRotation="255" wrapText="1"/>
    </xf>
    <xf numFmtId="0" fontId="52" fillId="23" borderId="14" xfId="0" applyFont="1" applyFill="1" applyBorder="1" applyAlignment="1" applyProtection="1">
      <alignment vertical="center" textRotation="255" wrapText="1"/>
    </xf>
    <xf numFmtId="0" fontId="52" fillId="23" borderId="12" xfId="0" applyFont="1" applyFill="1" applyBorder="1" applyAlignment="1" applyProtection="1">
      <alignment vertical="center" textRotation="255" wrapText="1"/>
    </xf>
    <xf numFmtId="0" fontId="46" fillId="5" borderId="0" xfId="0" applyFont="1" applyFill="1" applyProtection="1">
      <alignment vertical="center"/>
      <protection locked="0"/>
    </xf>
    <xf numFmtId="0" fontId="134" fillId="5" borderId="0" xfId="0" applyFont="1" applyFill="1" applyProtection="1">
      <alignment vertical="center"/>
      <protection locked="0"/>
    </xf>
    <xf numFmtId="0" fontId="98" fillId="0" borderId="0" xfId="0" applyFont="1" applyAlignment="1">
      <alignment vertical="center" wrapText="1"/>
    </xf>
    <xf numFmtId="9" fontId="258" fillId="5" borderId="1" xfId="10" applyNumberFormat="1" applyFont="1" applyFill="1" applyBorder="1" applyAlignment="1">
      <alignment horizontal="center" vertical="center" wrapText="1" shrinkToFit="1"/>
    </xf>
    <xf numFmtId="181" fontId="258" fillId="5" borderId="1" xfId="10" applyNumberFormat="1" applyFont="1" applyFill="1" applyBorder="1" applyAlignment="1">
      <alignment horizontal="center" vertical="center" wrapText="1" shrinkToFit="1"/>
    </xf>
    <xf numFmtId="0" fontId="114" fillId="5" borderId="1" xfId="10" applyFont="1" applyFill="1" applyBorder="1" applyAlignment="1">
      <alignment horizontal="center" vertical="center" wrapText="1" shrinkToFit="1"/>
    </xf>
    <xf numFmtId="9" fontId="0" fillId="0" borderId="0" xfId="0" applyNumberFormat="1" applyAlignment="1">
      <alignment vertical="center" wrapText="1"/>
    </xf>
    <xf numFmtId="49" fontId="270" fillId="0" borderId="41"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79"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197"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17" fillId="0" borderId="0" xfId="10" applyFont="1" applyFill="1" applyBorder="1" applyAlignment="1">
      <alignment horizontal="center" vertical="center" wrapText="1"/>
    </xf>
    <xf numFmtId="0" fontId="98" fillId="0" borderId="1" xfId="10" applyFont="1" applyBorder="1" applyAlignment="1">
      <alignment horizontal="center" vertical="center" wrapTex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0" fontId="114" fillId="0" borderId="3" xfId="10" applyFont="1" applyFill="1" applyBorder="1" applyAlignment="1">
      <alignment horizontal="center" vertical="center" wrapText="1" shrinkToFit="1"/>
    </xf>
    <xf numFmtId="0" fontId="114" fillId="0" borderId="1" xfId="10" applyFont="1" applyFill="1" applyBorder="1" applyAlignment="1">
      <alignment horizontal="center" vertical="center" wrapText="1" shrinkToFi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46" xfId="10" applyFont="1" applyFill="1" applyBorder="1" applyAlignment="1">
      <alignment horizontal="center" vertical="center" wrapText="1" shrinkToFit="1"/>
    </xf>
    <xf numFmtId="0" fontId="114" fillId="0" borderId="36" xfId="10" applyFont="1" applyFill="1" applyBorder="1" applyAlignment="1">
      <alignment horizontal="center" vertical="center" wrapText="1" shrinkToFit="1"/>
    </xf>
    <xf numFmtId="0" fontId="114" fillId="0" borderId="22" xfId="10" applyFont="1" applyFill="1" applyBorder="1" applyAlignment="1">
      <alignment horizontal="center" vertical="center" wrapText="1" shrinkToFit="1"/>
    </xf>
    <xf numFmtId="0" fontId="114" fillId="0" borderId="58" xfId="10" applyFont="1" applyFill="1" applyBorder="1" applyAlignment="1">
      <alignment horizontal="center" vertical="center" wrapText="1" shrinkToFit="1"/>
    </xf>
    <xf numFmtId="0" fontId="114" fillId="0" borderId="0" xfId="10" applyFont="1" applyFill="1" applyBorder="1" applyAlignment="1">
      <alignment horizontal="center" vertical="center" wrapText="1" shrinkToFit="1"/>
    </xf>
    <xf numFmtId="0" fontId="114" fillId="0" borderId="35" xfId="10" applyFont="1" applyFill="1" applyBorder="1" applyAlignment="1">
      <alignment horizontal="center" vertical="center" wrapText="1" shrinkToFit="1"/>
    </xf>
    <xf numFmtId="0" fontId="114" fillId="0" borderId="4" xfId="10" applyFont="1" applyFill="1" applyBorder="1" applyAlignment="1">
      <alignment horizontal="center" vertical="center" wrapText="1" shrinkToFit="1"/>
    </xf>
    <xf numFmtId="0" fontId="114" fillId="0" borderId="60" xfId="10" applyFont="1" applyFill="1" applyBorder="1" applyAlignment="1">
      <alignment horizontal="center" vertical="center" wrapText="1" shrinkToFit="1"/>
    </xf>
    <xf numFmtId="0" fontId="114" fillId="0" borderId="7" xfId="10" applyFont="1" applyFill="1" applyBorder="1" applyAlignment="1">
      <alignment horizontal="center" vertical="center" wrapText="1" shrinkToFit="1"/>
    </xf>
    <xf numFmtId="0" fontId="98" fillId="0" borderId="1" xfId="10" applyFont="1" applyBorder="1" applyAlignment="1">
      <alignment horizontal="center" vertical="center" wrapText="1" shrinkToFit="1"/>
    </xf>
    <xf numFmtId="181" fontId="114" fillId="0" borderId="1" xfId="10" applyNumberFormat="1" applyFont="1" applyFill="1" applyBorder="1" applyAlignment="1">
      <alignment horizontal="center" vertical="center" wrapText="1" shrinkToFit="1"/>
    </xf>
    <xf numFmtId="180" fontId="114" fillId="0" borderId="5" xfId="10" applyNumberFormat="1" applyFont="1" applyFill="1" applyBorder="1" applyAlignment="1">
      <alignment horizontal="right" vertical="center" wrapText="1" shrinkToFit="1"/>
    </xf>
    <xf numFmtId="180" fontId="114" fillId="0" borderId="54" xfId="10" applyNumberFormat="1" applyFont="1" applyFill="1" applyBorder="1" applyAlignment="1">
      <alignment horizontal="right" vertical="center" wrapText="1" shrinkToFit="1"/>
    </xf>
    <xf numFmtId="0" fontId="114" fillId="0" borderId="54" xfId="10" applyFont="1" applyFill="1" applyBorder="1" applyAlignment="1">
      <alignment horizontal="left" vertical="center" wrapText="1" shrinkToFit="1"/>
    </xf>
    <xf numFmtId="0" fontId="114" fillId="0" borderId="3" xfId="10" applyFont="1" applyFill="1" applyBorder="1" applyAlignment="1">
      <alignment horizontal="left" vertical="center" wrapText="1" shrinkToFit="1"/>
    </xf>
    <xf numFmtId="0" fontId="114" fillId="0" borderId="5" xfId="10" applyFont="1" applyFill="1" applyBorder="1" applyAlignment="1">
      <alignment horizontal="right" vertical="center" wrapText="1" shrinkToFit="1"/>
    </xf>
    <xf numFmtId="0" fontId="114" fillId="0" borderId="54" xfId="10" applyFont="1" applyFill="1" applyBorder="1" applyAlignment="1">
      <alignment horizontal="right" vertical="center" wrapText="1" shrinkToFit="1"/>
    </xf>
    <xf numFmtId="185" fontId="114" fillId="0" borderId="54" xfId="10" applyNumberFormat="1" applyFont="1" applyFill="1" applyBorder="1" applyAlignment="1">
      <alignment horizontal="left" vertical="center" wrapText="1" shrinkToFit="1"/>
    </xf>
    <xf numFmtId="10" fontId="114" fillId="0" borderId="3" xfId="10" applyNumberFormat="1" applyFont="1" applyFill="1" applyBorder="1" applyAlignment="1">
      <alignment horizontal="left" vertical="center" wrapText="1" shrinkToFit="1"/>
    </xf>
    <xf numFmtId="9" fontId="114" fillId="0" borderId="13" xfId="10" applyNumberFormat="1" applyFont="1" applyFill="1" applyBorder="1" applyAlignment="1">
      <alignment horizontal="left" vertical="center" wrapText="1" shrinkToFit="1"/>
    </xf>
    <xf numFmtId="9" fontId="114" fillId="0" borderId="2" xfId="10" applyNumberFormat="1" applyFont="1" applyFill="1" applyBorder="1" applyAlignment="1">
      <alignment horizontal="left" vertical="center" wrapText="1" shrinkToFit="1"/>
    </xf>
    <xf numFmtId="9" fontId="258" fillId="5" borderId="1" xfId="10" applyNumberFormat="1" applyFont="1" applyFill="1" applyBorder="1" applyAlignment="1">
      <alignment horizontal="center" vertical="center" wrapText="1" shrinkToFit="1"/>
    </xf>
    <xf numFmtId="0" fontId="114" fillId="0" borderId="5" xfId="10" applyNumberFormat="1" applyFont="1" applyFill="1" applyBorder="1" applyAlignment="1">
      <alignment horizontal="right" vertical="center" wrapText="1" shrinkToFit="1"/>
    </xf>
    <xf numFmtId="0" fontId="114" fillId="0" borderId="54" xfId="10" applyNumberFormat="1" applyFont="1" applyFill="1" applyBorder="1" applyAlignment="1">
      <alignment horizontal="right" vertical="center" wrapText="1" shrinkToFit="1"/>
    </xf>
    <xf numFmtId="10" fontId="114" fillId="7" borderId="54" xfId="10" applyNumberFormat="1" applyFont="1" applyFill="1" applyBorder="1" applyAlignment="1">
      <alignment horizontal="left" vertical="center" wrapText="1" shrinkToFit="1"/>
    </xf>
    <xf numFmtId="10" fontId="114" fillId="7" borderId="3" xfId="10" applyNumberFormat="1" applyFont="1" applyFill="1" applyBorder="1" applyAlignment="1">
      <alignment horizontal="left" vertical="center" wrapText="1" shrinkToFit="1"/>
    </xf>
    <xf numFmtId="10" fontId="114" fillId="0" borderId="1" xfId="10" applyNumberFormat="1" applyFont="1" applyFill="1" applyBorder="1" applyAlignment="1">
      <alignment horizontal="center" vertical="center" wrapText="1" shrinkToFit="1"/>
    </xf>
    <xf numFmtId="10" fontId="114" fillId="0" borderId="54" xfId="10" applyNumberFormat="1" applyFont="1" applyFill="1" applyBorder="1" applyAlignment="1">
      <alignment horizontal="left" vertical="center" wrapText="1" shrinkToFit="1"/>
    </xf>
    <xf numFmtId="10" fontId="114" fillId="0" borderId="5" xfId="10" applyNumberFormat="1" applyFont="1" applyFill="1" applyBorder="1" applyAlignment="1">
      <alignment horizontal="center" vertical="center" wrapText="1" shrinkToFit="1"/>
    </xf>
    <xf numFmtId="10" fontId="114" fillId="0" borderId="3" xfId="10" applyNumberFormat="1" applyFont="1" applyFill="1" applyBorder="1" applyAlignment="1">
      <alignment horizontal="center" vertical="center" wrapText="1" shrinkToFit="1"/>
    </xf>
    <xf numFmtId="183" fontId="114" fillId="0" borderId="1" xfId="10" applyNumberFormat="1" applyFont="1" applyFill="1" applyBorder="1" applyAlignment="1">
      <alignment horizontal="center" vertical="center" wrapText="1" shrinkToFit="1"/>
    </xf>
    <xf numFmtId="179" fontId="114" fillId="24" borderId="46" xfId="10" applyNumberFormat="1" applyFont="1" applyFill="1" applyBorder="1" applyAlignment="1">
      <alignment horizontal="center" vertical="center" wrapText="1" shrinkToFit="1"/>
    </xf>
    <xf numFmtId="179" fontId="114" fillId="24" borderId="36" xfId="10" applyNumberFormat="1" applyFont="1" applyFill="1" applyBorder="1" applyAlignment="1">
      <alignment horizontal="center" vertical="center" wrapText="1" shrinkToFit="1"/>
    </xf>
    <xf numFmtId="179" fontId="114" fillId="24" borderId="22" xfId="10" applyNumberFormat="1" applyFont="1" applyFill="1" applyBorder="1" applyAlignment="1">
      <alignment horizontal="center" vertical="center" wrapText="1" shrinkToFit="1"/>
    </xf>
    <xf numFmtId="179" fontId="114" fillId="24" borderId="4" xfId="10" applyNumberFormat="1" applyFont="1" applyFill="1" applyBorder="1" applyAlignment="1">
      <alignment horizontal="center" vertical="center" wrapText="1" shrinkToFit="1"/>
    </xf>
    <xf numFmtId="179" fontId="114" fillId="24" borderId="60" xfId="10" applyNumberFormat="1" applyFont="1" applyFill="1" applyBorder="1" applyAlignment="1">
      <alignment horizontal="center" vertical="center" wrapText="1" shrinkToFit="1"/>
    </xf>
    <xf numFmtId="179" fontId="114" fillId="24" borderId="7" xfId="10" applyNumberFormat="1" applyFont="1" applyFill="1" applyBorder="1" applyAlignment="1">
      <alignment horizontal="center" vertical="center" wrapText="1" shrinkToFit="1"/>
    </xf>
    <xf numFmtId="176" fontId="140" fillId="0" borderId="1" xfId="10" applyNumberFormat="1" applyFont="1" applyFill="1" applyBorder="1" applyAlignment="1">
      <alignment horizontal="center" vertical="center" wrapText="1"/>
    </xf>
    <xf numFmtId="0" fontId="264" fillId="21" borderId="0" xfId="10" applyFont="1" applyFill="1" applyBorder="1" applyAlignment="1">
      <alignment horizontal="center" vertical="center" wrapText="1"/>
    </xf>
    <xf numFmtId="0" fontId="140" fillId="0" borderId="1" xfId="10" applyFont="1" applyFill="1" applyBorder="1" applyAlignment="1">
      <alignment horizontal="center" vertical="center" wrapText="1"/>
    </xf>
    <xf numFmtId="179" fontId="140" fillId="0" borderId="1" xfId="10" applyNumberFormat="1" applyFont="1" applyFill="1" applyBorder="1" applyAlignment="1">
      <alignment horizontal="center" vertical="center" wrapText="1"/>
    </xf>
    <xf numFmtId="0" fontId="140" fillId="0" borderId="1" xfId="10" applyFont="1" applyBorder="1" applyAlignment="1">
      <alignment horizontal="center" vertical="center" wrapText="1"/>
    </xf>
    <xf numFmtId="179" fontId="140" fillId="0" borderId="5" xfId="10" applyNumberFormat="1" applyFont="1" applyFill="1" applyBorder="1" applyAlignment="1">
      <alignment horizontal="center" vertical="center" wrapText="1"/>
    </xf>
    <xf numFmtId="179" fontId="140" fillId="0" borderId="54" xfId="10" applyNumberFormat="1" applyFont="1" applyFill="1" applyBorder="1" applyAlignment="1">
      <alignment horizontal="center" vertical="center" wrapText="1"/>
    </xf>
    <xf numFmtId="179" fontId="140" fillId="0" borderId="3" xfId="10" applyNumberFormat="1" applyFont="1" applyFill="1" applyBorder="1" applyAlignment="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center" vertical="center" wrapText="1"/>
    </xf>
  </cellXfs>
  <cellStyles count="52">
    <cellStyle name="百分比 2" xfId="14"/>
    <cellStyle name="常规" xfId="0" builtinId="0"/>
    <cellStyle name="常规 11 2" xfId="17"/>
    <cellStyle name="常规 16" xfId="10"/>
    <cellStyle name="常规 2" xfId="1"/>
    <cellStyle name="常规 2 2" xfId="8"/>
    <cellStyle name="常规 2 2 2 2 3" xfId="15"/>
    <cellStyle name="常规 3" xfId="2"/>
    <cellStyle name="常规 3 10" xfId="18"/>
    <cellStyle name="常规 3 11" xfId="19"/>
    <cellStyle name="常规 3 12" xfId="20"/>
    <cellStyle name="常规 3 2" xfId="3"/>
    <cellStyle name="常规 3 2 2" xfId="21"/>
    <cellStyle name="常规 3 3" xfId="22"/>
    <cellStyle name="常规 3 4" xfId="23"/>
    <cellStyle name="常规 3 5" xfId="24"/>
    <cellStyle name="常规 3 6" xfId="25"/>
    <cellStyle name="常规 3 7" xfId="26"/>
    <cellStyle name="常规 3 8" xfId="27"/>
    <cellStyle name="常规 3 9" xfId="28"/>
    <cellStyle name="常规 4" xfId="4"/>
    <cellStyle name="常规 4 10" xfId="29"/>
    <cellStyle name="常规 4 11" xfId="30"/>
    <cellStyle name="常规 4 12" xfId="31"/>
    <cellStyle name="常规 4 2" xfId="32"/>
    <cellStyle name="常规 4 3" xfId="33"/>
    <cellStyle name="常规 4 4" xfId="34"/>
    <cellStyle name="常规 4 5" xfId="35"/>
    <cellStyle name="常规 4 6" xfId="36"/>
    <cellStyle name="常规 4 7" xfId="37"/>
    <cellStyle name="常规 4 8" xfId="38"/>
    <cellStyle name="常规 4 9" xfId="39"/>
    <cellStyle name="常规 5" xfId="5"/>
    <cellStyle name="常规 5 10" xfId="40"/>
    <cellStyle name="常规 5 11" xfId="41"/>
    <cellStyle name="常规 5 12" xfId="42"/>
    <cellStyle name="常规 5 2" xfId="43"/>
    <cellStyle name="常规 5 3" xfId="44"/>
    <cellStyle name="常规 5 4" xfId="45"/>
    <cellStyle name="常规 5 5" xfId="46"/>
    <cellStyle name="常规 5 6" xfId="47"/>
    <cellStyle name="常规 5 7" xfId="48"/>
    <cellStyle name="常规 5 8" xfId="49"/>
    <cellStyle name="常规 5 9" xfId="50"/>
    <cellStyle name="常规 6" xfId="6"/>
    <cellStyle name="常规 6 2" xfId="9"/>
    <cellStyle name="常规 6 2 2" xfId="16"/>
    <cellStyle name="常规 6 2 3" xfId="13"/>
    <cellStyle name="常规 7" xfId="7"/>
    <cellStyle name="常规 8" xfId="11"/>
    <cellStyle name="常规 9" xfId="12"/>
    <cellStyle name="超链接" xfId="51" builtinId="8"/>
  </cellStyles>
  <dxfs count="25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externalLink" Target="externalLinks/externalLink1.xml"/><Relationship Id="rId55" Type="http://schemas.openxmlformats.org/officeDocument/2006/relationships/externalLink" Target="externalLinks/externalLink2.xml"/><Relationship Id="rId56" Type="http://schemas.openxmlformats.org/officeDocument/2006/relationships/theme" Target="theme/theme1.xml"/><Relationship Id="rId57" Type="http://schemas.openxmlformats.org/officeDocument/2006/relationships/styles" Target="styles.xml"/><Relationship Id="rId58" Type="http://schemas.openxmlformats.org/officeDocument/2006/relationships/sharedStrings" Target="sharedStrings.xml"/><Relationship Id="rId59" Type="http://schemas.openxmlformats.org/officeDocument/2006/relationships/calcChain" Target="calcChain.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1" Type="http://schemas.openxmlformats.org/officeDocument/2006/relationships/image" Target="../media/image13.png"/><Relationship Id="rId12" Type="http://schemas.openxmlformats.org/officeDocument/2006/relationships/image" Target="../media/image14.png"/><Relationship Id="rId1" Type="http://schemas.openxmlformats.org/officeDocument/2006/relationships/image" Target="../media/image3.png"/><Relationship Id="rId2" Type="http://schemas.openxmlformats.org/officeDocument/2006/relationships/image" Target="../media/image4.png"/><Relationship Id="rId3" Type="http://schemas.openxmlformats.org/officeDocument/2006/relationships/image" Target="../media/image5.png"/><Relationship Id="rId4" Type="http://schemas.openxmlformats.org/officeDocument/2006/relationships/image" Target="../media/image6.png"/><Relationship Id="rId5" Type="http://schemas.openxmlformats.org/officeDocument/2006/relationships/image" Target="../media/image7.png"/><Relationship Id="rId6" Type="http://schemas.openxmlformats.org/officeDocument/2006/relationships/image" Target="../media/image8.png"/><Relationship Id="rId7" Type="http://schemas.openxmlformats.org/officeDocument/2006/relationships/image" Target="../media/image9.png"/><Relationship Id="rId8" Type="http://schemas.openxmlformats.org/officeDocument/2006/relationships/image" Target="../media/image10.png"/><Relationship Id="rId9" Type="http://schemas.openxmlformats.org/officeDocument/2006/relationships/image" Target="../media/image11.png"/><Relationship Id="rId10"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4" Type="http://schemas.openxmlformats.org/officeDocument/2006/relationships/image" Target="../media/image19.png"/><Relationship Id="rId5" Type="http://schemas.openxmlformats.org/officeDocument/2006/relationships/image" Target="../media/image20.png"/><Relationship Id="rId6" Type="http://schemas.openxmlformats.org/officeDocument/2006/relationships/image" Target="../media/image21.png"/><Relationship Id="rId7" Type="http://schemas.openxmlformats.org/officeDocument/2006/relationships/image" Target="../media/image22.png"/><Relationship Id="rId8" Type="http://schemas.openxmlformats.org/officeDocument/2006/relationships/image" Target="../media/image23.png"/><Relationship Id="rId9" Type="http://schemas.openxmlformats.org/officeDocument/2006/relationships/image" Target="../media/image24.png"/><Relationship Id="rId10" Type="http://schemas.openxmlformats.org/officeDocument/2006/relationships/image" Target="../media/image25.png"/><Relationship Id="rId11" Type="http://schemas.openxmlformats.org/officeDocument/2006/relationships/image" Target="../media/image26.png"/><Relationship Id="rId1" Type="http://schemas.openxmlformats.org/officeDocument/2006/relationships/image" Target="../media/image16.png"/><Relationship Id="rId2"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1" Type="http://schemas.openxmlformats.org/officeDocument/2006/relationships/image" Target="../media/image37.png"/><Relationship Id="rId12" Type="http://schemas.openxmlformats.org/officeDocument/2006/relationships/image" Target="../media/image38.png"/><Relationship Id="rId1" Type="http://schemas.openxmlformats.org/officeDocument/2006/relationships/image" Target="../media/image27.png"/><Relationship Id="rId2" Type="http://schemas.openxmlformats.org/officeDocument/2006/relationships/image" Target="../media/image28.png"/><Relationship Id="rId3" Type="http://schemas.openxmlformats.org/officeDocument/2006/relationships/image" Target="../media/image29.png"/><Relationship Id="rId4" Type="http://schemas.openxmlformats.org/officeDocument/2006/relationships/image" Target="../media/image30.png"/><Relationship Id="rId5" Type="http://schemas.openxmlformats.org/officeDocument/2006/relationships/image" Target="../media/image31.png"/><Relationship Id="rId6" Type="http://schemas.openxmlformats.org/officeDocument/2006/relationships/image" Target="../media/image32.png"/><Relationship Id="rId7" Type="http://schemas.openxmlformats.org/officeDocument/2006/relationships/image" Target="../media/image33.png"/><Relationship Id="rId8" Type="http://schemas.openxmlformats.org/officeDocument/2006/relationships/image" Target="../media/image34.png"/><Relationship Id="rId9" Type="http://schemas.openxmlformats.org/officeDocument/2006/relationships/image" Target="../media/image35.png"/><Relationship Id="rId10" Type="http://schemas.openxmlformats.org/officeDocument/2006/relationships/image" Target="../media/image36.png"/></Relationships>
</file>

<file path=xl/drawings/_rels/drawing5.xml.rels><?xml version="1.0" encoding="UTF-8" standalone="yes"?>
<Relationships xmlns="http://schemas.openxmlformats.org/package/2006/relationships"><Relationship Id="rId1" Type="http://schemas.openxmlformats.org/officeDocument/2006/relationships/image" Target="../media/image39.png"/><Relationship Id="rId2"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156777</xdr:rowOff>
    </xdr:from>
    <xdr:to>
      <xdr:col>10</xdr:col>
      <xdr:colOff>47625</xdr:colOff>
      <xdr:row>27</xdr:row>
      <xdr:rowOff>104144</xdr:rowOff>
    </xdr:to>
    <xdr:pic>
      <xdr:nvPicPr>
        <xdr:cNvPr id="5" name="图片 4">
          <a:extLst>
            <a:ext uri="{FF2B5EF4-FFF2-40B4-BE49-F238E27FC236}">
              <a16:creationId xmlns:a16="http://schemas.microsoft.com/office/drawing/2014/main" xmlns="" id="{B6162042-02E9-496F-B7DB-894FC80DE590}"/>
            </a:ext>
          </a:extLst>
        </xdr:cNvPr>
        <xdr:cNvPicPr>
          <a:picLocks noChangeAspect="1"/>
        </xdr:cNvPicPr>
      </xdr:nvPicPr>
      <xdr:blipFill>
        <a:blip xmlns:r="http://schemas.openxmlformats.org/officeDocument/2006/relationships" r:embed="rId1"/>
        <a:stretch>
          <a:fillRect/>
        </a:stretch>
      </xdr:blipFill>
      <xdr:spPr>
        <a:xfrm>
          <a:off x="0" y="1356927"/>
          <a:ext cx="6905625" cy="3376367"/>
        </a:xfrm>
        <a:prstGeom prst="rect">
          <a:avLst/>
        </a:prstGeom>
      </xdr:spPr>
    </xdr:pic>
    <xdr:clientData/>
  </xdr:twoCellAnchor>
  <xdr:twoCellAnchor editAs="oneCell">
    <xdr:from>
      <xdr:col>10</xdr:col>
      <xdr:colOff>28575</xdr:colOff>
      <xdr:row>20</xdr:row>
      <xdr:rowOff>142875</xdr:rowOff>
    </xdr:from>
    <xdr:to>
      <xdr:col>19</xdr:col>
      <xdr:colOff>361137</xdr:colOff>
      <xdr:row>26</xdr:row>
      <xdr:rowOff>47508</xdr:rowOff>
    </xdr:to>
    <xdr:pic>
      <xdr:nvPicPr>
        <xdr:cNvPr id="6" name="图片 5">
          <a:extLst>
            <a:ext uri="{FF2B5EF4-FFF2-40B4-BE49-F238E27FC236}">
              <a16:creationId xmlns:a16="http://schemas.microsoft.com/office/drawing/2014/main" xmlns="" id="{09EBBB1B-6DBF-4DCD-9289-B07862346961}"/>
            </a:ext>
          </a:extLst>
        </xdr:cNvPr>
        <xdr:cNvPicPr>
          <a:picLocks noChangeAspect="1"/>
        </xdr:cNvPicPr>
      </xdr:nvPicPr>
      <xdr:blipFill>
        <a:blip xmlns:r="http://schemas.openxmlformats.org/officeDocument/2006/relationships" r:embed="rId2"/>
        <a:stretch>
          <a:fillRect/>
        </a:stretch>
      </xdr:blipFill>
      <xdr:spPr>
        <a:xfrm>
          <a:off x="6886575" y="3571875"/>
          <a:ext cx="6504762" cy="933333"/>
        </a:xfrm>
        <a:prstGeom prst="rect">
          <a:avLst/>
        </a:prstGeom>
      </xdr:spPr>
    </xdr:pic>
    <xdr:clientData/>
  </xdr:twoCellAnchor>
  <xdr:twoCellAnchor editAs="oneCell">
    <xdr:from>
      <xdr:col>10</xdr:col>
      <xdr:colOff>19050</xdr:colOff>
      <xdr:row>8</xdr:row>
      <xdr:rowOff>9525</xdr:rowOff>
    </xdr:from>
    <xdr:to>
      <xdr:col>18</xdr:col>
      <xdr:colOff>94555</xdr:colOff>
      <xdr:row>19</xdr:row>
      <xdr:rowOff>152146</xdr:rowOff>
    </xdr:to>
    <xdr:pic>
      <xdr:nvPicPr>
        <xdr:cNvPr id="7" name="图片 6">
          <a:extLst>
            <a:ext uri="{FF2B5EF4-FFF2-40B4-BE49-F238E27FC236}">
              <a16:creationId xmlns:a16="http://schemas.microsoft.com/office/drawing/2014/main" xmlns="" id="{5F43E301-DDF0-4532-8342-B0AE9074E4BE}"/>
            </a:ext>
          </a:extLst>
        </xdr:cNvPr>
        <xdr:cNvPicPr>
          <a:picLocks noChangeAspect="1"/>
        </xdr:cNvPicPr>
      </xdr:nvPicPr>
      <xdr:blipFill>
        <a:blip xmlns:r="http://schemas.openxmlformats.org/officeDocument/2006/relationships" r:embed="rId3"/>
        <a:stretch>
          <a:fillRect/>
        </a:stretch>
      </xdr:blipFill>
      <xdr:spPr>
        <a:xfrm>
          <a:off x="6877050" y="1381125"/>
          <a:ext cx="5561905" cy="2028571"/>
        </a:xfrm>
        <a:prstGeom prst="rect">
          <a:avLst/>
        </a:prstGeom>
      </xdr:spPr>
    </xdr:pic>
    <xdr:clientData/>
  </xdr:twoCellAnchor>
  <xdr:twoCellAnchor editAs="oneCell">
    <xdr:from>
      <xdr:col>0</xdr:col>
      <xdr:colOff>0</xdr:colOff>
      <xdr:row>35</xdr:row>
      <xdr:rowOff>76200</xdr:rowOff>
    </xdr:from>
    <xdr:to>
      <xdr:col>9</xdr:col>
      <xdr:colOff>661735</xdr:colOff>
      <xdr:row>55</xdr:row>
      <xdr:rowOff>123194</xdr:rowOff>
    </xdr:to>
    <xdr:pic>
      <xdr:nvPicPr>
        <xdr:cNvPr id="8" name="图片 7">
          <a:extLst>
            <a:ext uri="{FF2B5EF4-FFF2-40B4-BE49-F238E27FC236}">
              <a16:creationId xmlns:a16="http://schemas.microsoft.com/office/drawing/2014/main" xmlns="" id="{C0A39F24-24D1-4CAD-B098-98F6BC61476B}"/>
            </a:ext>
          </a:extLst>
        </xdr:cNvPr>
        <xdr:cNvPicPr>
          <a:picLocks noChangeAspect="1"/>
        </xdr:cNvPicPr>
      </xdr:nvPicPr>
      <xdr:blipFill>
        <a:blip xmlns:r="http://schemas.openxmlformats.org/officeDocument/2006/relationships" r:embed="rId4"/>
        <a:stretch>
          <a:fillRect/>
        </a:stretch>
      </xdr:blipFill>
      <xdr:spPr>
        <a:xfrm>
          <a:off x="0" y="6076950"/>
          <a:ext cx="6833935" cy="3475994"/>
        </a:xfrm>
        <a:prstGeom prst="rect">
          <a:avLst/>
        </a:prstGeom>
      </xdr:spPr>
    </xdr:pic>
    <xdr:clientData/>
  </xdr:twoCellAnchor>
  <xdr:twoCellAnchor editAs="oneCell">
    <xdr:from>
      <xdr:col>0</xdr:col>
      <xdr:colOff>0</xdr:colOff>
      <xdr:row>0</xdr:row>
      <xdr:rowOff>0</xdr:rowOff>
    </xdr:from>
    <xdr:to>
      <xdr:col>11</xdr:col>
      <xdr:colOff>389533</xdr:colOff>
      <xdr:row>7</xdr:row>
      <xdr:rowOff>104775</xdr:rowOff>
    </xdr:to>
    <xdr:pic>
      <xdr:nvPicPr>
        <xdr:cNvPr id="9" name="图片 8">
          <a:extLst>
            <a:ext uri="{FF2B5EF4-FFF2-40B4-BE49-F238E27FC236}">
              <a16:creationId xmlns:a16="http://schemas.microsoft.com/office/drawing/2014/main" xmlns="" id="{1EC3B550-5E4B-4AAA-B9AB-A9A106C8A81B}"/>
            </a:ext>
          </a:extLst>
        </xdr:cNvPr>
        <xdr:cNvPicPr>
          <a:picLocks noChangeAspect="1"/>
        </xdr:cNvPicPr>
      </xdr:nvPicPr>
      <xdr:blipFill>
        <a:blip xmlns:r="http://schemas.openxmlformats.org/officeDocument/2006/relationships" r:embed="rId5"/>
        <a:stretch>
          <a:fillRect/>
        </a:stretch>
      </xdr:blipFill>
      <xdr:spPr>
        <a:xfrm>
          <a:off x="0" y="0"/>
          <a:ext cx="7933333" cy="1304925"/>
        </a:xfrm>
        <a:prstGeom prst="rect">
          <a:avLst/>
        </a:prstGeom>
      </xdr:spPr>
    </xdr:pic>
    <xdr:clientData/>
  </xdr:twoCellAnchor>
  <xdr:twoCellAnchor editAs="oneCell">
    <xdr:from>
      <xdr:col>0</xdr:col>
      <xdr:colOff>0</xdr:colOff>
      <xdr:row>28</xdr:row>
      <xdr:rowOff>1</xdr:rowOff>
    </xdr:from>
    <xdr:to>
      <xdr:col>10</xdr:col>
      <xdr:colOff>447675</xdr:colOff>
      <xdr:row>35</xdr:row>
      <xdr:rowOff>57151</xdr:rowOff>
    </xdr:to>
    <xdr:pic>
      <xdr:nvPicPr>
        <xdr:cNvPr id="16" name="图片 15">
          <a:extLst>
            <a:ext uri="{FF2B5EF4-FFF2-40B4-BE49-F238E27FC236}">
              <a16:creationId xmlns:a16="http://schemas.microsoft.com/office/drawing/2014/main" xmlns="" id="{C616A7F9-01A3-4081-8203-57C18E4710C8}"/>
            </a:ext>
          </a:extLst>
        </xdr:cNvPr>
        <xdr:cNvPicPr>
          <a:picLocks noChangeAspect="1"/>
        </xdr:cNvPicPr>
      </xdr:nvPicPr>
      <xdr:blipFill>
        <a:blip xmlns:r="http://schemas.openxmlformats.org/officeDocument/2006/relationships" r:embed="rId6"/>
        <a:stretch>
          <a:fillRect/>
        </a:stretch>
      </xdr:blipFill>
      <xdr:spPr>
        <a:xfrm>
          <a:off x="0" y="4800601"/>
          <a:ext cx="7305675" cy="1257300"/>
        </a:xfrm>
        <a:prstGeom prst="rect">
          <a:avLst/>
        </a:prstGeom>
      </xdr:spPr>
    </xdr:pic>
    <xdr:clientData/>
  </xdr:twoCellAnchor>
  <xdr:twoCellAnchor editAs="oneCell">
    <xdr:from>
      <xdr:col>10</xdr:col>
      <xdr:colOff>0</xdr:colOff>
      <xdr:row>36</xdr:row>
      <xdr:rowOff>0</xdr:rowOff>
    </xdr:from>
    <xdr:to>
      <xdr:col>19</xdr:col>
      <xdr:colOff>218276</xdr:colOff>
      <xdr:row>40</xdr:row>
      <xdr:rowOff>114200</xdr:rowOff>
    </xdr:to>
    <xdr:pic>
      <xdr:nvPicPr>
        <xdr:cNvPr id="17" name="图片 16">
          <a:extLst>
            <a:ext uri="{FF2B5EF4-FFF2-40B4-BE49-F238E27FC236}">
              <a16:creationId xmlns:a16="http://schemas.microsoft.com/office/drawing/2014/main" xmlns="" id="{0A446B51-24BD-4B33-A8A5-25B3A8BC5C25}"/>
            </a:ext>
          </a:extLst>
        </xdr:cNvPr>
        <xdr:cNvPicPr>
          <a:picLocks noChangeAspect="1"/>
        </xdr:cNvPicPr>
      </xdr:nvPicPr>
      <xdr:blipFill>
        <a:blip xmlns:r="http://schemas.openxmlformats.org/officeDocument/2006/relationships" r:embed="rId7"/>
        <a:stretch>
          <a:fillRect/>
        </a:stretch>
      </xdr:blipFill>
      <xdr:spPr>
        <a:xfrm>
          <a:off x="6858000" y="6172200"/>
          <a:ext cx="6390476" cy="800000"/>
        </a:xfrm>
        <a:prstGeom prst="rect">
          <a:avLst/>
        </a:prstGeom>
      </xdr:spPr>
    </xdr:pic>
    <xdr:clientData/>
  </xdr:twoCellAnchor>
  <xdr:twoCellAnchor editAs="oneCell">
    <xdr:from>
      <xdr:col>10</xdr:col>
      <xdr:colOff>0</xdr:colOff>
      <xdr:row>42</xdr:row>
      <xdr:rowOff>0</xdr:rowOff>
    </xdr:from>
    <xdr:to>
      <xdr:col>19</xdr:col>
      <xdr:colOff>37324</xdr:colOff>
      <xdr:row>53</xdr:row>
      <xdr:rowOff>171193</xdr:rowOff>
    </xdr:to>
    <xdr:pic>
      <xdr:nvPicPr>
        <xdr:cNvPr id="18" name="图片 17">
          <a:extLst>
            <a:ext uri="{FF2B5EF4-FFF2-40B4-BE49-F238E27FC236}">
              <a16:creationId xmlns:a16="http://schemas.microsoft.com/office/drawing/2014/main" xmlns="" id="{4CCF8AF3-3BFE-4CE7-AF46-2998C28605B9}"/>
            </a:ext>
          </a:extLst>
        </xdr:cNvPr>
        <xdr:cNvPicPr>
          <a:picLocks noChangeAspect="1"/>
        </xdr:cNvPicPr>
      </xdr:nvPicPr>
      <xdr:blipFill>
        <a:blip xmlns:r="http://schemas.openxmlformats.org/officeDocument/2006/relationships" r:embed="rId8"/>
        <a:stretch>
          <a:fillRect/>
        </a:stretch>
      </xdr:blipFill>
      <xdr:spPr>
        <a:xfrm>
          <a:off x="6858000" y="7200900"/>
          <a:ext cx="6209524" cy="2057143"/>
        </a:xfrm>
        <a:prstGeom prst="rect">
          <a:avLst/>
        </a:prstGeom>
      </xdr:spPr>
    </xdr:pic>
    <xdr:clientData/>
  </xdr:twoCellAnchor>
  <xdr:twoCellAnchor editAs="oneCell">
    <xdr:from>
      <xdr:col>0</xdr:col>
      <xdr:colOff>19051</xdr:colOff>
      <xdr:row>56</xdr:row>
      <xdr:rowOff>15915</xdr:rowOff>
    </xdr:from>
    <xdr:to>
      <xdr:col>11</xdr:col>
      <xdr:colOff>57151</xdr:colOff>
      <xdr:row>64</xdr:row>
      <xdr:rowOff>18863</xdr:rowOff>
    </xdr:to>
    <xdr:pic>
      <xdr:nvPicPr>
        <xdr:cNvPr id="19" name="图片 18">
          <a:extLst>
            <a:ext uri="{FF2B5EF4-FFF2-40B4-BE49-F238E27FC236}">
              <a16:creationId xmlns:a16="http://schemas.microsoft.com/office/drawing/2014/main" xmlns="" id="{35065C9E-B652-415E-8548-E9D02ACF46C5}"/>
            </a:ext>
          </a:extLst>
        </xdr:cNvPr>
        <xdr:cNvPicPr>
          <a:picLocks noChangeAspect="1"/>
        </xdr:cNvPicPr>
      </xdr:nvPicPr>
      <xdr:blipFill>
        <a:blip xmlns:r="http://schemas.openxmlformats.org/officeDocument/2006/relationships" r:embed="rId9"/>
        <a:stretch>
          <a:fillRect/>
        </a:stretch>
      </xdr:blipFill>
      <xdr:spPr>
        <a:xfrm>
          <a:off x="19051" y="9617115"/>
          <a:ext cx="7581900" cy="1374548"/>
        </a:xfrm>
        <a:prstGeom prst="rect">
          <a:avLst/>
        </a:prstGeom>
      </xdr:spPr>
    </xdr:pic>
    <xdr:clientData/>
  </xdr:twoCellAnchor>
  <xdr:twoCellAnchor editAs="oneCell">
    <xdr:from>
      <xdr:col>0</xdr:col>
      <xdr:colOff>0</xdr:colOff>
      <xdr:row>64</xdr:row>
      <xdr:rowOff>161925</xdr:rowOff>
    </xdr:from>
    <xdr:to>
      <xdr:col>9</xdr:col>
      <xdr:colOff>407519</xdr:colOff>
      <xdr:row>83</xdr:row>
      <xdr:rowOff>66058</xdr:rowOff>
    </xdr:to>
    <xdr:pic>
      <xdr:nvPicPr>
        <xdr:cNvPr id="20" name="图片 19">
          <a:extLst>
            <a:ext uri="{FF2B5EF4-FFF2-40B4-BE49-F238E27FC236}">
              <a16:creationId xmlns:a16="http://schemas.microsoft.com/office/drawing/2014/main" xmlns="" id="{CC1ED027-E499-4554-9A10-FB1A9BB16995}"/>
            </a:ext>
          </a:extLst>
        </xdr:cNvPr>
        <xdr:cNvPicPr>
          <a:picLocks noChangeAspect="1"/>
        </xdr:cNvPicPr>
      </xdr:nvPicPr>
      <xdr:blipFill>
        <a:blip xmlns:r="http://schemas.openxmlformats.org/officeDocument/2006/relationships" r:embed="rId10"/>
        <a:stretch>
          <a:fillRect/>
        </a:stretch>
      </xdr:blipFill>
      <xdr:spPr>
        <a:xfrm>
          <a:off x="0" y="11134725"/>
          <a:ext cx="6579719" cy="3161683"/>
        </a:xfrm>
        <a:prstGeom prst="rect">
          <a:avLst/>
        </a:prstGeom>
      </xdr:spPr>
    </xdr:pic>
    <xdr:clientData/>
  </xdr:twoCellAnchor>
  <xdr:twoCellAnchor editAs="oneCell">
    <xdr:from>
      <xdr:col>10</xdr:col>
      <xdr:colOff>0</xdr:colOff>
      <xdr:row>65</xdr:row>
      <xdr:rowOff>0</xdr:rowOff>
    </xdr:from>
    <xdr:to>
      <xdr:col>20</xdr:col>
      <xdr:colOff>103905</xdr:colOff>
      <xdr:row>71</xdr:row>
      <xdr:rowOff>47490</xdr:rowOff>
    </xdr:to>
    <xdr:pic>
      <xdr:nvPicPr>
        <xdr:cNvPr id="21" name="图片 20">
          <a:extLst>
            <a:ext uri="{FF2B5EF4-FFF2-40B4-BE49-F238E27FC236}">
              <a16:creationId xmlns:a16="http://schemas.microsoft.com/office/drawing/2014/main" xmlns="" id="{80F7AA34-2B24-44E2-8301-9D2274B9D140}"/>
            </a:ext>
          </a:extLst>
        </xdr:cNvPr>
        <xdr:cNvPicPr>
          <a:picLocks noChangeAspect="1"/>
        </xdr:cNvPicPr>
      </xdr:nvPicPr>
      <xdr:blipFill>
        <a:blip xmlns:r="http://schemas.openxmlformats.org/officeDocument/2006/relationships" r:embed="rId11"/>
        <a:stretch>
          <a:fillRect/>
        </a:stretch>
      </xdr:blipFill>
      <xdr:spPr>
        <a:xfrm>
          <a:off x="6858000" y="11144250"/>
          <a:ext cx="6961905" cy="1076190"/>
        </a:xfrm>
        <a:prstGeom prst="rect">
          <a:avLst/>
        </a:prstGeom>
      </xdr:spPr>
    </xdr:pic>
    <xdr:clientData/>
  </xdr:twoCellAnchor>
  <xdr:twoCellAnchor editAs="oneCell">
    <xdr:from>
      <xdr:col>10</xdr:col>
      <xdr:colOff>0</xdr:colOff>
      <xdr:row>72</xdr:row>
      <xdr:rowOff>0</xdr:rowOff>
    </xdr:from>
    <xdr:to>
      <xdr:col>16</xdr:col>
      <xdr:colOff>228057</xdr:colOff>
      <xdr:row>82</xdr:row>
      <xdr:rowOff>56929</xdr:rowOff>
    </xdr:to>
    <xdr:pic>
      <xdr:nvPicPr>
        <xdr:cNvPr id="22" name="图片 21">
          <a:extLst>
            <a:ext uri="{FF2B5EF4-FFF2-40B4-BE49-F238E27FC236}">
              <a16:creationId xmlns:a16="http://schemas.microsoft.com/office/drawing/2014/main" xmlns="" id="{EC01571B-25E7-4477-A401-4CB354F120A6}"/>
            </a:ext>
          </a:extLst>
        </xdr:cNvPr>
        <xdr:cNvPicPr>
          <a:picLocks noChangeAspect="1"/>
        </xdr:cNvPicPr>
      </xdr:nvPicPr>
      <xdr:blipFill>
        <a:blip xmlns:r="http://schemas.openxmlformats.org/officeDocument/2006/relationships" r:embed="rId12"/>
        <a:stretch>
          <a:fillRect/>
        </a:stretch>
      </xdr:blipFill>
      <xdr:spPr>
        <a:xfrm>
          <a:off x="6858000" y="12344400"/>
          <a:ext cx="4342857" cy="17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370571</xdr:colOff>
      <xdr:row>25</xdr:row>
      <xdr:rowOff>37559</xdr:rowOff>
    </xdr:to>
    <xdr:pic>
      <xdr:nvPicPr>
        <xdr:cNvPr id="3" name="图片 2">
          <a:extLst>
            <a:ext uri="{FF2B5EF4-FFF2-40B4-BE49-F238E27FC236}">
              <a16:creationId xmlns:a16="http://schemas.microsoft.com/office/drawing/2014/main" xmlns="" id="{9033391D-ABC0-4818-A279-E91397FE548B}"/>
            </a:ext>
          </a:extLst>
        </xdr:cNvPr>
        <xdr:cNvPicPr>
          <a:picLocks noChangeAspect="1"/>
        </xdr:cNvPicPr>
      </xdr:nvPicPr>
      <xdr:blipFill>
        <a:blip xmlns:r="http://schemas.openxmlformats.org/officeDocument/2006/relationships" r:embed="rId1"/>
        <a:stretch>
          <a:fillRect/>
        </a:stretch>
      </xdr:blipFill>
      <xdr:spPr>
        <a:xfrm>
          <a:off x="0" y="0"/>
          <a:ext cx="7228571" cy="43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465724</xdr:colOff>
      <xdr:row>9</xdr:row>
      <xdr:rowOff>95045</xdr:rowOff>
    </xdr:to>
    <xdr:pic>
      <xdr:nvPicPr>
        <xdr:cNvPr id="2" name="图片 1">
          <a:extLst>
            <a:ext uri="{FF2B5EF4-FFF2-40B4-BE49-F238E27FC236}">
              <a16:creationId xmlns:a16="http://schemas.microsoft.com/office/drawing/2014/main" xmlns="" id="{712E4ACD-4585-4EA4-96C5-6A001F6C6C95}"/>
            </a:ext>
          </a:extLst>
        </xdr:cNvPr>
        <xdr:cNvPicPr>
          <a:picLocks noChangeAspect="1"/>
        </xdr:cNvPicPr>
      </xdr:nvPicPr>
      <xdr:blipFill>
        <a:blip xmlns:r="http://schemas.openxmlformats.org/officeDocument/2006/relationships" r:embed="rId1"/>
        <a:stretch>
          <a:fillRect/>
        </a:stretch>
      </xdr:blipFill>
      <xdr:spPr>
        <a:xfrm>
          <a:off x="0" y="0"/>
          <a:ext cx="8009524" cy="1638095"/>
        </a:xfrm>
        <a:prstGeom prst="rect">
          <a:avLst/>
        </a:prstGeom>
      </xdr:spPr>
    </xdr:pic>
    <xdr:clientData/>
  </xdr:twoCellAnchor>
  <xdr:twoCellAnchor editAs="oneCell">
    <xdr:from>
      <xdr:col>0</xdr:col>
      <xdr:colOff>66675</xdr:colOff>
      <xdr:row>9</xdr:row>
      <xdr:rowOff>47625</xdr:rowOff>
    </xdr:from>
    <xdr:to>
      <xdr:col>10</xdr:col>
      <xdr:colOff>444198</xdr:colOff>
      <xdr:row>30</xdr:row>
      <xdr:rowOff>37477</xdr:rowOff>
    </xdr:to>
    <xdr:pic>
      <xdr:nvPicPr>
        <xdr:cNvPr id="3" name="图片 2">
          <a:extLst>
            <a:ext uri="{FF2B5EF4-FFF2-40B4-BE49-F238E27FC236}">
              <a16:creationId xmlns:a16="http://schemas.microsoft.com/office/drawing/2014/main" xmlns="" id="{14FBEB15-41C3-4A6D-94AD-05CF95CE468E}"/>
            </a:ext>
          </a:extLst>
        </xdr:cNvPr>
        <xdr:cNvPicPr>
          <a:picLocks noChangeAspect="1"/>
        </xdr:cNvPicPr>
      </xdr:nvPicPr>
      <xdr:blipFill>
        <a:blip xmlns:r="http://schemas.openxmlformats.org/officeDocument/2006/relationships" r:embed="rId2"/>
        <a:stretch>
          <a:fillRect/>
        </a:stretch>
      </xdr:blipFill>
      <xdr:spPr>
        <a:xfrm>
          <a:off x="66675" y="1590675"/>
          <a:ext cx="7235523" cy="3590302"/>
        </a:xfrm>
        <a:prstGeom prst="rect">
          <a:avLst/>
        </a:prstGeom>
      </xdr:spPr>
    </xdr:pic>
    <xdr:clientData/>
  </xdr:twoCellAnchor>
  <xdr:twoCellAnchor editAs="oneCell">
    <xdr:from>
      <xdr:col>11</xdr:col>
      <xdr:colOff>0</xdr:colOff>
      <xdr:row>10</xdr:row>
      <xdr:rowOff>0</xdr:rowOff>
    </xdr:from>
    <xdr:to>
      <xdr:col>20</xdr:col>
      <xdr:colOff>408752</xdr:colOff>
      <xdr:row>14</xdr:row>
      <xdr:rowOff>104676</xdr:rowOff>
    </xdr:to>
    <xdr:pic>
      <xdr:nvPicPr>
        <xdr:cNvPr id="5" name="图片 4">
          <a:extLst>
            <a:ext uri="{FF2B5EF4-FFF2-40B4-BE49-F238E27FC236}">
              <a16:creationId xmlns:a16="http://schemas.microsoft.com/office/drawing/2014/main" xmlns="" id="{8165DAF6-5DFE-4687-BDDB-D6C7A266443D}"/>
            </a:ext>
          </a:extLst>
        </xdr:cNvPr>
        <xdr:cNvPicPr>
          <a:picLocks noChangeAspect="1"/>
        </xdr:cNvPicPr>
      </xdr:nvPicPr>
      <xdr:blipFill>
        <a:blip xmlns:r="http://schemas.openxmlformats.org/officeDocument/2006/relationships" r:embed="rId3"/>
        <a:stretch>
          <a:fillRect/>
        </a:stretch>
      </xdr:blipFill>
      <xdr:spPr>
        <a:xfrm>
          <a:off x="7543800" y="1714500"/>
          <a:ext cx="6580952" cy="790476"/>
        </a:xfrm>
        <a:prstGeom prst="rect">
          <a:avLst/>
        </a:prstGeom>
      </xdr:spPr>
    </xdr:pic>
    <xdr:clientData/>
  </xdr:twoCellAnchor>
  <xdr:twoCellAnchor editAs="oneCell">
    <xdr:from>
      <xdr:col>10</xdr:col>
      <xdr:colOff>647700</xdr:colOff>
      <xdr:row>15</xdr:row>
      <xdr:rowOff>19050</xdr:rowOff>
    </xdr:from>
    <xdr:to>
      <xdr:col>19</xdr:col>
      <xdr:colOff>113524</xdr:colOff>
      <xdr:row>30</xdr:row>
      <xdr:rowOff>84719</xdr:rowOff>
    </xdr:to>
    <xdr:pic>
      <xdr:nvPicPr>
        <xdr:cNvPr id="6" name="图片 5">
          <a:extLst>
            <a:ext uri="{FF2B5EF4-FFF2-40B4-BE49-F238E27FC236}">
              <a16:creationId xmlns:a16="http://schemas.microsoft.com/office/drawing/2014/main" xmlns="" id="{04C8F9ED-B886-4037-8BE9-36EAD3F7925B}"/>
            </a:ext>
          </a:extLst>
        </xdr:cNvPr>
        <xdr:cNvPicPr>
          <a:picLocks noChangeAspect="1"/>
        </xdr:cNvPicPr>
      </xdr:nvPicPr>
      <xdr:blipFill>
        <a:blip xmlns:r="http://schemas.openxmlformats.org/officeDocument/2006/relationships" r:embed="rId4"/>
        <a:stretch>
          <a:fillRect/>
        </a:stretch>
      </xdr:blipFill>
      <xdr:spPr>
        <a:xfrm>
          <a:off x="7505700" y="2590800"/>
          <a:ext cx="5638024" cy="2637419"/>
        </a:xfrm>
        <a:prstGeom prst="rect">
          <a:avLst/>
        </a:prstGeom>
      </xdr:spPr>
    </xdr:pic>
    <xdr:clientData/>
  </xdr:twoCellAnchor>
  <xdr:twoCellAnchor editAs="oneCell">
    <xdr:from>
      <xdr:col>0</xdr:col>
      <xdr:colOff>0</xdr:colOff>
      <xdr:row>32</xdr:row>
      <xdr:rowOff>0</xdr:rowOff>
    </xdr:from>
    <xdr:to>
      <xdr:col>11</xdr:col>
      <xdr:colOff>608581</xdr:colOff>
      <xdr:row>41</xdr:row>
      <xdr:rowOff>28379</xdr:rowOff>
    </xdr:to>
    <xdr:pic>
      <xdr:nvPicPr>
        <xdr:cNvPr id="7" name="图片 6">
          <a:extLst>
            <a:ext uri="{FF2B5EF4-FFF2-40B4-BE49-F238E27FC236}">
              <a16:creationId xmlns:a16="http://schemas.microsoft.com/office/drawing/2014/main" xmlns="" id="{02B1E784-162B-4F4C-AFA7-E2F5AC5D1037}"/>
            </a:ext>
          </a:extLst>
        </xdr:cNvPr>
        <xdr:cNvPicPr>
          <a:picLocks noChangeAspect="1"/>
        </xdr:cNvPicPr>
      </xdr:nvPicPr>
      <xdr:blipFill>
        <a:blip xmlns:r="http://schemas.openxmlformats.org/officeDocument/2006/relationships" r:embed="rId5"/>
        <a:stretch>
          <a:fillRect/>
        </a:stretch>
      </xdr:blipFill>
      <xdr:spPr>
        <a:xfrm>
          <a:off x="0" y="5486400"/>
          <a:ext cx="8152381" cy="1571429"/>
        </a:xfrm>
        <a:prstGeom prst="rect">
          <a:avLst/>
        </a:prstGeom>
      </xdr:spPr>
    </xdr:pic>
    <xdr:clientData/>
  </xdr:twoCellAnchor>
  <xdr:twoCellAnchor editAs="oneCell">
    <xdr:from>
      <xdr:col>0</xdr:col>
      <xdr:colOff>0</xdr:colOff>
      <xdr:row>42</xdr:row>
      <xdr:rowOff>66273</xdr:rowOff>
    </xdr:from>
    <xdr:to>
      <xdr:col>11</xdr:col>
      <xdr:colOff>361950</xdr:colOff>
      <xdr:row>64</xdr:row>
      <xdr:rowOff>85098</xdr:rowOff>
    </xdr:to>
    <xdr:pic>
      <xdr:nvPicPr>
        <xdr:cNvPr id="8" name="图片 7">
          <a:extLst>
            <a:ext uri="{FF2B5EF4-FFF2-40B4-BE49-F238E27FC236}">
              <a16:creationId xmlns:a16="http://schemas.microsoft.com/office/drawing/2014/main" xmlns="" id="{5DE640E1-FA8C-4BD1-96FA-5636FBF3ABE8}"/>
            </a:ext>
          </a:extLst>
        </xdr:cNvPr>
        <xdr:cNvPicPr>
          <a:picLocks noChangeAspect="1"/>
        </xdr:cNvPicPr>
      </xdr:nvPicPr>
      <xdr:blipFill>
        <a:blip xmlns:r="http://schemas.openxmlformats.org/officeDocument/2006/relationships" r:embed="rId6"/>
        <a:stretch>
          <a:fillRect/>
        </a:stretch>
      </xdr:blipFill>
      <xdr:spPr>
        <a:xfrm>
          <a:off x="0" y="7267173"/>
          <a:ext cx="7905750" cy="3790725"/>
        </a:xfrm>
        <a:prstGeom prst="rect">
          <a:avLst/>
        </a:prstGeom>
      </xdr:spPr>
    </xdr:pic>
    <xdr:clientData/>
  </xdr:twoCellAnchor>
  <xdr:twoCellAnchor editAs="oneCell">
    <xdr:from>
      <xdr:col>12</xdr:col>
      <xdr:colOff>0</xdr:colOff>
      <xdr:row>43</xdr:row>
      <xdr:rowOff>0</xdr:rowOff>
    </xdr:from>
    <xdr:to>
      <xdr:col>22</xdr:col>
      <xdr:colOff>275333</xdr:colOff>
      <xdr:row>46</xdr:row>
      <xdr:rowOff>171364</xdr:rowOff>
    </xdr:to>
    <xdr:pic>
      <xdr:nvPicPr>
        <xdr:cNvPr id="9" name="图片 8">
          <a:extLst>
            <a:ext uri="{FF2B5EF4-FFF2-40B4-BE49-F238E27FC236}">
              <a16:creationId xmlns:a16="http://schemas.microsoft.com/office/drawing/2014/main" xmlns="" id="{E9B1FA7C-A34B-4EBC-B802-DA0CE89F3256}"/>
            </a:ext>
          </a:extLst>
        </xdr:cNvPr>
        <xdr:cNvPicPr>
          <a:picLocks noChangeAspect="1"/>
        </xdr:cNvPicPr>
      </xdr:nvPicPr>
      <xdr:blipFill>
        <a:blip xmlns:r="http://schemas.openxmlformats.org/officeDocument/2006/relationships" r:embed="rId7"/>
        <a:stretch>
          <a:fillRect/>
        </a:stretch>
      </xdr:blipFill>
      <xdr:spPr>
        <a:xfrm>
          <a:off x="8229600" y="7372350"/>
          <a:ext cx="7133333" cy="685714"/>
        </a:xfrm>
        <a:prstGeom prst="rect">
          <a:avLst/>
        </a:prstGeom>
      </xdr:spPr>
    </xdr:pic>
    <xdr:clientData/>
  </xdr:twoCellAnchor>
  <xdr:twoCellAnchor editAs="oneCell">
    <xdr:from>
      <xdr:col>12</xdr:col>
      <xdr:colOff>0</xdr:colOff>
      <xdr:row>48</xdr:row>
      <xdr:rowOff>0</xdr:rowOff>
    </xdr:from>
    <xdr:to>
      <xdr:col>21</xdr:col>
      <xdr:colOff>589705</xdr:colOff>
      <xdr:row>57</xdr:row>
      <xdr:rowOff>114093</xdr:rowOff>
    </xdr:to>
    <xdr:pic>
      <xdr:nvPicPr>
        <xdr:cNvPr id="15" name="图片 14">
          <a:extLst>
            <a:ext uri="{FF2B5EF4-FFF2-40B4-BE49-F238E27FC236}">
              <a16:creationId xmlns:a16="http://schemas.microsoft.com/office/drawing/2014/main" xmlns="" id="{7A82219A-BFED-4576-813B-BAFE5D74462B}"/>
            </a:ext>
          </a:extLst>
        </xdr:cNvPr>
        <xdr:cNvPicPr>
          <a:picLocks noChangeAspect="1"/>
        </xdr:cNvPicPr>
      </xdr:nvPicPr>
      <xdr:blipFill>
        <a:blip xmlns:r="http://schemas.openxmlformats.org/officeDocument/2006/relationships" r:embed="rId8"/>
        <a:stretch>
          <a:fillRect/>
        </a:stretch>
      </xdr:blipFill>
      <xdr:spPr>
        <a:xfrm>
          <a:off x="8229600" y="8229600"/>
          <a:ext cx="6761905" cy="1657143"/>
        </a:xfrm>
        <a:prstGeom prst="rect">
          <a:avLst/>
        </a:prstGeom>
      </xdr:spPr>
    </xdr:pic>
    <xdr:clientData/>
  </xdr:twoCellAnchor>
  <xdr:twoCellAnchor editAs="oneCell">
    <xdr:from>
      <xdr:col>0</xdr:col>
      <xdr:colOff>0</xdr:colOff>
      <xdr:row>66</xdr:row>
      <xdr:rowOff>0</xdr:rowOff>
    </xdr:from>
    <xdr:to>
      <xdr:col>12</xdr:col>
      <xdr:colOff>160876</xdr:colOff>
      <xdr:row>75</xdr:row>
      <xdr:rowOff>85521</xdr:rowOff>
    </xdr:to>
    <xdr:pic>
      <xdr:nvPicPr>
        <xdr:cNvPr id="16" name="图片 15">
          <a:extLst>
            <a:ext uri="{FF2B5EF4-FFF2-40B4-BE49-F238E27FC236}">
              <a16:creationId xmlns:a16="http://schemas.microsoft.com/office/drawing/2014/main" xmlns="" id="{8B740983-0C85-4C29-BF4B-9A2AC8A33A3E}"/>
            </a:ext>
          </a:extLst>
        </xdr:cNvPr>
        <xdr:cNvPicPr>
          <a:picLocks noChangeAspect="1"/>
        </xdr:cNvPicPr>
      </xdr:nvPicPr>
      <xdr:blipFill>
        <a:blip xmlns:r="http://schemas.openxmlformats.org/officeDocument/2006/relationships" r:embed="rId9"/>
        <a:stretch>
          <a:fillRect/>
        </a:stretch>
      </xdr:blipFill>
      <xdr:spPr>
        <a:xfrm>
          <a:off x="0" y="11315700"/>
          <a:ext cx="8390476" cy="1628571"/>
        </a:xfrm>
        <a:prstGeom prst="rect">
          <a:avLst/>
        </a:prstGeom>
      </xdr:spPr>
    </xdr:pic>
    <xdr:clientData/>
  </xdr:twoCellAnchor>
  <xdr:twoCellAnchor editAs="oneCell">
    <xdr:from>
      <xdr:col>0</xdr:col>
      <xdr:colOff>1</xdr:colOff>
      <xdr:row>76</xdr:row>
      <xdr:rowOff>9525</xdr:rowOff>
    </xdr:from>
    <xdr:to>
      <xdr:col>11</xdr:col>
      <xdr:colOff>228391</xdr:colOff>
      <xdr:row>97</xdr:row>
      <xdr:rowOff>37471</xdr:rowOff>
    </xdr:to>
    <xdr:pic>
      <xdr:nvPicPr>
        <xdr:cNvPr id="17" name="图片 16">
          <a:extLst>
            <a:ext uri="{FF2B5EF4-FFF2-40B4-BE49-F238E27FC236}">
              <a16:creationId xmlns:a16="http://schemas.microsoft.com/office/drawing/2014/main" xmlns="" id="{0AE98998-F745-40A9-9589-136D44C20BD6}"/>
            </a:ext>
          </a:extLst>
        </xdr:cNvPr>
        <xdr:cNvPicPr>
          <a:picLocks noChangeAspect="1"/>
        </xdr:cNvPicPr>
      </xdr:nvPicPr>
      <xdr:blipFill>
        <a:blip xmlns:r="http://schemas.openxmlformats.org/officeDocument/2006/relationships" r:embed="rId10"/>
        <a:stretch>
          <a:fillRect/>
        </a:stretch>
      </xdr:blipFill>
      <xdr:spPr>
        <a:xfrm>
          <a:off x="1" y="13039725"/>
          <a:ext cx="7772190" cy="3628396"/>
        </a:xfrm>
        <a:prstGeom prst="rect">
          <a:avLst/>
        </a:prstGeom>
      </xdr:spPr>
    </xdr:pic>
    <xdr:clientData/>
  </xdr:twoCellAnchor>
  <xdr:twoCellAnchor editAs="oneCell">
    <xdr:from>
      <xdr:col>12</xdr:col>
      <xdr:colOff>0</xdr:colOff>
      <xdr:row>76</xdr:row>
      <xdr:rowOff>0</xdr:rowOff>
    </xdr:from>
    <xdr:to>
      <xdr:col>22</xdr:col>
      <xdr:colOff>151524</xdr:colOff>
      <xdr:row>98</xdr:row>
      <xdr:rowOff>161433</xdr:rowOff>
    </xdr:to>
    <xdr:pic>
      <xdr:nvPicPr>
        <xdr:cNvPr id="21" name="图片 20">
          <a:extLst>
            <a:ext uri="{FF2B5EF4-FFF2-40B4-BE49-F238E27FC236}">
              <a16:creationId xmlns:a16="http://schemas.microsoft.com/office/drawing/2014/main" xmlns="" id="{FAF3DE72-B7AB-420E-9CD6-916369D555CB}"/>
            </a:ext>
          </a:extLst>
        </xdr:cNvPr>
        <xdr:cNvPicPr>
          <a:picLocks noChangeAspect="1"/>
        </xdr:cNvPicPr>
      </xdr:nvPicPr>
      <xdr:blipFill>
        <a:blip xmlns:r="http://schemas.openxmlformats.org/officeDocument/2006/relationships" r:embed="rId11"/>
        <a:stretch>
          <a:fillRect/>
        </a:stretch>
      </xdr:blipFill>
      <xdr:spPr>
        <a:xfrm>
          <a:off x="8229600" y="13030200"/>
          <a:ext cx="7009524" cy="39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618277</xdr:colOff>
      <xdr:row>7</xdr:row>
      <xdr:rowOff>123660</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6790477" cy="1323810"/>
        </a:xfrm>
        <a:prstGeom prst="rect">
          <a:avLst/>
        </a:prstGeom>
      </xdr:spPr>
    </xdr:pic>
    <xdr:clientData/>
  </xdr:twoCellAnchor>
  <xdr:twoCellAnchor editAs="oneCell">
    <xdr:from>
      <xdr:col>0</xdr:col>
      <xdr:colOff>0</xdr:colOff>
      <xdr:row>8</xdr:row>
      <xdr:rowOff>0</xdr:rowOff>
    </xdr:from>
    <xdr:to>
      <xdr:col>13</xdr:col>
      <xdr:colOff>103648</xdr:colOff>
      <xdr:row>33</xdr:row>
      <xdr:rowOff>151846</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0" y="1371600"/>
          <a:ext cx="9019048" cy="4438096"/>
        </a:xfrm>
        <a:prstGeom prst="rect">
          <a:avLst/>
        </a:prstGeom>
      </xdr:spPr>
    </xdr:pic>
    <xdr:clientData/>
  </xdr:twoCellAnchor>
  <xdr:twoCellAnchor editAs="oneCell">
    <xdr:from>
      <xdr:col>0</xdr:col>
      <xdr:colOff>0</xdr:colOff>
      <xdr:row>34</xdr:row>
      <xdr:rowOff>0</xdr:rowOff>
    </xdr:from>
    <xdr:to>
      <xdr:col>9</xdr:col>
      <xdr:colOff>323039</xdr:colOff>
      <xdr:row>41</xdr:row>
      <xdr:rowOff>18898</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0" y="5829300"/>
          <a:ext cx="6495239" cy="1219048"/>
        </a:xfrm>
        <a:prstGeom prst="rect">
          <a:avLst/>
        </a:prstGeom>
      </xdr:spPr>
    </xdr:pic>
    <xdr:clientData/>
  </xdr:twoCellAnchor>
  <xdr:twoCellAnchor editAs="oneCell">
    <xdr:from>
      <xdr:col>0</xdr:col>
      <xdr:colOff>0</xdr:colOff>
      <xdr:row>41</xdr:row>
      <xdr:rowOff>0</xdr:rowOff>
    </xdr:from>
    <xdr:to>
      <xdr:col>9</xdr:col>
      <xdr:colOff>627800</xdr:colOff>
      <xdr:row>71</xdr:row>
      <xdr:rowOff>37453</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0" y="7029450"/>
          <a:ext cx="6800000" cy="5180953"/>
        </a:xfrm>
        <a:prstGeom prst="rect">
          <a:avLst/>
        </a:prstGeom>
      </xdr:spPr>
    </xdr:pic>
    <xdr:clientData/>
  </xdr:twoCellAnchor>
  <xdr:twoCellAnchor editAs="oneCell">
    <xdr:from>
      <xdr:col>0</xdr:col>
      <xdr:colOff>0</xdr:colOff>
      <xdr:row>72</xdr:row>
      <xdr:rowOff>0</xdr:rowOff>
    </xdr:from>
    <xdr:to>
      <xdr:col>10</xdr:col>
      <xdr:colOff>103905</xdr:colOff>
      <xdr:row>80</xdr:row>
      <xdr:rowOff>76019</xdr:rowOff>
    </xdr:to>
    <xdr:pic>
      <xdr:nvPicPr>
        <xdr:cNvPr id="6" name="图片 5">
          <a:extLst>
            <a:ext uri="{FF2B5EF4-FFF2-40B4-BE49-F238E27FC236}">
              <a16:creationId xmlns:a16="http://schemas.microsoft.com/office/drawing/2014/main" xmlns="" id="{00000000-0008-0000-3100-000006000000}"/>
            </a:ext>
          </a:extLst>
        </xdr:cNvPr>
        <xdr:cNvPicPr>
          <a:picLocks noChangeAspect="1"/>
        </xdr:cNvPicPr>
      </xdr:nvPicPr>
      <xdr:blipFill>
        <a:blip xmlns:r="http://schemas.openxmlformats.org/officeDocument/2006/relationships" r:embed="rId5"/>
        <a:stretch>
          <a:fillRect/>
        </a:stretch>
      </xdr:blipFill>
      <xdr:spPr>
        <a:xfrm>
          <a:off x="0" y="12344400"/>
          <a:ext cx="6961905" cy="1447619"/>
        </a:xfrm>
        <a:prstGeom prst="rect">
          <a:avLst/>
        </a:prstGeom>
      </xdr:spPr>
    </xdr:pic>
    <xdr:clientData/>
  </xdr:twoCellAnchor>
  <xdr:twoCellAnchor editAs="oneCell">
    <xdr:from>
      <xdr:col>0</xdr:col>
      <xdr:colOff>0</xdr:colOff>
      <xdr:row>81</xdr:row>
      <xdr:rowOff>0</xdr:rowOff>
    </xdr:from>
    <xdr:to>
      <xdr:col>12</xdr:col>
      <xdr:colOff>637067</xdr:colOff>
      <xdr:row>109</xdr:row>
      <xdr:rowOff>85115</xdr:rowOff>
    </xdr:to>
    <xdr:pic>
      <xdr:nvPicPr>
        <xdr:cNvPr id="7" name="图片 6">
          <a:extLst>
            <a:ext uri="{FF2B5EF4-FFF2-40B4-BE49-F238E27FC236}">
              <a16:creationId xmlns:a16="http://schemas.microsoft.com/office/drawing/2014/main" xmlns="" id="{00000000-0008-0000-3100-000007000000}"/>
            </a:ext>
          </a:extLst>
        </xdr:cNvPr>
        <xdr:cNvPicPr>
          <a:picLocks noChangeAspect="1"/>
        </xdr:cNvPicPr>
      </xdr:nvPicPr>
      <xdr:blipFill>
        <a:blip xmlns:r="http://schemas.openxmlformats.org/officeDocument/2006/relationships" r:embed="rId6"/>
        <a:stretch>
          <a:fillRect/>
        </a:stretch>
      </xdr:blipFill>
      <xdr:spPr>
        <a:xfrm>
          <a:off x="0" y="13887450"/>
          <a:ext cx="8866667" cy="4885715"/>
        </a:xfrm>
        <a:prstGeom prst="rect">
          <a:avLst/>
        </a:prstGeom>
      </xdr:spPr>
    </xdr:pic>
    <xdr:clientData/>
  </xdr:twoCellAnchor>
  <xdr:twoCellAnchor editAs="oneCell">
    <xdr:from>
      <xdr:col>0</xdr:col>
      <xdr:colOff>0</xdr:colOff>
      <xdr:row>110</xdr:row>
      <xdr:rowOff>0</xdr:rowOff>
    </xdr:from>
    <xdr:to>
      <xdr:col>8</xdr:col>
      <xdr:colOff>608839</xdr:colOff>
      <xdr:row>117</xdr:row>
      <xdr:rowOff>104612</xdr:rowOff>
    </xdr:to>
    <xdr:pic>
      <xdr:nvPicPr>
        <xdr:cNvPr id="8" name="图片 7">
          <a:extLst>
            <a:ext uri="{FF2B5EF4-FFF2-40B4-BE49-F238E27FC236}">
              <a16:creationId xmlns:a16="http://schemas.microsoft.com/office/drawing/2014/main" xmlns="" id="{00000000-0008-0000-3100-000008000000}"/>
            </a:ext>
          </a:extLst>
        </xdr:cNvPr>
        <xdr:cNvPicPr>
          <a:picLocks noChangeAspect="1"/>
        </xdr:cNvPicPr>
      </xdr:nvPicPr>
      <xdr:blipFill>
        <a:blip xmlns:r="http://schemas.openxmlformats.org/officeDocument/2006/relationships" r:embed="rId7"/>
        <a:stretch>
          <a:fillRect/>
        </a:stretch>
      </xdr:blipFill>
      <xdr:spPr>
        <a:xfrm>
          <a:off x="0" y="18859500"/>
          <a:ext cx="6095239" cy="1304762"/>
        </a:xfrm>
        <a:prstGeom prst="rect">
          <a:avLst/>
        </a:prstGeom>
      </xdr:spPr>
    </xdr:pic>
    <xdr:clientData/>
  </xdr:twoCellAnchor>
  <xdr:twoCellAnchor editAs="oneCell">
    <xdr:from>
      <xdr:col>0</xdr:col>
      <xdr:colOff>0</xdr:colOff>
      <xdr:row>118</xdr:row>
      <xdr:rowOff>0</xdr:rowOff>
    </xdr:from>
    <xdr:to>
      <xdr:col>9</xdr:col>
      <xdr:colOff>580181</xdr:colOff>
      <xdr:row>144</xdr:row>
      <xdr:rowOff>28015</xdr:rowOff>
    </xdr:to>
    <xdr:pic>
      <xdr:nvPicPr>
        <xdr:cNvPr id="9" name="图片 8">
          <a:extLst>
            <a:ext uri="{FF2B5EF4-FFF2-40B4-BE49-F238E27FC236}">
              <a16:creationId xmlns:a16="http://schemas.microsoft.com/office/drawing/2014/main" xmlns="" id="{00000000-0008-0000-3100-000009000000}"/>
            </a:ext>
          </a:extLst>
        </xdr:cNvPr>
        <xdr:cNvPicPr>
          <a:picLocks noChangeAspect="1"/>
        </xdr:cNvPicPr>
      </xdr:nvPicPr>
      <xdr:blipFill>
        <a:blip xmlns:r="http://schemas.openxmlformats.org/officeDocument/2006/relationships" r:embed="rId8"/>
        <a:stretch>
          <a:fillRect/>
        </a:stretch>
      </xdr:blipFill>
      <xdr:spPr>
        <a:xfrm>
          <a:off x="0" y="20231100"/>
          <a:ext cx="6752381" cy="4485715"/>
        </a:xfrm>
        <a:prstGeom prst="rect">
          <a:avLst/>
        </a:prstGeom>
      </xdr:spPr>
    </xdr:pic>
    <xdr:clientData/>
  </xdr:twoCellAnchor>
  <xdr:twoCellAnchor editAs="oneCell">
    <xdr:from>
      <xdr:col>0</xdr:col>
      <xdr:colOff>0</xdr:colOff>
      <xdr:row>145</xdr:row>
      <xdr:rowOff>0</xdr:rowOff>
    </xdr:from>
    <xdr:to>
      <xdr:col>10</xdr:col>
      <xdr:colOff>132477</xdr:colOff>
      <xdr:row>153</xdr:row>
      <xdr:rowOff>18876</xdr:rowOff>
    </xdr:to>
    <xdr:pic>
      <xdr:nvPicPr>
        <xdr:cNvPr id="10" name="图片 9">
          <a:extLst>
            <a:ext uri="{FF2B5EF4-FFF2-40B4-BE49-F238E27FC236}">
              <a16:creationId xmlns:a16="http://schemas.microsoft.com/office/drawing/2014/main" xmlns="" id="{00000000-0008-0000-3100-00000A000000}"/>
            </a:ext>
          </a:extLst>
        </xdr:cNvPr>
        <xdr:cNvPicPr>
          <a:picLocks noChangeAspect="1"/>
        </xdr:cNvPicPr>
      </xdr:nvPicPr>
      <xdr:blipFill>
        <a:blip xmlns:r="http://schemas.openxmlformats.org/officeDocument/2006/relationships" r:embed="rId9"/>
        <a:stretch>
          <a:fillRect/>
        </a:stretch>
      </xdr:blipFill>
      <xdr:spPr>
        <a:xfrm>
          <a:off x="0" y="24860250"/>
          <a:ext cx="6990477" cy="1390476"/>
        </a:xfrm>
        <a:prstGeom prst="rect">
          <a:avLst/>
        </a:prstGeom>
      </xdr:spPr>
    </xdr:pic>
    <xdr:clientData/>
  </xdr:twoCellAnchor>
  <xdr:twoCellAnchor editAs="oneCell">
    <xdr:from>
      <xdr:col>0</xdr:col>
      <xdr:colOff>0</xdr:colOff>
      <xdr:row>153</xdr:row>
      <xdr:rowOff>0</xdr:rowOff>
    </xdr:from>
    <xdr:to>
      <xdr:col>13</xdr:col>
      <xdr:colOff>198886</xdr:colOff>
      <xdr:row>178</xdr:row>
      <xdr:rowOff>142322</xdr:rowOff>
    </xdr:to>
    <xdr:pic>
      <xdr:nvPicPr>
        <xdr:cNvPr id="11" name="图片 10">
          <a:extLst>
            <a:ext uri="{FF2B5EF4-FFF2-40B4-BE49-F238E27FC236}">
              <a16:creationId xmlns:a16="http://schemas.microsoft.com/office/drawing/2014/main" xmlns="" id="{00000000-0008-0000-3100-00000B000000}"/>
            </a:ext>
          </a:extLst>
        </xdr:cNvPr>
        <xdr:cNvPicPr>
          <a:picLocks noChangeAspect="1"/>
        </xdr:cNvPicPr>
      </xdr:nvPicPr>
      <xdr:blipFill>
        <a:blip xmlns:r="http://schemas.openxmlformats.org/officeDocument/2006/relationships" r:embed="rId10"/>
        <a:stretch>
          <a:fillRect/>
        </a:stretch>
      </xdr:blipFill>
      <xdr:spPr>
        <a:xfrm>
          <a:off x="0" y="26231850"/>
          <a:ext cx="9114286" cy="4428572"/>
        </a:xfrm>
        <a:prstGeom prst="rect">
          <a:avLst/>
        </a:prstGeom>
      </xdr:spPr>
    </xdr:pic>
    <xdr:clientData/>
  </xdr:twoCellAnchor>
  <xdr:twoCellAnchor editAs="oneCell">
    <xdr:from>
      <xdr:col>0</xdr:col>
      <xdr:colOff>0</xdr:colOff>
      <xdr:row>179</xdr:row>
      <xdr:rowOff>0</xdr:rowOff>
    </xdr:from>
    <xdr:to>
      <xdr:col>9</xdr:col>
      <xdr:colOff>189705</xdr:colOff>
      <xdr:row>185</xdr:row>
      <xdr:rowOff>104633</xdr:rowOff>
    </xdr:to>
    <xdr:pic>
      <xdr:nvPicPr>
        <xdr:cNvPr id="12" name="图片 11">
          <a:extLst>
            <a:ext uri="{FF2B5EF4-FFF2-40B4-BE49-F238E27FC236}">
              <a16:creationId xmlns:a16="http://schemas.microsoft.com/office/drawing/2014/main" xmlns="" id="{00000000-0008-0000-3100-00000C000000}"/>
            </a:ext>
          </a:extLst>
        </xdr:cNvPr>
        <xdr:cNvPicPr>
          <a:picLocks noChangeAspect="1"/>
        </xdr:cNvPicPr>
      </xdr:nvPicPr>
      <xdr:blipFill>
        <a:blip xmlns:r="http://schemas.openxmlformats.org/officeDocument/2006/relationships" r:embed="rId11"/>
        <a:stretch>
          <a:fillRect/>
        </a:stretch>
      </xdr:blipFill>
      <xdr:spPr>
        <a:xfrm>
          <a:off x="0" y="30689550"/>
          <a:ext cx="6361905" cy="1133333"/>
        </a:xfrm>
        <a:prstGeom prst="rect">
          <a:avLst/>
        </a:prstGeom>
      </xdr:spPr>
    </xdr:pic>
    <xdr:clientData/>
  </xdr:twoCellAnchor>
  <xdr:twoCellAnchor editAs="oneCell">
    <xdr:from>
      <xdr:col>0</xdr:col>
      <xdr:colOff>0</xdr:colOff>
      <xdr:row>186</xdr:row>
      <xdr:rowOff>0</xdr:rowOff>
    </xdr:from>
    <xdr:to>
      <xdr:col>8</xdr:col>
      <xdr:colOff>608839</xdr:colOff>
      <xdr:row>210</xdr:row>
      <xdr:rowOff>170915</xdr:rowOff>
    </xdr:to>
    <xdr:pic>
      <xdr:nvPicPr>
        <xdr:cNvPr id="13" name="图片 12">
          <a:extLst>
            <a:ext uri="{FF2B5EF4-FFF2-40B4-BE49-F238E27FC236}">
              <a16:creationId xmlns:a16="http://schemas.microsoft.com/office/drawing/2014/main" xmlns="" id="{00000000-0008-0000-3100-00000D000000}"/>
            </a:ext>
          </a:extLst>
        </xdr:cNvPr>
        <xdr:cNvPicPr>
          <a:picLocks noChangeAspect="1"/>
        </xdr:cNvPicPr>
      </xdr:nvPicPr>
      <xdr:blipFill>
        <a:blip xmlns:r="http://schemas.openxmlformats.org/officeDocument/2006/relationships" r:embed="rId12"/>
        <a:stretch>
          <a:fillRect/>
        </a:stretch>
      </xdr:blipFill>
      <xdr:spPr>
        <a:xfrm>
          <a:off x="0" y="31889700"/>
          <a:ext cx="6095239" cy="42857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11</xdr:col>
      <xdr:colOff>503820</xdr:colOff>
      <xdr:row>52</xdr:row>
      <xdr:rowOff>161348</xdr:rowOff>
    </xdr:to>
    <xdr:pic>
      <xdr:nvPicPr>
        <xdr:cNvPr id="3" name="图片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1"/>
        <a:stretch>
          <a:fillRect/>
        </a:stretch>
      </xdr:blipFill>
      <xdr:spPr>
        <a:xfrm>
          <a:off x="0" y="4457700"/>
          <a:ext cx="8047620" cy="4619048"/>
        </a:xfrm>
        <a:prstGeom prst="rect">
          <a:avLst/>
        </a:prstGeom>
      </xdr:spPr>
    </xdr:pic>
    <xdr:clientData/>
  </xdr:twoCellAnchor>
  <xdr:twoCellAnchor editAs="oneCell">
    <xdr:from>
      <xdr:col>0</xdr:col>
      <xdr:colOff>0</xdr:colOff>
      <xdr:row>0</xdr:row>
      <xdr:rowOff>38100</xdr:rowOff>
    </xdr:from>
    <xdr:to>
      <xdr:col>10</xdr:col>
      <xdr:colOff>265809</xdr:colOff>
      <xdr:row>23</xdr:row>
      <xdr:rowOff>56655</xdr:rowOff>
    </xdr:to>
    <xdr:pic>
      <xdr:nvPicPr>
        <xdr:cNvPr id="4" name="图片 3">
          <a:extLst>
            <a:ext uri="{FF2B5EF4-FFF2-40B4-BE49-F238E27FC236}">
              <a16:creationId xmlns:a16="http://schemas.microsoft.com/office/drawing/2014/main" xmlns="" id="{551205A3-BE4D-4D8E-94A3-4D6316DF94F1}"/>
            </a:ext>
          </a:extLst>
        </xdr:cNvPr>
        <xdr:cNvPicPr>
          <a:picLocks noChangeAspect="1"/>
        </xdr:cNvPicPr>
      </xdr:nvPicPr>
      <xdr:blipFill>
        <a:blip xmlns:r="http://schemas.openxmlformats.org/officeDocument/2006/relationships" r:embed="rId2"/>
        <a:stretch>
          <a:fillRect/>
        </a:stretch>
      </xdr:blipFill>
      <xdr:spPr>
        <a:xfrm>
          <a:off x="0" y="38100"/>
          <a:ext cx="7123809" cy="3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vmlDrawing" Target="../drawings/vmlDrawing12.vml"/><Relationship Id="rId3"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 Id="rId2" Type="http://schemas.openxmlformats.org/officeDocument/2006/relationships/vmlDrawing" Target="../drawings/vmlDrawing13.vml"/><Relationship Id="rId3"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vmlDrawing" Target="../drawings/vmlDrawing14.vml"/><Relationship Id="rId3"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vmlDrawing" Target="../drawings/vmlDrawing15.vml"/><Relationship Id="rId3"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6.vml"/><Relationship Id="rId3"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7.vml"/><Relationship Id="rId3"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vmlDrawing" Target="../drawings/vmlDrawing18.vml"/><Relationship Id="rId3"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19.vml"/><Relationship Id="rId3"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vmlDrawing" Target="../drawings/vmlDrawing20.vml"/><Relationship Id="rId3"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1.vml"/><Relationship Id="rId3"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2.vml"/><Relationship Id="rId3"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 Id="rId2" Type="http://schemas.openxmlformats.org/officeDocument/2006/relationships/vmlDrawing" Target="../drawings/vmlDrawing23.vml"/><Relationship Id="rId3"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 Id="rId2" Type="http://schemas.openxmlformats.org/officeDocument/2006/relationships/vmlDrawing" Target="../drawings/vmlDrawing24.vml"/><Relationship Id="rId3"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 Id="rId2" Type="http://schemas.openxmlformats.org/officeDocument/2006/relationships/vmlDrawing" Target="../drawings/vmlDrawing25.vml"/><Relationship Id="rId3"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 Id="rId2" Type="http://schemas.openxmlformats.org/officeDocument/2006/relationships/vmlDrawing" Target="../drawings/vmlDrawing27.vml"/><Relationship Id="rId3" Type="http://schemas.openxmlformats.org/officeDocument/2006/relationships/comments" Target="../comments2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vmlDrawing" Target="../drawings/vmlDrawing6.vml"/><Relationship Id="rId3"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2060"/>
  </sheetPr>
  <dimension ref="A1:B74"/>
  <sheetViews>
    <sheetView zoomScale="80" zoomScaleNormal="80" workbookViewId="0">
      <selection activeCell="B19" sqref="B19"/>
    </sheetView>
  </sheetViews>
  <sheetFormatPr baseColWidth="10" defaultColWidth="9" defaultRowHeight="16" x14ac:dyDescent="0.2"/>
  <cols>
    <col min="1" max="1" width="35.6640625" style="1356" customWidth="1"/>
    <col min="2" max="2" width="81" style="1373" customWidth="1"/>
    <col min="3" max="16384" width="9" style="1371"/>
  </cols>
  <sheetData>
    <row r="1" spans="1:2" s="1359" customFormat="1" ht="17" thickBot="1" x14ac:dyDescent="0.25">
      <c r="A1" s="1358" t="s">
        <v>1186</v>
      </c>
      <c r="B1" s="1357" t="s">
        <v>1265</v>
      </c>
    </row>
    <row r="2" spans="1:2" s="1362" customFormat="1" ht="17" thickTop="1" x14ac:dyDescent="0.2">
      <c r="A2" s="1360" t="s">
        <v>1187</v>
      </c>
      <c r="B2" s="1361" t="str">
        <f>'预评函-封皮'!B37:I37</f>
        <v>北京市房地产市场价值预评估</v>
      </c>
    </row>
    <row r="3" spans="1:2" s="1365" customFormat="1" x14ac:dyDescent="0.2">
      <c r="A3" s="1363" t="s">
        <v>1188</v>
      </c>
      <c r="B3" s="1364" t="str">
        <f>'预评函-封皮'!B40</f>
        <v>中行</v>
      </c>
    </row>
    <row r="4" spans="1:2" s="1365" customFormat="1" x14ac:dyDescent="0.2">
      <c r="A4" s="1363" t="s">
        <v>1189</v>
      </c>
      <c r="B4" s="1364" t="str">
        <f ca="1">'预评函-封皮'!B46</f>
        <v>陈颖（注册号：0)、叶凌（注册号：1119970111)</v>
      </c>
    </row>
    <row r="5" spans="1:2" s="1359" customFormat="1" ht="17" thickBot="1" x14ac:dyDescent="0.25">
      <c r="A5" s="1366" t="s">
        <v>1190</v>
      </c>
      <c r="B5" s="1367" t="str">
        <f>'预评函-封皮'!B49</f>
        <v>康正预评字号</v>
      </c>
    </row>
    <row r="6" spans="1:2" s="1362" customFormat="1" ht="17" thickTop="1" x14ac:dyDescent="0.2">
      <c r="A6" s="1360" t="s">
        <v>1191</v>
      </c>
      <c r="B6" s="1361" t="str">
        <f>'预评函-1'!A4</f>
        <v>受贵公司委托，我公司对北京市房地产市场价值进行了预评估。</v>
      </c>
    </row>
    <row r="7" spans="1:2" s="1365" customFormat="1" x14ac:dyDescent="0.2">
      <c r="A7" s="1363" t="s">
        <v>1231</v>
      </c>
      <c r="B7" s="1364" t="e">
        <f>'预评函-1'!A7</f>
        <v>#DIV/0!</v>
      </c>
    </row>
    <row r="8" spans="1:2" s="1365" customFormat="1" x14ac:dyDescent="0.2">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x14ac:dyDescent="0.2">
      <c r="A9" s="1363" t="s">
        <v>1233</v>
      </c>
      <c r="B9" s="1364" t="e">
        <f>'预评函-1'!A10</f>
        <v>#DIV/0!</v>
      </c>
    </row>
    <row r="10" spans="1:2" s="1365" customFormat="1" x14ac:dyDescent="0.2">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x14ac:dyDescent="0.2">
      <c r="A11" s="1363" t="s">
        <v>1192</v>
      </c>
      <c r="B11" s="1364" t="str">
        <f>'预评函-1'!A13</f>
        <v>为估价委托人了解估价对象房地产市场价值提供参考依据。</v>
      </c>
    </row>
    <row r="12" spans="1:2" s="1365" customFormat="1" x14ac:dyDescent="0.2">
      <c r="A12" s="1363" t="s">
        <v>1193</v>
      </c>
      <c r="B12" s="1364" t="str">
        <f>'预评函-1'!A15</f>
        <v>2022年2月14日（评估专业人员实地查勘之日）</v>
      </c>
    </row>
    <row r="13" spans="1:2" s="1365" customFormat="1" x14ac:dyDescent="0.2">
      <c r="A13" s="1363" t="s">
        <v>1194</v>
      </c>
      <c r="B13" s="1364" t="str">
        <f>'预评函-1'!A18</f>
        <v>本次估价的“房地产价值”是指在正常市场情况下，在价值时点2022年2月14日，估价对象规划用途为，土地取得方式为出让，出让国有建设用地使用权剩余土地使用年限为，假定未设立法定优先受偿款下的房地产市场价值。</v>
      </c>
    </row>
    <row r="14" spans="1:2" s="1365" customFormat="1" x14ac:dyDescent="0.2">
      <c r="A14" s="1363" t="s">
        <v>1195</v>
      </c>
      <c r="B14" s="136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x14ac:dyDescent="0.2">
      <c r="A15" s="1363" t="s">
        <v>1196</v>
      </c>
      <c r="B15" s="1364" t="str">
        <f>'预评函-1'!A20</f>
        <v>——</v>
      </c>
    </row>
    <row r="16" spans="1:2" s="1365" customFormat="1" x14ac:dyDescent="0.2">
      <c r="A16" s="1363" t="s">
        <v>1197</v>
      </c>
      <c r="B16" s="1364" t="str">
        <f>'预评函-1'!A21</f>
        <v>——</v>
      </c>
    </row>
    <row r="17" spans="1:2" s="1365" customFormat="1" x14ac:dyDescent="0.2">
      <c r="A17" s="1363" t="s">
        <v>1198</v>
      </c>
      <c r="B17" s="1364" t="str">
        <f>'预评函-1'!A22</f>
        <v>——</v>
      </c>
    </row>
    <row r="18" spans="1:2" s="1359" customFormat="1" ht="17" thickBot="1" x14ac:dyDescent="0.25">
      <c r="A18" s="1366" t="s">
        <v>1199</v>
      </c>
      <c r="B18" s="1367" t="str">
        <f>'预评函-1'!A24</f>
        <v>本次评估采用的主估价方法为收益法和比较法。</v>
      </c>
    </row>
    <row r="19" spans="1:2" s="1362" customFormat="1" ht="17" thickTop="1" x14ac:dyDescent="0.2">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x14ac:dyDescent="0.2">
      <c r="A20" s="1363" t="s">
        <v>1201</v>
      </c>
      <c r="B20" s="1364" t="e">
        <f ca="1">'预评函-2'!D5</f>
        <v>#REF!</v>
      </c>
    </row>
    <row r="21" spans="1:2" s="1365" customFormat="1" x14ac:dyDescent="0.2">
      <c r="A21" s="1363" t="s">
        <v>1202</v>
      </c>
      <c r="B21" s="1364" t="e">
        <f ca="1">'预评函-2'!D7</f>
        <v>#REF!</v>
      </c>
    </row>
    <row r="22" spans="1:2" s="1365" customFormat="1" x14ac:dyDescent="0.2">
      <c r="A22" s="1363" t="s">
        <v>1203</v>
      </c>
      <c r="B22" s="1364" t="e">
        <f ca="1">'预评函-2'!D6</f>
        <v>#REF!</v>
      </c>
    </row>
    <row r="23" spans="1:2" s="1365" customFormat="1" x14ac:dyDescent="0.2">
      <c r="A23" s="1363" t="s">
        <v>1254</v>
      </c>
      <c r="B23" s="1364" t="str">
        <f>'预评函-2'!B8</f>
        <v>2.估价师知悉的法定优先受偿款</v>
      </c>
    </row>
    <row r="24" spans="1:2" s="1365" customFormat="1" x14ac:dyDescent="0.2">
      <c r="A24" s="1363" t="s">
        <v>1260</v>
      </c>
      <c r="B24" s="1364">
        <f>'预评函-2'!D8</f>
        <v>0</v>
      </c>
    </row>
    <row r="25" spans="1:2" s="1365" customFormat="1" x14ac:dyDescent="0.2">
      <c r="A25" s="1363" t="s">
        <v>1204</v>
      </c>
      <c r="B25" s="1364" t="str">
        <f>'预评函-2'!D9</f>
        <v>零元整</v>
      </c>
    </row>
    <row r="26" spans="1:2" s="1365" customFormat="1" x14ac:dyDescent="0.2">
      <c r="A26" s="1363" t="s">
        <v>1205</v>
      </c>
      <c r="B26" s="1364">
        <f>'预评函-2'!D10</f>
        <v>0</v>
      </c>
    </row>
    <row r="27" spans="1:2" s="1365" customFormat="1" x14ac:dyDescent="0.2">
      <c r="A27" s="1363" t="s">
        <v>1206</v>
      </c>
      <c r="B27" s="1364">
        <f>'预评函-2'!D11</f>
        <v>0</v>
      </c>
    </row>
    <row r="28" spans="1:2" s="1365" customFormat="1" x14ac:dyDescent="0.2">
      <c r="A28" s="1363" t="s">
        <v>1207</v>
      </c>
      <c r="B28" s="1364">
        <f>'预评函-2'!D12</f>
        <v>0</v>
      </c>
    </row>
    <row r="29" spans="1:2" s="1365" customFormat="1" x14ac:dyDescent="0.2">
      <c r="A29" s="1363" t="s">
        <v>1258</v>
      </c>
      <c r="B29" s="1364" t="str">
        <f>'预评函-2'!B13</f>
        <v>3.房地产抵押价值</v>
      </c>
    </row>
    <row r="30" spans="1:2" s="1365" customFormat="1" x14ac:dyDescent="0.2">
      <c r="A30" s="1363" t="s">
        <v>1259</v>
      </c>
      <c r="B30" s="1364" t="e">
        <f ca="1">'预评函-2'!D13</f>
        <v>#REF!</v>
      </c>
    </row>
    <row r="31" spans="1:2" s="1365" customFormat="1" x14ac:dyDescent="0.2">
      <c r="A31" s="1363" t="s">
        <v>1241</v>
      </c>
      <c r="B31" s="1364" t="e">
        <f ca="1">'预评函-2'!D15</f>
        <v>#REF!</v>
      </c>
    </row>
    <row r="32" spans="1:2" s="1365" customFormat="1" x14ac:dyDescent="0.2">
      <c r="A32" s="1363" t="s">
        <v>1208</v>
      </c>
      <c r="B32" s="1364" t="e">
        <f ca="1">'预评函-2'!D14</f>
        <v>#REF!</v>
      </c>
    </row>
    <row r="33" spans="1:2" s="1365" customFormat="1" x14ac:dyDescent="0.2">
      <c r="A33" s="1363" t="s">
        <v>1243</v>
      </c>
      <c r="B33" s="1364" t="str">
        <f>'预评函-2'!B16</f>
        <v>——</v>
      </c>
    </row>
    <row r="34" spans="1:2" s="1365" customFormat="1" x14ac:dyDescent="0.2">
      <c r="A34" s="1363" t="s">
        <v>1261</v>
      </c>
      <c r="B34" s="1364" t="str">
        <f>'预评函-2'!D16</f>
        <v>——</v>
      </c>
    </row>
    <row r="35" spans="1:2" s="1365" customFormat="1" x14ac:dyDescent="0.2">
      <c r="A35" s="1363" t="s">
        <v>1242</v>
      </c>
      <c r="B35" s="1364" t="str">
        <f>'预评函-2'!D18</f>
        <v>——</v>
      </c>
    </row>
    <row r="36" spans="1:2" s="1365" customFormat="1" x14ac:dyDescent="0.2">
      <c r="A36" s="1363" t="s">
        <v>1209</v>
      </c>
      <c r="B36" s="1364" t="e">
        <f>'预评函-2'!D17</f>
        <v>#VALUE!</v>
      </c>
    </row>
    <row r="37" spans="1:2" s="1365" customFormat="1" x14ac:dyDescent="0.2">
      <c r="A37" s="1363" t="s">
        <v>1244</v>
      </c>
      <c r="B37" s="1364" t="str">
        <f>'预评函-2'!B19</f>
        <v>——</v>
      </c>
    </row>
    <row r="38" spans="1:2" s="1365" customFormat="1" x14ac:dyDescent="0.2">
      <c r="A38" s="1363" t="s">
        <v>1262</v>
      </c>
      <c r="B38" s="1364" t="str">
        <f>'预评函-2'!D19</f>
        <v>——</v>
      </c>
    </row>
    <row r="39" spans="1:2" s="1365" customFormat="1" x14ac:dyDescent="0.2">
      <c r="A39" s="1363" t="s">
        <v>1210</v>
      </c>
      <c r="B39" s="1364" t="str">
        <f>'预评函-2'!D21</f>
        <v>——</v>
      </c>
    </row>
    <row r="40" spans="1:2" s="1365" customFormat="1" x14ac:dyDescent="0.2">
      <c r="A40" s="1363" t="s">
        <v>1211</v>
      </c>
      <c r="B40" s="1364" t="e">
        <f>'预评函-2'!D20</f>
        <v>#VALUE!</v>
      </c>
    </row>
    <row r="41" spans="1:2" s="1365" customFormat="1" x14ac:dyDescent="0.2">
      <c r="A41" s="1363" t="s">
        <v>1257</v>
      </c>
      <c r="B41" s="1364" t="str">
        <f>'预评函-3'!A4</f>
        <v>北京市房地产</v>
      </c>
    </row>
    <row r="42" spans="1:2" s="1365" customFormat="1" x14ac:dyDescent="0.2">
      <c r="A42" s="1363" t="s">
        <v>1255</v>
      </c>
      <c r="B42" s="1364" t="str">
        <f>'预评函-3'!B2</f>
        <v>建筑面积</v>
      </c>
    </row>
    <row r="43" spans="1:2" s="1365" customFormat="1" x14ac:dyDescent="0.2">
      <c r="A43" s="1363" t="s">
        <v>1256</v>
      </c>
      <c r="B43" s="1364">
        <f>'预评函-3'!B4</f>
        <v>547.29</v>
      </c>
    </row>
    <row r="44" spans="1:2" s="1365" customFormat="1" x14ac:dyDescent="0.2">
      <c r="A44" s="1363" t="s">
        <v>1240</v>
      </c>
      <c r="B44" s="1364" t="str">
        <f>'预评函-3'!C2</f>
        <v>(分摊)土地面积</v>
      </c>
    </row>
    <row r="45" spans="1:2" s="1365" customFormat="1" x14ac:dyDescent="0.2">
      <c r="A45" s="1363" t="s">
        <v>1212</v>
      </c>
      <c r="B45" s="1364" t="e">
        <f>'预评函-3'!C4</f>
        <v>#DIV/0!</v>
      </c>
    </row>
    <row r="46" spans="1:2" s="1365" customFormat="1" x14ac:dyDescent="0.2">
      <c r="A46" s="1363" t="s">
        <v>1238</v>
      </c>
      <c r="B46" s="1364" t="str">
        <f>'预评函-3'!D2</f>
        <v>出让国有建设用地使用权价值</v>
      </c>
    </row>
    <row r="47" spans="1:2" s="1365" customFormat="1" x14ac:dyDescent="0.2">
      <c r="A47" s="1363" t="s">
        <v>1213</v>
      </c>
      <c r="B47" s="1364" t="e">
        <f ca="1">'预评函-3'!D4</f>
        <v>#REF!</v>
      </c>
    </row>
    <row r="48" spans="1:2" s="1365" customFormat="1" x14ac:dyDescent="0.2">
      <c r="A48" s="1363" t="s">
        <v>1214</v>
      </c>
      <c r="B48" s="1364" t="e">
        <f ca="1">'预评函-3'!E4</f>
        <v>#REF!</v>
      </c>
    </row>
    <row r="49" spans="1:2" s="1365" customFormat="1" x14ac:dyDescent="0.2">
      <c r="A49" s="1363" t="s">
        <v>1215</v>
      </c>
      <c r="B49" s="1364" t="e">
        <f ca="1">'预评函-3'!D5</f>
        <v>#REF!</v>
      </c>
    </row>
    <row r="50" spans="1:2" s="1365" customFormat="1" x14ac:dyDescent="0.2">
      <c r="A50" s="1363" t="s">
        <v>1239</v>
      </c>
      <c r="B50" s="1364" t="str">
        <f>'预评函-3'!F2</f>
        <v>在建建筑物价值</v>
      </c>
    </row>
    <row r="51" spans="1:2" s="1365" customFormat="1" x14ac:dyDescent="0.2">
      <c r="A51" s="1363" t="s">
        <v>1216</v>
      </c>
      <c r="B51" s="1364" t="e">
        <f ca="1">'预评函-3'!F4</f>
        <v>#REF!</v>
      </c>
    </row>
    <row r="52" spans="1:2" s="1365" customFormat="1" x14ac:dyDescent="0.2">
      <c r="A52" s="1363" t="s">
        <v>1217</v>
      </c>
      <c r="B52" s="1364" t="e">
        <f ca="1">'预评函-3'!G4</f>
        <v>#REF!</v>
      </c>
    </row>
    <row r="53" spans="1:2" s="1365" customFormat="1" x14ac:dyDescent="0.2">
      <c r="A53" s="1363" t="s">
        <v>1245</v>
      </c>
      <c r="B53" s="1364" t="e">
        <f ca="1">'预评函-3'!F5</f>
        <v>#REF!</v>
      </c>
    </row>
    <row r="54" spans="1:2" s="1365" customFormat="1" x14ac:dyDescent="0.2">
      <c r="A54" s="1363" t="s">
        <v>1263</v>
      </c>
      <c r="B54" s="1364" t="str">
        <f>'预评函-3'!A8</f>
        <v/>
      </c>
    </row>
    <row r="55" spans="1:2" s="1365" customFormat="1" x14ac:dyDescent="0.2">
      <c r="A55" s="1363" t="s">
        <v>1246</v>
      </c>
      <c r="B55" s="1364" t="str">
        <f>'预评函-3'!A10</f>
        <v/>
      </c>
    </row>
    <row r="56" spans="1:2" s="1365" customFormat="1" x14ac:dyDescent="0.2">
      <c r="A56" s="1363" t="s">
        <v>1247</v>
      </c>
      <c r="B56" s="1364" t="str">
        <f>'预评函-3'!A12</f>
        <v/>
      </c>
    </row>
    <row r="57" spans="1:2" s="1359" customFormat="1" ht="17" thickBot="1" x14ac:dyDescent="0.25">
      <c r="A57" s="1366" t="s">
        <v>1264</v>
      </c>
      <c r="B57" s="1367" t="str">
        <f>'预评函-3'!A6</f>
        <v/>
      </c>
    </row>
    <row r="58" spans="1:2" s="1362" customFormat="1" ht="17" thickTop="1" x14ac:dyDescent="0.2">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x14ac:dyDescent="0.2">
      <c r="A59" s="1363" t="s">
        <v>1219</v>
      </c>
      <c r="B59" s="1364" t="str">
        <f>'预评函-4'!A13</f>
        <v>——</v>
      </c>
    </row>
    <row r="60" spans="1:2" s="1365" customFormat="1" x14ac:dyDescent="0.2">
      <c r="A60" s="1363" t="s">
        <v>1220</v>
      </c>
      <c r="B60" s="1364" t="str">
        <f>'预评函-4'!A14</f>
        <v>——</v>
      </c>
    </row>
    <row r="61" spans="1:2" s="1365" customFormat="1" x14ac:dyDescent="0.2">
      <c r="A61" s="1363" t="s">
        <v>1221</v>
      </c>
      <c r="B61" s="1364" t="str">
        <f>'预评函-4'!A15</f>
        <v>——</v>
      </c>
    </row>
    <row r="62" spans="1:2" s="1365" customFormat="1" x14ac:dyDescent="0.2">
      <c r="A62" s="1363" t="s">
        <v>1222</v>
      </c>
      <c r="B62" s="1364" t="str">
        <f>'预评函-4'!A16</f>
        <v>（2）根据《工程款支付情况说明》，截至价值时点，估价对象不存在应付未付工程款项。（只要没有施工方盖章的，均“设定”进行表述）</v>
      </c>
    </row>
    <row r="63" spans="1:2" s="1365" customFormat="1" x14ac:dyDescent="0.2">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x14ac:dyDescent="0.2">
      <c r="A64" s="1363" t="s">
        <v>1235</v>
      </c>
      <c r="B64" s="1364" t="str">
        <f>'预评函-4'!A18</f>
        <v>——</v>
      </c>
    </row>
    <row r="65" spans="1:2" s="1365" customFormat="1" x14ac:dyDescent="0.2">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x14ac:dyDescent="0.2">
      <c r="A66" s="1363" t="s">
        <v>1225</v>
      </c>
      <c r="B66" s="1364" t="str">
        <f>'预评函-4'!A20</f>
        <v>——</v>
      </c>
    </row>
    <row r="67" spans="1:2" s="1365" customFormat="1" x14ac:dyDescent="0.2">
      <c r="A67" s="1363" t="s">
        <v>1236</v>
      </c>
      <c r="B67" s="1364" t="str">
        <f>'预评函-4'!A21</f>
        <v>——</v>
      </c>
    </row>
    <row r="68" spans="1:2" s="1365" customFormat="1" x14ac:dyDescent="0.2">
      <c r="A68" s="1363" t="s">
        <v>1237</v>
      </c>
      <c r="B68" s="1364" t="str">
        <f>'预评函-4'!A22</f>
        <v>8.其他需特殊说明事项：无（注意调整序号）</v>
      </c>
    </row>
    <row r="69" spans="1:2" s="1359" customFormat="1" ht="17" thickBot="1" x14ac:dyDescent="0.25">
      <c r="A69" s="1366" t="s">
        <v>1226</v>
      </c>
      <c r="B69" s="1368">
        <f>'预评函-4'!C31</f>
        <v>42551</v>
      </c>
    </row>
    <row r="70" spans="1:2" ht="17" thickTop="1" x14ac:dyDescent="0.2">
      <c r="A70" s="1369" t="s">
        <v>1227</v>
      </c>
      <c r="B70" s="1370" t="str">
        <f>'预评函-4'!A4</f>
        <v>陈颖</v>
      </c>
    </row>
    <row r="71" spans="1:2" x14ac:dyDescent="0.2">
      <c r="A71" s="1363" t="s">
        <v>1228</v>
      </c>
      <c r="B71" s="1364">
        <f ca="1">'预评函-4'!B4</f>
        <v>0</v>
      </c>
    </row>
    <row r="72" spans="1:2" x14ac:dyDescent="0.2">
      <c r="A72" s="1363" t="s">
        <v>1229</v>
      </c>
      <c r="B72" s="1372" t="str">
        <f>'预评函-4'!A5</f>
        <v>叶凌</v>
      </c>
    </row>
    <row r="73" spans="1:2" s="1359" customFormat="1" ht="17" thickBot="1" x14ac:dyDescent="0.25">
      <c r="A73" s="1366" t="s">
        <v>1230</v>
      </c>
      <c r="B73" s="1367">
        <f ca="1">'预评函-4'!B5</f>
        <v>1119970111</v>
      </c>
    </row>
    <row r="74" spans="1:2" ht="17" thickTop="1" x14ac:dyDescent="0.2">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F16" sqref="F16"/>
    </sheetView>
  </sheetViews>
  <sheetFormatPr baseColWidth="10" defaultColWidth="9" defaultRowHeight="15" x14ac:dyDescent="0.2"/>
  <cols>
    <col min="1" max="1" width="13.5" style="1743" customWidth="1"/>
    <col min="2" max="2" width="23.1640625" style="1694" customWidth="1"/>
    <col min="3" max="3" width="13" style="1738" customWidth="1"/>
    <col min="4" max="4" width="5.6640625" style="1735" customWidth="1"/>
    <col min="5" max="5" width="7.1640625" style="1735" customWidth="1"/>
    <col min="6" max="6" width="10.6640625" style="1735" customWidth="1"/>
    <col min="7" max="7" width="7.5" style="1735" customWidth="1"/>
    <col min="8" max="8" width="9" style="1738" customWidth="1"/>
    <col min="9" max="9" width="11.6640625" style="1738" customWidth="1"/>
    <col min="10" max="10" width="9" style="1738" customWidth="1"/>
    <col min="11" max="19" width="9" style="1735" customWidth="1"/>
    <col min="20" max="23" width="9" style="1738" customWidth="1"/>
    <col min="24" max="24" width="21.1640625" style="1694" customWidth="1"/>
    <col min="25" max="16384" width="9" style="1694"/>
  </cols>
  <sheetData>
    <row r="1" spans="1:23" s="1732" customFormat="1" ht="30" x14ac:dyDescent="0.2">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x14ac:dyDescent="0.2">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x14ac:dyDescent="0.2">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x14ac:dyDescent="0.2">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x14ac:dyDescent="0.2">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x14ac:dyDescent="0.2">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x14ac:dyDescent="0.2">
      <c r="A7" s="1733" t="s">
        <v>1707</v>
      </c>
      <c r="B7" s="1736" t="s">
        <v>1115</v>
      </c>
      <c r="C7" s="1734" t="s">
        <v>31</v>
      </c>
      <c r="F7" s="1735" t="s">
        <v>1708</v>
      </c>
      <c r="H7" s="1735" t="s">
        <v>1709</v>
      </c>
      <c r="I7" s="1735" t="s">
        <v>1710</v>
      </c>
    </row>
    <row r="8" spans="1:23" x14ac:dyDescent="0.2">
      <c r="A8" s="1733" t="s">
        <v>1711</v>
      </c>
      <c r="B8" s="1733" t="s">
        <v>1712</v>
      </c>
      <c r="C8" s="1734" t="s">
        <v>764</v>
      </c>
      <c r="F8" s="1735" t="s">
        <v>1713</v>
      </c>
      <c r="H8" s="1735"/>
      <c r="I8" s="1735" t="s">
        <v>1714</v>
      </c>
    </row>
    <row r="9" spans="1:23" x14ac:dyDescent="0.2">
      <c r="A9" s="1733" t="s">
        <v>1715</v>
      </c>
      <c r="B9" s="1733" t="s">
        <v>1716</v>
      </c>
      <c r="C9" s="1734" t="s">
        <v>765</v>
      </c>
      <c r="F9" s="1735" t="s">
        <v>1717</v>
      </c>
      <c r="H9" s="1735"/>
    </row>
    <row r="10" spans="1:23" x14ac:dyDescent="0.2">
      <c r="A10" s="1733" t="s">
        <v>1718</v>
      </c>
      <c r="B10" s="1733" t="s">
        <v>1719</v>
      </c>
      <c r="C10" s="1734" t="s">
        <v>766</v>
      </c>
      <c r="F10" s="1735" t="s">
        <v>16</v>
      </c>
    </row>
    <row r="11" spans="1:23" x14ac:dyDescent="0.2">
      <c r="A11" s="1733" t="s">
        <v>1720</v>
      </c>
      <c r="B11" s="1733" t="s">
        <v>1721</v>
      </c>
      <c r="C11" s="1734" t="s">
        <v>767</v>
      </c>
    </row>
    <row r="12" spans="1:23" x14ac:dyDescent="0.2">
      <c r="A12" s="1733" t="s">
        <v>1722</v>
      </c>
      <c r="B12" s="1733" t="s">
        <v>1723</v>
      </c>
      <c r="C12" s="1734" t="s">
        <v>768</v>
      </c>
    </row>
    <row r="13" spans="1:23" x14ac:dyDescent="0.2">
      <c r="A13" s="1733" t="s">
        <v>1724</v>
      </c>
      <c r="B13" s="1733" t="s">
        <v>1725</v>
      </c>
      <c r="C13" s="1734" t="s">
        <v>769</v>
      </c>
    </row>
    <row r="14" spans="1:23" x14ac:dyDescent="0.2">
      <c r="A14" s="1733" t="s">
        <v>1726</v>
      </c>
      <c r="B14" s="1733" t="s">
        <v>1727</v>
      </c>
      <c r="C14" s="1735" t="s">
        <v>16</v>
      </c>
    </row>
    <row r="15" spans="1:23" x14ac:dyDescent="0.2">
      <c r="A15" s="1733" t="s">
        <v>1728</v>
      </c>
      <c r="B15" s="1733" t="s">
        <v>1729</v>
      </c>
      <c r="C15" s="1734"/>
    </row>
    <row r="16" spans="1:23" x14ac:dyDescent="0.2">
      <c r="A16" s="1733" t="s">
        <v>1730</v>
      </c>
      <c r="B16" s="1733" t="s">
        <v>756</v>
      </c>
      <c r="C16" s="1734"/>
    </row>
    <row r="17" spans="1:3" x14ac:dyDescent="0.2">
      <c r="A17" s="1733" t="s">
        <v>1731</v>
      </c>
      <c r="B17" s="1733" t="s">
        <v>3036</v>
      </c>
      <c r="C17" s="1734"/>
    </row>
    <row r="18" spans="1:3" x14ac:dyDescent="0.2">
      <c r="A18" s="1733" t="s">
        <v>1732</v>
      </c>
      <c r="B18" s="1733" t="s">
        <v>3257</v>
      </c>
      <c r="C18" s="1734"/>
    </row>
    <row r="19" spans="1:3" x14ac:dyDescent="0.2">
      <c r="A19" s="1733" t="s">
        <v>1733</v>
      </c>
      <c r="B19" s="1733" t="s">
        <v>3256</v>
      </c>
      <c r="C19" s="1734"/>
    </row>
    <row r="20" spans="1:3" x14ac:dyDescent="0.2">
      <c r="A20" s="1733" t="s">
        <v>1734</v>
      </c>
      <c r="B20" s="1733" t="s">
        <v>3255</v>
      </c>
      <c r="C20" s="1734"/>
    </row>
    <row r="21" spans="1:3" x14ac:dyDescent="0.2">
      <c r="A21" s="1733" t="s">
        <v>1735</v>
      </c>
      <c r="B21" s="1733" t="s">
        <v>757</v>
      </c>
      <c r="C21" s="1734"/>
    </row>
    <row r="22" spans="1:3" x14ac:dyDescent="0.2">
      <c r="A22" s="1733" t="s">
        <v>1736</v>
      </c>
      <c r="B22" s="1733" t="s">
        <v>757</v>
      </c>
      <c r="C22" s="1734"/>
    </row>
    <row r="23" spans="1:3" x14ac:dyDescent="0.2">
      <c r="A23" s="1733" t="s">
        <v>1737</v>
      </c>
      <c r="B23" s="1733" t="s">
        <v>757</v>
      </c>
      <c r="C23" s="1734"/>
    </row>
    <row r="24" spans="1:3" x14ac:dyDescent="0.2">
      <c r="A24" s="1733" t="s">
        <v>1738</v>
      </c>
      <c r="B24" s="1733" t="s">
        <v>757</v>
      </c>
      <c r="C24" s="1734"/>
    </row>
    <row r="25" spans="1:3" x14ac:dyDescent="0.2">
      <c r="A25" s="1733" t="s">
        <v>1739</v>
      </c>
      <c r="B25" s="1733" t="s">
        <v>757</v>
      </c>
      <c r="C25" s="1734"/>
    </row>
    <row r="26" spans="1:3" x14ac:dyDescent="0.2">
      <c r="A26" s="1733" t="s">
        <v>1740</v>
      </c>
      <c r="B26" s="1733" t="s">
        <v>757</v>
      </c>
      <c r="C26" s="1734"/>
    </row>
    <row r="27" spans="1:3" x14ac:dyDescent="0.2">
      <c r="A27" s="1733" t="s">
        <v>757</v>
      </c>
      <c r="B27" s="1733" t="s">
        <v>757</v>
      </c>
      <c r="C27" s="1734"/>
    </row>
    <row r="28" spans="1:3" x14ac:dyDescent="0.2">
      <c r="A28" s="1733" t="s">
        <v>757</v>
      </c>
      <c r="B28" s="1733" t="s">
        <v>757</v>
      </c>
      <c r="C28" s="1734"/>
    </row>
    <row r="29" spans="1:3" x14ac:dyDescent="0.2">
      <c r="A29" s="1733" t="s">
        <v>757</v>
      </c>
      <c r="B29" s="1733" t="s">
        <v>757</v>
      </c>
      <c r="C29" s="1734"/>
    </row>
    <row r="30" spans="1:3" x14ac:dyDescent="0.2">
      <c r="A30" s="1733" t="s">
        <v>757</v>
      </c>
      <c r="B30" s="1733" t="s">
        <v>757</v>
      </c>
      <c r="C30" s="1734"/>
    </row>
    <row r="31" spans="1:3" x14ac:dyDescent="0.2">
      <c r="A31" s="1733" t="s">
        <v>757</v>
      </c>
      <c r="B31" s="1733" t="s">
        <v>757</v>
      </c>
      <c r="C31" s="1734"/>
    </row>
    <row r="32" spans="1:3" x14ac:dyDescent="0.2">
      <c r="A32" s="1733" t="s">
        <v>757</v>
      </c>
      <c r="B32" s="1733" t="s">
        <v>757</v>
      </c>
      <c r="C32" s="1734"/>
    </row>
    <row r="33" spans="1:3" x14ac:dyDescent="0.2">
      <c r="A33" s="1733" t="s">
        <v>757</v>
      </c>
      <c r="B33" s="1733" t="s">
        <v>757</v>
      </c>
      <c r="C33" s="1734"/>
    </row>
    <row r="34" spans="1:3" x14ac:dyDescent="0.2">
      <c r="A34" s="1733" t="s">
        <v>757</v>
      </c>
      <c r="B34" s="1733" t="s">
        <v>757</v>
      </c>
      <c r="C34" s="1734"/>
    </row>
    <row r="35" spans="1:3" x14ac:dyDescent="0.2">
      <c r="A35" s="1733" t="s">
        <v>757</v>
      </c>
      <c r="B35" s="1733" t="s">
        <v>757</v>
      </c>
      <c r="C35" s="1734"/>
    </row>
    <row r="36" spans="1:3" x14ac:dyDescent="0.2">
      <c r="A36" s="1733" t="s">
        <v>757</v>
      </c>
      <c r="B36" s="1733" t="s">
        <v>757</v>
      </c>
      <c r="C36" s="1734"/>
    </row>
    <row r="37" spans="1:3" x14ac:dyDescent="0.2">
      <c r="A37" s="1733" t="s">
        <v>757</v>
      </c>
      <c r="B37" s="1733" t="s">
        <v>757</v>
      </c>
      <c r="C37" s="1734"/>
    </row>
    <row r="38" spans="1:3" x14ac:dyDescent="0.2">
      <c r="A38" s="1733" t="s">
        <v>757</v>
      </c>
      <c r="B38" s="1733" t="s">
        <v>757</v>
      </c>
      <c r="C38" s="1734"/>
    </row>
    <row r="39" spans="1:3" x14ac:dyDescent="0.2">
      <c r="A39" s="1733" t="s">
        <v>757</v>
      </c>
      <c r="B39" s="1733" t="s">
        <v>757</v>
      </c>
      <c r="C39" s="1734"/>
    </row>
    <row r="40" spans="1:3" x14ac:dyDescent="0.2">
      <c r="A40" s="1733" t="s">
        <v>757</v>
      </c>
      <c r="B40" s="1733" t="s">
        <v>757</v>
      </c>
      <c r="C40" s="1734"/>
    </row>
    <row r="41" spans="1:3" x14ac:dyDescent="0.2">
      <c r="A41" s="1733" t="s">
        <v>757</v>
      </c>
      <c r="B41" s="1733" t="s">
        <v>757</v>
      </c>
      <c r="C41" s="1734"/>
    </row>
    <row r="42" spans="1:3" x14ac:dyDescent="0.2">
      <c r="A42" s="1733" t="s">
        <v>757</v>
      </c>
      <c r="B42" s="1733" t="s">
        <v>757</v>
      </c>
      <c r="C42" s="1734"/>
    </row>
    <row r="43" spans="1:3" x14ac:dyDescent="0.2">
      <c r="A43" s="1733" t="s">
        <v>757</v>
      </c>
      <c r="B43" s="1733" t="s">
        <v>757</v>
      </c>
      <c r="C43" s="1734"/>
    </row>
    <row r="44" spans="1:3" x14ac:dyDescent="0.2">
      <c r="A44" s="1733" t="s">
        <v>757</v>
      </c>
      <c r="B44" s="1733" t="s">
        <v>757</v>
      </c>
      <c r="C44" s="1734"/>
    </row>
    <row r="45" spans="1:3" x14ac:dyDescent="0.2">
      <c r="A45" s="1733" t="s">
        <v>757</v>
      </c>
      <c r="B45" s="1733" t="s">
        <v>757</v>
      </c>
      <c r="C45" s="1734"/>
    </row>
    <row r="46" spans="1:3" x14ac:dyDescent="0.2">
      <c r="A46" s="1733" t="s">
        <v>757</v>
      </c>
      <c r="B46" s="1733" t="s">
        <v>757</v>
      </c>
      <c r="C46" s="1734"/>
    </row>
    <row r="47" spans="1:3" x14ac:dyDescent="0.2">
      <c r="A47" s="1733" t="s">
        <v>757</v>
      </c>
      <c r="B47" s="1733" t="s">
        <v>757</v>
      </c>
      <c r="C47" s="1734"/>
    </row>
    <row r="48" spans="1:3" x14ac:dyDescent="0.2">
      <c r="A48" s="1733" t="s">
        <v>757</v>
      </c>
      <c r="B48" s="1733" t="s">
        <v>757</v>
      </c>
      <c r="C48" s="1734"/>
    </row>
    <row r="49" spans="1:4" x14ac:dyDescent="0.2">
      <c r="A49" s="1733" t="s">
        <v>757</v>
      </c>
      <c r="B49" s="1733" t="s">
        <v>757</v>
      </c>
      <c r="C49" s="1734"/>
    </row>
    <row r="50" spans="1:4" x14ac:dyDescent="0.2">
      <c r="A50" s="1733" t="s">
        <v>757</v>
      </c>
      <c r="B50" s="1733" t="s">
        <v>757</v>
      </c>
      <c r="C50" s="1734"/>
    </row>
    <row r="51" spans="1:4" x14ac:dyDescent="0.2">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x14ac:dyDescent="0.2">
      <c r="A52" s="1740" t="s">
        <v>826</v>
      </c>
      <c r="B52" s="1740" t="s">
        <v>827</v>
      </c>
      <c r="C52" s="1738" t="s">
        <v>828</v>
      </c>
      <c r="D52" s="1738" t="s">
        <v>829</v>
      </c>
    </row>
    <row r="53" spans="1:4" x14ac:dyDescent="0.2">
      <c r="A53" s="3260"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x14ac:dyDescent="0.2">
      <c r="A54" s="3260"/>
      <c r="B54" s="1741" t="s">
        <v>832</v>
      </c>
      <c r="C54" s="1738" t="s">
        <v>1248</v>
      </c>
    </row>
    <row r="55" spans="1:4" x14ac:dyDescent="0.2">
      <c r="A55" s="3260"/>
      <c r="B55" s="1741" t="s">
        <v>833</v>
      </c>
      <c r="C55" s="1738" t="s">
        <v>1249</v>
      </c>
    </row>
    <row r="56" spans="1:4" x14ac:dyDescent="0.2">
      <c r="A56" s="3260"/>
      <c r="B56" s="1741" t="s">
        <v>834</v>
      </c>
      <c r="C56" s="1738" t="s">
        <v>1253</v>
      </c>
    </row>
    <row r="57" spans="1:4" x14ac:dyDescent="0.2">
      <c r="A57" s="3260"/>
      <c r="B57" s="1741" t="s">
        <v>835</v>
      </c>
      <c r="C57" s="1738" t="s">
        <v>1250</v>
      </c>
    </row>
    <row r="58" spans="1:4" x14ac:dyDescent="0.2">
      <c r="A58" s="1742"/>
      <c r="B58" s="1738"/>
    </row>
    <row r="59" spans="1:4" x14ac:dyDescent="0.2">
      <c r="A59" s="1742"/>
      <c r="B59" s="1738"/>
    </row>
    <row r="60" spans="1:4" x14ac:dyDescent="0.2">
      <c r="A60" s="1742"/>
      <c r="B60" s="1738"/>
    </row>
    <row r="61" spans="1:4" x14ac:dyDescent="0.2">
      <c r="A61" s="1742"/>
      <c r="B61" s="1738"/>
    </row>
    <row r="62" spans="1:4" x14ac:dyDescent="0.2">
      <c r="A62" s="1742"/>
      <c r="B62" s="1738"/>
    </row>
    <row r="63" spans="1:4" x14ac:dyDescent="0.2">
      <c r="A63" s="1742"/>
      <c r="B63" s="1738"/>
    </row>
    <row r="64" spans="1:4" x14ac:dyDescent="0.2">
      <c r="A64" s="1742"/>
      <c r="B64" s="1738"/>
    </row>
    <row r="65" spans="1:2" x14ac:dyDescent="0.2">
      <c r="A65" s="1742"/>
      <c r="B65" s="1738"/>
    </row>
    <row r="66" spans="1:2" x14ac:dyDescent="0.2">
      <c r="A66" s="1742"/>
      <c r="B66" s="1738"/>
    </row>
    <row r="67" spans="1:2" x14ac:dyDescent="0.2">
      <c r="A67" s="1742"/>
      <c r="B67" s="1738"/>
    </row>
    <row r="68" spans="1:2" x14ac:dyDescent="0.2">
      <c r="A68" s="1742"/>
      <c r="B68" s="1738"/>
    </row>
    <row r="69" spans="1:2" x14ac:dyDescent="0.2">
      <c r="A69" s="1742"/>
      <c r="B69" s="1738"/>
    </row>
    <row r="70" spans="1:2" x14ac:dyDescent="0.2">
      <c r="A70" s="1742"/>
      <c r="B70" s="1738"/>
    </row>
    <row r="71" spans="1:2" x14ac:dyDescent="0.2">
      <c r="A71" s="1742"/>
      <c r="B71" s="1738"/>
    </row>
    <row r="72" spans="1:2" x14ac:dyDescent="0.2">
      <c r="A72" s="1742"/>
      <c r="B72" s="1738"/>
    </row>
    <row r="73" spans="1:2" x14ac:dyDescent="0.2">
      <c r="A73" s="1742"/>
      <c r="B73" s="1738"/>
    </row>
    <row r="74" spans="1:2" x14ac:dyDescent="0.2">
      <c r="A74" s="1742"/>
      <c r="B74" s="1738"/>
    </row>
    <row r="75" spans="1:2" x14ac:dyDescent="0.2">
      <c r="A75" s="1742"/>
      <c r="B75" s="1738"/>
    </row>
    <row r="76" spans="1:2" x14ac:dyDescent="0.2">
      <c r="A76" s="1742"/>
      <c r="B76" s="1738"/>
    </row>
    <row r="77" spans="1:2" x14ac:dyDescent="0.2">
      <c r="A77" s="1742"/>
      <c r="B77" s="1738"/>
    </row>
    <row r="78" spans="1:2" x14ac:dyDescent="0.2">
      <c r="A78" s="1742"/>
      <c r="B78" s="1738"/>
    </row>
    <row r="79" spans="1:2" x14ac:dyDescent="0.2">
      <c r="A79" s="1742"/>
      <c r="B79" s="1738"/>
    </row>
    <row r="80" spans="1:2" x14ac:dyDescent="0.2">
      <c r="A80" s="1742"/>
      <c r="B80" s="1738"/>
    </row>
    <row r="81" spans="1:2" x14ac:dyDescent="0.2">
      <c r="A81" s="1742"/>
      <c r="B81" s="1738"/>
    </row>
    <row r="82" spans="1:2" x14ac:dyDescent="0.2">
      <c r="A82" s="1742"/>
      <c r="B82" s="1738"/>
    </row>
    <row r="83" spans="1:2" x14ac:dyDescent="0.2">
      <c r="A83" s="1742"/>
      <c r="B83" s="1738"/>
    </row>
    <row r="84" spans="1:2" x14ac:dyDescent="0.2">
      <c r="A84" s="1742"/>
      <c r="B84" s="1738"/>
    </row>
    <row r="85" spans="1:2" x14ac:dyDescent="0.2">
      <c r="A85" s="1742"/>
      <c r="B85" s="1738"/>
    </row>
    <row r="86" spans="1:2" x14ac:dyDescent="0.2">
      <c r="A86" s="1742"/>
      <c r="B86" s="1738"/>
    </row>
    <row r="87" spans="1:2" x14ac:dyDescent="0.2">
      <c r="A87" s="1742"/>
      <c r="B87" s="1738"/>
    </row>
    <row r="88" spans="1:2" x14ac:dyDescent="0.2">
      <c r="A88" s="1742"/>
      <c r="B88" s="1738"/>
    </row>
    <row r="89" spans="1:2" x14ac:dyDescent="0.2">
      <c r="A89" s="1742"/>
      <c r="B89" s="1738"/>
    </row>
    <row r="90" spans="1:2" x14ac:dyDescent="0.2">
      <c r="A90" s="1742"/>
      <c r="B90" s="1738"/>
    </row>
    <row r="91" spans="1:2" x14ac:dyDescent="0.2">
      <c r="A91" s="1742"/>
      <c r="B91" s="1738"/>
    </row>
    <row r="92" spans="1:2" x14ac:dyDescent="0.2">
      <c r="A92" s="1742"/>
      <c r="B92" s="1738"/>
    </row>
    <row r="93" spans="1:2" x14ac:dyDescent="0.2">
      <c r="A93" s="1742"/>
      <c r="B93" s="1738"/>
    </row>
    <row r="94" spans="1:2" x14ac:dyDescent="0.2">
      <c r="A94" s="1742"/>
      <c r="B94" s="1738"/>
    </row>
    <row r="95" spans="1:2" x14ac:dyDescent="0.2">
      <c r="A95" s="1742"/>
      <c r="B95" s="1738"/>
    </row>
    <row r="96" spans="1:2" x14ac:dyDescent="0.2">
      <c r="A96" s="1742"/>
      <c r="B96" s="1738"/>
    </row>
    <row r="97" spans="1:2" x14ac:dyDescent="0.2">
      <c r="A97" s="1742"/>
      <c r="B97" s="1738"/>
    </row>
    <row r="98" spans="1:2" x14ac:dyDescent="0.2">
      <c r="A98" s="1742"/>
      <c r="B98" s="1738"/>
    </row>
    <row r="99" spans="1:2" x14ac:dyDescent="0.2">
      <c r="A99" s="1742"/>
      <c r="B99" s="1738"/>
    </row>
    <row r="100" spans="1:2" x14ac:dyDescent="0.2">
      <c r="A100" s="1742"/>
      <c r="B100" s="1738"/>
    </row>
    <row r="101" spans="1:2" x14ac:dyDescent="0.2">
      <c r="A101" s="1742"/>
      <c r="B101" s="1738"/>
    </row>
    <row r="102" spans="1:2" x14ac:dyDescent="0.2">
      <c r="A102" s="1742"/>
      <c r="B102" s="1738"/>
    </row>
    <row r="103" spans="1:2" x14ac:dyDescent="0.2">
      <c r="A103" s="1742"/>
      <c r="B103" s="1738"/>
    </row>
    <row r="104" spans="1:2" x14ac:dyDescent="0.2">
      <c r="A104" s="1742"/>
      <c r="B104" s="1738"/>
    </row>
    <row r="105" spans="1:2" x14ac:dyDescent="0.2">
      <c r="A105" s="1742"/>
      <c r="B105" s="1738"/>
    </row>
    <row r="106" spans="1:2" x14ac:dyDescent="0.2">
      <c r="A106" s="1742"/>
      <c r="B106" s="1738"/>
    </row>
    <row r="107" spans="1:2" x14ac:dyDescent="0.2">
      <c r="A107" s="1742"/>
      <c r="B107" s="1738"/>
    </row>
    <row r="108" spans="1:2" x14ac:dyDescent="0.2">
      <c r="A108" s="1742"/>
      <c r="B108" s="1738"/>
    </row>
    <row r="109" spans="1:2" x14ac:dyDescent="0.2">
      <c r="A109" s="1742"/>
      <c r="B109" s="1738"/>
    </row>
    <row r="110" spans="1:2" x14ac:dyDescent="0.2">
      <c r="A110" s="1742"/>
      <c r="B110" s="1738"/>
    </row>
    <row r="111" spans="1:2" x14ac:dyDescent="0.2">
      <c r="A111" s="1742"/>
      <c r="B111" s="1738"/>
    </row>
    <row r="112" spans="1:2" x14ac:dyDescent="0.2">
      <c r="A112" s="1742"/>
      <c r="B112" s="1738"/>
    </row>
    <row r="113" spans="1:2" x14ac:dyDescent="0.2">
      <c r="A113" s="1742"/>
      <c r="B113" s="1738"/>
    </row>
    <row r="114" spans="1:2" x14ac:dyDescent="0.2">
      <c r="A114" s="1742"/>
      <c r="B114" s="1738"/>
    </row>
    <row r="115" spans="1:2" x14ac:dyDescent="0.2">
      <c r="A115" s="1742"/>
      <c r="B115" s="1738"/>
    </row>
    <row r="116" spans="1:2" x14ac:dyDescent="0.2">
      <c r="A116" s="1742"/>
      <c r="B116" s="1738"/>
    </row>
    <row r="117" spans="1:2" x14ac:dyDescent="0.2">
      <c r="A117" s="1742"/>
      <c r="B117" s="1738"/>
    </row>
    <row r="118" spans="1:2" x14ac:dyDescent="0.2">
      <c r="A118" s="1742"/>
      <c r="B118" s="1738"/>
    </row>
    <row r="119" spans="1:2" x14ac:dyDescent="0.2">
      <c r="A119" s="1742"/>
      <c r="B119" s="1738"/>
    </row>
    <row r="120" spans="1:2" x14ac:dyDescent="0.2">
      <c r="A120" s="1742"/>
      <c r="B120" s="1738"/>
    </row>
    <row r="121" spans="1:2" x14ac:dyDescent="0.2">
      <c r="A121" s="1742"/>
      <c r="B121" s="1738"/>
    </row>
    <row r="122" spans="1:2" x14ac:dyDescent="0.2">
      <c r="A122" s="1742"/>
      <c r="B122" s="1738"/>
    </row>
    <row r="123" spans="1:2" x14ac:dyDescent="0.2">
      <c r="A123" s="1742"/>
      <c r="B123" s="1738"/>
    </row>
    <row r="124" spans="1:2" x14ac:dyDescent="0.2">
      <c r="A124" s="1742"/>
      <c r="B124" s="1738"/>
    </row>
    <row r="125" spans="1:2" x14ac:dyDescent="0.2">
      <c r="A125" s="1742"/>
      <c r="B125" s="1738"/>
    </row>
    <row r="126" spans="1:2" x14ac:dyDescent="0.2">
      <c r="A126" s="1742"/>
      <c r="B126" s="1738"/>
    </row>
    <row r="127" spans="1:2" x14ac:dyDescent="0.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AD56"/>
  <sheetViews>
    <sheetView view="pageBreakPreview" zoomScale="110" zoomScaleSheetLayoutView="110" workbookViewId="0">
      <selection activeCell="B11" sqref="B11"/>
    </sheetView>
  </sheetViews>
  <sheetFormatPr baseColWidth="10" defaultColWidth="10" defaultRowHeight="13" x14ac:dyDescent="0.2"/>
  <cols>
    <col min="1" max="1" width="16.83203125" style="1933" customWidth="1"/>
    <col min="2" max="2" width="10" style="1933" customWidth="1"/>
    <col min="3" max="3" width="11.5" style="1933" customWidth="1"/>
    <col min="4" max="4" width="10" style="1933" customWidth="1"/>
    <col min="5" max="5" width="12.6640625" style="1933" customWidth="1"/>
    <col min="6" max="6" width="10" style="1933" customWidth="1"/>
    <col min="7" max="7" width="10.6640625" style="1933" customWidth="1"/>
    <col min="8" max="8" width="10" style="1933" customWidth="1"/>
    <col min="9" max="9" width="11.164062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5" thickBot="1" x14ac:dyDescent="0.25">
      <c r="A1" s="2592" t="s">
        <v>2913</v>
      </c>
      <c r="B1" s="3269" t="str">
        <f>IF(B10="北京市","北京市",C10)&amp;F10&amp;IF(结果表!G1="在建","出让国有建设用地使用权及在建建筑物",IF(结果表!G1="土地","出让国有建设用地使用权",))&amp;B9&amp;"预评估"</f>
        <v>北京市房地产市场价值预评估</v>
      </c>
      <c r="C1" s="3270"/>
      <c r="D1" s="3270"/>
      <c r="E1" s="3270"/>
      <c r="F1" s="3270"/>
      <c r="G1" s="3270"/>
      <c r="H1" s="3270"/>
      <c r="I1" s="3271"/>
      <c r="J1" s="2697"/>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ht="14" x14ac:dyDescent="0.2">
      <c r="A2" s="2593" t="s">
        <v>2914</v>
      </c>
      <c r="B2" s="2597"/>
      <c r="C2" s="2598"/>
      <c r="D2" s="2899"/>
      <c r="E2" s="2889"/>
      <c r="F2" s="2889"/>
      <c r="G2" s="2890"/>
      <c r="H2" s="2890"/>
      <c r="I2" s="2890"/>
      <c r="J2" s="2697"/>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ht="14" x14ac:dyDescent="0.2">
      <c r="A3" s="308" t="s">
        <v>2915</v>
      </c>
      <c r="B3" s="3190">
        <v>44606</v>
      </c>
      <c r="C3" s="2599" t="s">
        <v>2916</v>
      </c>
      <c r="D3" s="3190">
        <f>B3</f>
        <v>44606</v>
      </c>
      <c r="E3" s="2890"/>
      <c r="F3" s="2890"/>
      <c r="G3" s="2890"/>
      <c r="H3" s="2890"/>
      <c r="I3" s="2890"/>
      <c r="J3" s="2697"/>
      <c r="K3" s="2594"/>
      <c r="L3" s="2595"/>
      <c r="M3" s="2595"/>
      <c r="N3" s="2596"/>
      <c r="O3" s="1763"/>
      <c r="P3" s="2596"/>
      <c r="Q3" s="2596"/>
      <c r="R3" s="2596"/>
      <c r="S3" s="1870"/>
      <c r="T3" s="1933"/>
      <c r="U3" s="1933"/>
      <c r="V3" s="1933"/>
      <c r="W3" s="1933"/>
      <c r="X3" s="1933"/>
      <c r="Y3" s="1933"/>
      <c r="Z3" s="1933"/>
      <c r="AA3" s="1933"/>
      <c r="AB3" s="1933"/>
    </row>
    <row r="4" spans="1:28" ht="15" thickBot="1" x14ac:dyDescent="0.25">
      <c r="A4" s="1250" t="s">
        <v>2917</v>
      </c>
      <c r="B4" s="2600" t="s">
        <v>3186</v>
      </c>
      <c r="C4" s="2601">
        <f ca="1">SUMIF(注册房地产估价师,B4,估价师及机构信息!B3:B24)</f>
        <v>0</v>
      </c>
      <c r="D4" s="2600" t="s">
        <v>3249</v>
      </c>
      <c r="E4" s="2602">
        <f ca="1">SUMIF(注册房地产估价师,D4,估价师及机构信息!B3:B24)</f>
        <v>1119970111</v>
      </c>
      <c r="F4" s="2600"/>
      <c r="G4" s="2602">
        <f>SUMIF(注册房地产估价师,F4,估价师及机构信息!B3:B24)</f>
        <v>0</v>
      </c>
      <c r="H4" s="2600"/>
      <c r="I4" s="2602">
        <f>SUMIF(注册房地产估价师,H4,估价师及机构信息!B3:B24)</f>
        <v>0</v>
      </c>
      <c r="J4" s="2665"/>
      <c r="K4" s="2603" t="str">
        <f ca="1">CONCATENATE(B4,"（注册号：",C4,")、",D4,"（注册号：",E4,")")</f>
        <v>陈颖（注册号：0)、叶凌（注册号：1119970111)</v>
      </c>
      <c r="L4" s="2595"/>
      <c r="M4" s="2595"/>
      <c r="N4" s="2596"/>
      <c r="O4" s="1763"/>
      <c r="P4" s="2596"/>
      <c r="Q4" s="2596"/>
      <c r="R4" s="2596"/>
      <c r="S4" s="1870"/>
      <c r="T4" s="1933"/>
      <c r="U4" s="1933"/>
      <c r="V4" s="1933"/>
      <c r="W4" s="1933"/>
      <c r="X4" s="1933"/>
      <c r="Y4" s="1933"/>
      <c r="Z4" s="1933"/>
      <c r="AA4" s="1933"/>
      <c r="AB4" s="1933"/>
    </row>
    <row r="5" spans="1:28" ht="15" thickTop="1" x14ac:dyDescent="0.2">
      <c r="A5" s="2604" t="s">
        <v>2918</v>
      </c>
      <c r="B5" s="3119" t="s">
        <v>3271</v>
      </c>
      <c r="C5" s="2605"/>
      <c r="D5" s="2606"/>
      <c r="E5" s="2891"/>
      <c r="F5" s="2891"/>
      <c r="G5" s="2891"/>
      <c r="H5" s="2891"/>
      <c r="I5" s="2891"/>
      <c r="J5" s="2665"/>
      <c r="K5" s="2603"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ht="14" x14ac:dyDescent="0.2">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ht="14" x14ac:dyDescent="0.2">
      <c r="A7" s="2607" t="s">
        <v>2920</v>
      </c>
      <c r="B7" s="2611"/>
      <c r="C7" s="2609"/>
      <c r="D7" s="2610"/>
      <c r="E7" s="2889"/>
      <c r="F7" s="2891"/>
      <c r="G7" s="2891"/>
      <c r="H7" s="2891"/>
      <c r="I7" s="2891"/>
      <c r="J7" s="2665"/>
      <c r="K7" s="2842"/>
      <c r="L7" s="2839"/>
      <c r="M7" s="2839"/>
      <c r="N7" s="2665"/>
      <c r="O7" s="2676"/>
      <c r="P7" s="2665"/>
      <c r="Q7" s="2665"/>
      <c r="R7" s="2665"/>
    </row>
    <row r="8" spans="1:28" ht="14" x14ac:dyDescent="0.2">
      <c r="A8" s="2612" t="s">
        <v>2921</v>
      </c>
      <c r="B8" s="2613" t="s">
        <v>3187</v>
      </c>
      <c r="C8" s="2614"/>
      <c r="D8" s="3272" t="s">
        <v>2922</v>
      </c>
      <c r="E8" s="2615"/>
      <c r="F8" s="2616"/>
      <c r="G8" s="2890"/>
      <c r="H8" s="2890"/>
      <c r="I8" s="2890"/>
      <c r="J8" s="2665"/>
      <c r="K8" s="2840"/>
      <c r="L8" s="2839"/>
      <c r="M8" s="2839"/>
      <c r="N8" s="2665"/>
      <c r="O8" s="2676"/>
      <c r="P8" s="2665"/>
      <c r="Q8" s="2665"/>
      <c r="R8" s="2665"/>
    </row>
    <row r="9" spans="1:28" ht="15" thickBot="1" x14ac:dyDescent="0.25">
      <c r="A9" s="2617" t="s">
        <v>2923</v>
      </c>
      <c r="B9" s="2618" t="s">
        <v>3188</v>
      </c>
      <c r="C9" s="2619"/>
      <c r="D9" s="3273"/>
      <c r="E9" s="2618"/>
      <c r="F9" s="2620"/>
      <c r="G9" s="2892"/>
      <c r="H9" s="2892"/>
      <c r="I9" s="2892"/>
      <c r="J9" s="2665"/>
      <c r="K9" s="2842"/>
      <c r="L9" s="2839"/>
      <c r="M9" s="2839"/>
      <c r="N9" s="2665"/>
      <c r="O9" s="2676"/>
      <c r="P9" s="2665"/>
      <c r="Q9" s="2665"/>
      <c r="R9" s="2665"/>
    </row>
    <row r="10" spans="1:28" ht="15" thickTop="1" x14ac:dyDescent="0.2">
      <c r="A10" s="2621" t="s">
        <v>2924</v>
      </c>
      <c r="B10" s="2622" t="s">
        <v>3189</v>
      </c>
      <c r="C10" s="2623"/>
      <c r="D10" s="2606"/>
      <c r="E10" s="2624" t="s">
        <v>2925</v>
      </c>
      <c r="F10" s="2893"/>
      <c r="G10" s="2894"/>
      <c r="H10" s="2895"/>
      <c r="I10" s="2896"/>
      <c r="J10" s="2665"/>
      <c r="K10" s="2842"/>
      <c r="L10" s="2839"/>
      <c r="M10" s="2839"/>
      <c r="N10" s="2665"/>
      <c r="O10" s="2676"/>
      <c r="P10" s="2665"/>
      <c r="Q10" s="2665"/>
      <c r="R10" s="2665"/>
    </row>
    <row r="11" spans="1:28" ht="14" x14ac:dyDescent="0.2">
      <c r="A11" s="2625" t="s">
        <v>2926</v>
      </c>
      <c r="B11" s="2626" t="s">
        <v>3190</v>
      </c>
      <c r="C11" s="2627"/>
      <c r="D11" s="2628"/>
      <c r="E11" s="2596"/>
      <c r="F11" s="2596"/>
      <c r="G11" s="2596"/>
      <c r="H11" s="2596"/>
      <c r="I11" s="2596"/>
      <c r="J11" s="2665"/>
      <c r="K11" s="2842"/>
      <c r="L11" s="2839"/>
      <c r="M11" s="2839"/>
      <c r="N11" s="2665"/>
      <c r="O11" s="2676"/>
      <c r="P11" s="2665"/>
      <c r="Q11" s="2665"/>
      <c r="R11" s="2665"/>
    </row>
    <row r="12" spans="1:28" ht="14" x14ac:dyDescent="0.2">
      <c r="A12" s="2629" t="s">
        <v>2927</v>
      </c>
      <c r="B12" s="2626" t="s">
        <v>3252</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ht="14" x14ac:dyDescent="0.2">
      <c r="A13" s="1241"/>
      <c r="B13" s="2631"/>
      <c r="C13" s="2632" t="s">
        <v>2935</v>
      </c>
      <c r="D13" s="965"/>
      <c r="E13" s="965"/>
      <c r="F13" s="965">
        <v>54960</v>
      </c>
      <c r="G13" s="965"/>
      <c r="H13" s="965"/>
      <c r="I13" s="965"/>
      <c r="J13" s="2665"/>
      <c r="K13" s="2842"/>
      <c r="L13" s="2839"/>
      <c r="M13" s="2839"/>
      <c r="N13" s="2665"/>
      <c r="O13" s="2676"/>
      <c r="P13" s="2665"/>
      <c r="Q13" s="2665"/>
      <c r="R13" s="2665"/>
    </row>
    <row r="14" spans="1:28" ht="14" x14ac:dyDescent="0.2">
      <c r="A14" s="1241"/>
      <c r="B14" s="2631"/>
      <c r="C14" s="2632" t="s">
        <v>2936</v>
      </c>
      <c r="D14" s="2633"/>
      <c r="E14" s="2633">
        <v>40</v>
      </c>
      <c r="F14" s="2633">
        <v>50</v>
      </c>
      <c r="G14" s="2633"/>
      <c r="H14" s="2633"/>
      <c r="I14" s="2633"/>
      <c r="J14" s="2665"/>
      <c r="K14" s="2843"/>
      <c r="L14" s="2839"/>
      <c r="M14" s="2839"/>
      <c r="N14" s="2665"/>
      <c r="O14" s="2676"/>
      <c r="P14" s="2665"/>
      <c r="Q14" s="2665"/>
      <c r="R14" s="2665"/>
    </row>
    <row r="15" spans="1:28" ht="14" x14ac:dyDescent="0.2">
      <c r="A15" s="326"/>
      <c r="B15" s="2634"/>
      <c r="C15" s="2635" t="s">
        <v>2937</v>
      </c>
      <c r="D15" s="2636" t="str">
        <f>IF(B12="出让",IF(D13="","",ROUNDDOWN(MIN((D13-$D$3)/365,D14),2)),D14)</f>
        <v/>
      </c>
      <c r="E15" s="2636" t="str">
        <f>IF(B12="出让",IF(E13="","",ROUNDDOWN(MIN((E13-$D$3)/365,E14),2)),E14)</f>
        <v/>
      </c>
      <c r="F15" s="2636">
        <f>IF(B12="出让",IF(F13="","",ROUNDDOWN(MIN((F13-$D$3)/365,F14),2)),F14)</f>
        <v>28.36</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ht="14" x14ac:dyDescent="0.2">
      <c r="A16" s="2624" t="s">
        <v>2938</v>
      </c>
      <c r="B16" s="3279"/>
      <c r="C16" s="3280"/>
      <c r="D16" s="3281"/>
      <c r="E16" s="2639" t="s">
        <v>2939</v>
      </c>
      <c r="F16" s="3282" t="str">
        <f>E15</f>
        <v/>
      </c>
      <c r="G16" s="3283"/>
      <c r="H16" s="3283"/>
      <c r="I16" s="3284"/>
      <c r="J16" s="2665"/>
      <c r="K16" s="2844"/>
      <c r="L16" s="2677"/>
      <c r="M16" s="2677"/>
      <c r="N16" s="2735"/>
      <c r="O16" s="2677"/>
      <c r="P16" s="2735"/>
      <c r="Q16" s="2665"/>
      <c r="R16" s="2665"/>
    </row>
    <row r="17" spans="1:28" ht="14" x14ac:dyDescent="0.2">
      <c r="A17" s="319" t="s">
        <v>2940</v>
      </c>
      <c r="B17" s="308" t="s">
        <v>2941</v>
      </c>
      <c r="C17" s="11">
        <f>'数据-汇总表'!E3</f>
        <v>547.29</v>
      </c>
      <c r="D17" s="2547" t="s">
        <v>2942</v>
      </c>
      <c r="E17" s="3285" t="s">
        <v>3198</v>
      </c>
      <c r="F17" s="3286"/>
      <c r="G17" s="3286"/>
      <c r="H17" s="3286"/>
      <c r="I17" s="3287"/>
      <c r="J17" s="2665"/>
      <c r="K17" s="2845"/>
      <c r="L17" s="2677"/>
      <c r="M17" s="2677"/>
      <c r="N17" s="2735"/>
      <c r="O17" s="2677"/>
      <c r="P17" s="2735"/>
      <c r="Q17" s="2665"/>
      <c r="R17" s="2665"/>
      <c r="S17" s="2665"/>
      <c r="T17" s="2665"/>
      <c r="U17" s="2665"/>
      <c r="V17" s="2665"/>
    </row>
    <row r="18" spans="1:28" ht="29" thickBot="1" x14ac:dyDescent="0.25">
      <c r="A18" s="2640" t="s">
        <v>2943</v>
      </c>
      <c r="B18" s="1250" t="s">
        <v>2944</v>
      </c>
      <c r="C18" s="2641" t="e">
        <f>'数据-汇总表'!D3</f>
        <v>#DIV/0!</v>
      </c>
      <c r="D18" s="1252" t="s">
        <v>2945</v>
      </c>
      <c r="E18" s="3288" t="s">
        <v>2946</v>
      </c>
      <c r="F18" s="3289"/>
      <c r="G18" s="3289"/>
      <c r="H18" s="3289"/>
      <c r="I18" s="3290"/>
      <c r="J18" s="2665"/>
      <c r="K18" s="2845"/>
      <c r="L18" s="2677"/>
      <c r="M18" s="2677"/>
      <c r="N18" s="2735"/>
      <c r="O18" s="2677"/>
      <c r="P18" s="2735"/>
      <c r="Q18" s="2665"/>
      <c r="R18" s="2665"/>
      <c r="S18" s="2665"/>
      <c r="T18" s="2665"/>
      <c r="U18" s="2665"/>
      <c r="V18" s="2665"/>
    </row>
    <row r="19" spans="1:28" ht="44" thickTop="1" thickBot="1" x14ac:dyDescent="0.25">
      <c r="A19" s="333" t="s">
        <v>1741</v>
      </c>
      <c r="B19" s="313" t="s">
        <v>2947</v>
      </c>
      <c r="C19" s="1750" t="s">
        <v>3272</v>
      </c>
      <c r="D19" s="1751" t="s">
        <v>2948</v>
      </c>
      <c r="E19" s="1752" t="s">
        <v>3272</v>
      </c>
      <c r="F19" s="1753" t="str">
        <f>IF(AND(C19="是",E19="否"),"是否提供他项权证或相关说明","")</f>
        <v/>
      </c>
      <c r="G19" s="1754"/>
      <c r="H19" s="2891"/>
      <c r="I19" s="2891"/>
      <c r="J19" s="2665"/>
      <c r="K19" s="2842"/>
      <c r="L19" s="2839"/>
      <c r="M19" s="2839"/>
      <c r="N19" s="2735"/>
      <c r="O19" s="2677"/>
      <c r="P19" s="2735"/>
      <c r="Q19" s="2665"/>
      <c r="R19" s="2665"/>
      <c r="S19" s="2665"/>
      <c r="T19" s="2665"/>
      <c r="U19" s="2665"/>
      <c r="V19" s="2665"/>
    </row>
    <row r="20" spans="1:28" ht="14" x14ac:dyDescent="0.2">
      <c r="A20" s="2859" t="s">
        <v>2949</v>
      </c>
      <c r="B20" s="3275" t="s">
        <v>2950</v>
      </c>
      <c r="C20" s="3276"/>
      <c r="D20" s="3277" t="s">
        <v>2951</v>
      </c>
      <c r="E20" s="3278"/>
      <c r="F20" s="2874" t="s">
        <v>1742</v>
      </c>
      <c r="G20" s="2891"/>
      <c r="H20" s="2891"/>
      <c r="I20" s="2891"/>
      <c r="J20" s="2665"/>
      <c r="K20" s="3274" t="s">
        <v>2952</v>
      </c>
      <c r="L20" s="693"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595"/>
      <c r="N20" s="2638"/>
      <c r="O20" s="2637"/>
      <c r="P20" s="2638"/>
      <c r="Q20" s="2596"/>
      <c r="R20" s="2596"/>
      <c r="S20" s="2596"/>
      <c r="T20" s="2596"/>
      <c r="U20" s="2596"/>
      <c r="V20" s="2596"/>
      <c r="W20" s="1933"/>
      <c r="X20" s="1933"/>
      <c r="Y20" s="1933"/>
      <c r="Z20" s="1933"/>
      <c r="AA20" s="1933"/>
      <c r="AB20" s="1933"/>
    </row>
    <row r="21" spans="1:28" ht="29" thickBot="1" x14ac:dyDescent="0.25">
      <c r="A21" s="2859"/>
      <c r="B21" s="2860" t="s">
        <v>2953</v>
      </c>
      <c r="C21" s="2861" t="s">
        <v>3244</v>
      </c>
      <c r="D21" s="1755" t="s">
        <v>2954</v>
      </c>
      <c r="E21" s="2862" t="s">
        <v>1743</v>
      </c>
      <c r="F21" s="2875"/>
      <c r="G21" s="2891"/>
      <c r="H21" s="2891"/>
      <c r="I21" s="2891"/>
      <c r="J21" s="2665"/>
      <c r="K21" s="327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38"/>
      <c r="O21" s="2637"/>
      <c r="P21" s="2638"/>
      <c r="Q21" s="2596"/>
      <c r="R21" s="2596"/>
      <c r="S21" s="2596"/>
      <c r="T21" s="2596"/>
      <c r="U21" s="2596"/>
      <c r="V21" s="2596"/>
      <c r="W21" s="1933"/>
      <c r="X21" s="1933"/>
      <c r="Y21" s="1933"/>
      <c r="Z21" s="1933"/>
      <c r="AA21" s="1933"/>
      <c r="AB21" s="1933"/>
    </row>
    <row r="22" spans="1:28" ht="14" thickBot="1" x14ac:dyDescent="0.25">
      <c r="A22" s="2859"/>
      <c r="B22" s="2863"/>
      <c r="C22" s="2861"/>
      <c r="D22" s="2890"/>
      <c r="E22" s="2890"/>
      <c r="F22" s="2890"/>
      <c r="G22" s="2891"/>
      <c r="H22" s="2891"/>
      <c r="I22" s="2891"/>
      <c r="J22" s="2665"/>
      <c r="K22" s="327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ht="14" x14ac:dyDescent="0.2">
      <c r="A23" s="2864" t="s">
        <v>2955</v>
      </c>
      <c r="B23" s="2728" t="s">
        <v>2956</v>
      </c>
      <c r="C23" s="2865"/>
      <c r="D23" s="2866" t="s">
        <v>2956</v>
      </c>
      <c r="E23" s="2867"/>
      <c r="F23" s="2890"/>
      <c r="G23" s="2891"/>
      <c r="H23" s="2891"/>
      <c r="I23" s="2891"/>
      <c r="J23" s="2665"/>
      <c r="K23" s="2846"/>
      <c r="L23" s="2701"/>
      <c r="M23" s="2839"/>
      <c r="N23" s="2735"/>
      <c r="O23" s="2677"/>
      <c r="P23" s="2735"/>
      <c r="Q23" s="2665"/>
      <c r="R23" s="2665"/>
      <c r="S23" s="2665"/>
      <c r="T23" s="2665"/>
      <c r="U23" s="2665"/>
      <c r="V23" s="2665"/>
    </row>
    <row r="24" spans="1:28" ht="14" x14ac:dyDescent="0.2">
      <c r="A24" s="2864"/>
      <c r="B24" s="2728" t="s">
        <v>1744</v>
      </c>
      <c r="C24" s="2868"/>
      <c r="D24" s="2864" t="s">
        <v>1744</v>
      </c>
      <c r="E24" s="2869"/>
      <c r="F24" s="2890"/>
      <c r="G24" s="2891"/>
      <c r="H24" s="2891"/>
      <c r="I24" s="2891"/>
      <c r="J24" s="2665"/>
      <c r="K24" s="2846"/>
      <c r="L24" s="2701"/>
      <c r="M24" s="2839"/>
      <c r="N24" s="2735"/>
      <c r="O24" s="2677"/>
      <c r="P24" s="2735"/>
      <c r="Q24" s="2665"/>
      <c r="R24" s="2665"/>
      <c r="S24" s="2665"/>
      <c r="T24" s="2665"/>
      <c r="U24" s="2665"/>
      <c r="V24" s="2665"/>
    </row>
    <row r="25" spans="1:28" ht="14" x14ac:dyDescent="0.2">
      <c r="A25" s="2864"/>
      <c r="B25" s="2728" t="s">
        <v>1745</v>
      </c>
      <c r="C25" s="2868"/>
      <c r="D25" s="2864" t="s">
        <v>1745</v>
      </c>
      <c r="E25" s="2869"/>
      <c r="F25" s="2890"/>
      <c r="G25" s="2891"/>
      <c r="H25" s="2891"/>
      <c r="I25" s="2891"/>
      <c r="J25" s="2665"/>
      <c r="K25" s="2842"/>
      <c r="L25" s="2839"/>
      <c r="M25" s="2839"/>
      <c r="N25" s="2735"/>
      <c r="O25" s="2677"/>
      <c r="P25" s="2735"/>
      <c r="Q25" s="2665"/>
      <c r="R25" s="2665"/>
      <c r="S25" s="2665"/>
      <c r="T25" s="2665"/>
      <c r="U25" s="2665"/>
      <c r="V25" s="2665"/>
    </row>
    <row r="26" spans="1:28" ht="15" thickBot="1" x14ac:dyDescent="0.25">
      <c r="A26" s="2870"/>
      <c r="B26" s="2871" t="s">
        <v>1746</v>
      </c>
      <c r="C26" s="2872"/>
      <c r="D26" s="2870" t="s">
        <v>1746</v>
      </c>
      <c r="E26" s="2873"/>
      <c r="F26" s="2892"/>
      <c r="G26" s="2892"/>
      <c r="H26" s="2892"/>
      <c r="I26" s="2892"/>
      <c r="J26" s="2665"/>
      <c r="K26" s="2842"/>
      <c r="L26" s="2839"/>
      <c r="M26" s="2839"/>
      <c r="N26" s="2735"/>
      <c r="O26" s="2677"/>
      <c r="P26" s="2735"/>
      <c r="Q26" s="2665"/>
      <c r="R26" s="2665"/>
      <c r="S26" s="2665"/>
      <c r="T26" s="2665"/>
      <c r="U26" s="2665"/>
      <c r="V26" s="2665"/>
    </row>
    <row r="27" spans="1:28" ht="15" thickTop="1" x14ac:dyDescent="0.2">
      <c r="A27" s="3262" t="s">
        <v>2957</v>
      </c>
      <c r="B27" s="326" t="s">
        <v>2958</v>
      </c>
      <c r="C27" s="2642" t="s">
        <v>3273</v>
      </c>
      <c r="D27" s="2643"/>
      <c r="E27" s="2891"/>
      <c r="F27" s="2891"/>
      <c r="G27" s="2891"/>
      <c r="H27" s="2891"/>
      <c r="I27" s="2891"/>
      <c r="J27" s="2665"/>
      <c r="K27" s="2844"/>
      <c r="L27" s="2677"/>
      <c r="M27" s="2677"/>
      <c r="N27" s="2735"/>
      <c r="O27" s="2677"/>
      <c r="P27" s="2735"/>
      <c r="Q27" s="2665"/>
      <c r="R27" s="2665"/>
      <c r="S27" s="2665"/>
      <c r="T27" s="2665"/>
      <c r="U27" s="2665"/>
      <c r="V27" s="2665"/>
    </row>
    <row r="28" spans="1:28" ht="14" x14ac:dyDescent="0.2">
      <c r="A28" s="3262"/>
      <c r="B28" s="308" t="s">
        <v>2959</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ht="14" x14ac:dyDescent="0.2">
      <c r="A29" s="3262"/>
      <c r="B29" s="308" t="s">
        <v>2960</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ht="14" x14ac:dyDescent="0.2">
      <c r="A30" s="3263"/>
      <c r="B30" s="308" t="s">
        <v>2961</v>
      </c>
      <c r="C30" s="3264"/>
      <c r="D30" s="3265"/>
      <c r="E30" s="2891"/>
      <c r="F30" s="2891"/>
      <c r="G30" s="2891"/>
      <c r="H30" s="2891"/>
      <c r="I30" s="2891"/>
      <c r="J30" s="2665"/>
      <c r="K30" s="2842"/>
      <c r="L30" s="2839"/>
      <c r="M30" s="2839"/>
      <c r="N30" s="2665"/>
      <c r="O30" s="2676"/>
      <c r="P30" s="2665"/>
      <c r="Q30" s="2665"/>
      <c r="R30" s="2665"/>
      <c r="S30" s="2665"/>
      <c r="T30" s="2665"/>
      <c r="U30" s="2665"/>
      <c r="V30" s="2665"/>
    </row>
    <row r="31" spans="1:28" x14ac:dyDescent="0.2">
      <c r="A31" s="3266" t="s">
        <v>2962</v>
      </c>
      <c r="B31" s="2648" t="s">
        <v>3191</v>
      </c>
      <c r="C31" s="2548" t="str">
        <f>IF(B31="现房","成新及维护状况正常否",IF(B31="在建","工程状态是否正常",IF(B31="土地","是否闲置","-")))</f>
        <v>成新及维护状况正常否</v>
      </c>
      <c r="D31" s="1559"/>
      <c r="E31" s="2649"/>
      <c r="F31" s="2891"/>
      <c r="G31" s="2891"/>
      <c r="H31" s="2891"/>
      <c r="I31" s="2891"/>
      <c r="J31" s="2665"/>
      <c r="K31" s="2841"/>
      <c r="L31" s="2839"/>
      <c r="M31" s="2839"/>
      <c r="N31" s="2665"/>
      <c r="O31" s="2676"/>
      <c r="P31" s="2665"/>
      <c r="Q31" s="2665"/>
      <c r="R31" s="2665"/>
      <c r="S31" s="2665"/>
      <c r="T31" s="2665"/>
      <c r="U31" s="2665"/>
      <c r="V31" s="2665"/>
    </row>
    <row r="32" spans="1:28" x14ac:dyDescent="0.2">
      <c r="A32" s="3267"/>
      <c r="B32" s="2648"/>
      <c r="C32" s="2548" t="str">
        <f>IF(B32="现房","成新及维护状况是否正常",IF(B32="在建","工程状态是否正常",IF(B32="土地","是否闲置","-")))</f>
        <v>-</v>
      </c>
      <c r="D32" s="1559"/>
      <c r="E32" s="2649"/>
      <c r="F32" s="2891"/>
      <c r="G32" s="2891"/>
      <c r="H32" s="2891"/>
      <c r="I32" s="2891"/>
      <c r="J32" s="2665"/>
      <c r="K32" s="2842"/>
      <c r="L32" s="2839"/>
      <c r="M32" s="2839"/>
      <c r="N32" s="2665"/>
      <c r="O32" s="2676"/>
      <c r="P32" s="2665"/>
      <c r="Q32" s="2665"/>
      <c r="R32" s="2665"/>
      <c r="S32" s="2665"/>
      <c r="T32" s="2665"/>
      <c r="U32" s="2665"/>
      <c r="V32" s="2665"/>
    </row>
    <row r="33" spans="1:30" x14ac:dyDescent="0.2">
      <c r="A33" s="3267"/>
      <c r="B33" s="2651"/>
      <c r="C33" s="1777" t="str">
        <f>IF(B33="现房","成新及维护状况是否正常",IF(B33="在建","工程状态是否正常",IF(B33="土地","是否闲置","-")))</f>
        <v>-</v>
      </c>
      <c r="D33" s="1551"/>
      <c r="E33" s="2652"/>
      <c r="F33" s="2891"/>
      <c r="G33" s="2891"/>
      <c r="H33" s="2891"/>
      <c r="I33" s="2891"/>
      <c r="J33" s="2665"/>
      <c r="K33" s="2842"/>
      <c r="L33" s="2839"/>
      <c r="M33" s="2839"/>
      <c r="N33" s="2665"/>
      <c r="O33" s="2676"/>
      <c r="P33" s="2665"/>
      <c r="Q33" s="2665"/>
      <c r="R33" s="2665"/>
      <c r="S33" s="2665"/>
      <c r="T33" s="2665"/>
      <c r="U33" s="2665"/>
      <c r="V33" s="2665"/>
    </row>
    <row r="34" spans="1:30" ht="14" x14ac:dyDescent="0.2">
      <c r="A34" s="308" t="s">
        <v>2963</v>
      </c>
      <c r="B34" s="2216" t="s">
        <v>3192</v>
      </c>
      <c r="C34" s="2216" t="s">
        <v>3193</v>
      </c>
      <c r="D34" s="2216" t="s">
        <v>3194</v>
      </c>
      <c r="E34" s="2216" t="s">
        <v>3195</v>
      </c>
      <c r="F34" s="2216" t="s">
        <v>3196</v>
      </c>
      <c r="G34" s="2216" t="s">
        <v>3197</v>
      </c>
      <c r="H34" s="2216"/>
      <c r="I34" s="2891"/>
      <c r="J34" s="2665"/>
      <c r="K34" s="2653">
        <f>COUNTIF(B34:H34,"——")</f>
        <v>0</v>
      </c>
      <c r="L34" s="329" t="s">
        <v>2964</v>
      </c>
      <c r="M34" s="329" t="s">
        <v>2965</v>
      </c>
      <c r="N34" s="329" t="s">
        <v>2966</v>
      </c>
      <c r="O34" s="329" t="s">
        <v>2967</v>
      </c>
      <c r="P34" s="329" t="s">
        <v>2968</v>
      </c>
      <c r="Q34" s="329" t="s">
        <v>2969</v>
      </c>
      <c r="R34" s="329" t="s">
        <v>2970</v>
      </c>
      <c r="S34" s="3261" t="s">
        <v>2971</v>
      </c>
      <c r="T34" s="2654" t="str">
        <f>NUMBERSTRING(7-K34,1)&amp;"通"</f>
        <v>七通</v>
      </c>
      <c r="U34" s="2665"/>
      <c r="V34" s="2665"/>
    </row>
    <row r="35" spans="1:30" x14ac:dyDescent="0.2">
      <c r="A35" s="2655"/>
      <c r="B35" s="3268" t="s">
        <v>2972</v>
      </c>
      <c r="C35" s="3268"/>
      <c r="D35" s="3268"/>
      <c r="E35" s="3268"/>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61"/>
      <c r="T35" s="335" t="str">
        <f>IF(T34="一通",L35,IF(T34="二通",M35,IF(T34="三通",N35,IF(T34="四通",O35,IF(T34="五通",P35,IF(T34="六通",Q35,R35))))))</f>
        <v>通路、通电、通讯、通上水、通下水、平整、</v>
      </c>
      <c r="U35" s="2665"/>
      <c r="V35" s="2665"/>
    </row>
    <row r="36" spans="1:30" ht="14" x14ac:dyDescent="0.2">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ht="14" x14ac:dyDescent="0.2">
      <c r="A37" s="2857" t="s">
        <v>2973</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5" thickBot="1" x14ac:dyDescent="0.25">
      <c r="A38" s="2858" t="s">
        <v>2974</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6" thickTop="1" thickBot="1" x14ac:dyDescent="0.25">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x14ac:dyDescent="0.2">
      <c r="A40" s="2596"/>
      <c r="B40" s="2596"/>
      <c r="C40" s="2596"/>
      <c r="D40" s="2596"/>
      <c r="E40" s="2596"/>
      <c r="F40" s="2596"/>
      <c r="G40" s="2596"/>
      <c r="H40" s="2596"/>
      <c r="I40" s="1765"/>
      <c r="J40" s="2735"/>
      <c r="K40" s="2841"/>
      <c r="L40" s="2677"/>
      <c r="M40" s="2677"/>
      <c r="N40" s="2735"/>
      <c r="O40" s="2677"/>
      <c r="P40" s="2665"/>
      <c r="Q40" s="2665"/>
      <c r="R40" s="2665"/>
      <c r="S40" s="2665"/>
      <c r="T40" s="2665"/>
      <c r="U40" s="2665"/>
      <c r="V40" s="2665"/>
    </row>
    <row r="41" spans="1:30" ht="14" x14ac:dyDescent="0.2">
      <c r="A41" s="2662" t="s">
        <v>2976</v>
      </c>
      <c r="B41" s="1945"/>
      <c r="C41" s="1559"/>
      <c r="D41" s="2596"/>
      <c r="E41" s="2596"/>
      <c r="F41" s="2596"/>
      <c r="G41" s="2596"/>
      <c r="H41" s="2596"/>
      <c r="I41" s="1763"/>
      <c r="J41" s="2665"/>
      <c r="K41" s="2842"/>
      <c r="L41" s="2839"/>
      <c r="M41" s="2839"/>
      <c r="N41" s="2665"/>
      <c r="O41" s="2676"/>
      <c r="P41" s="2665"/>
      <c r="Q41" s="2665"/>
      <c r="R41" s="2665"/>
      <c r="S41" s="2665"/>
      <c r="T41" s="2665"/>
      <c r="U41" s="2665"/>
      <c r="V41" s="2665"/>
    </row>
    <row r="42" spans="1:30" ht="28" x14ac:dyDescent="0.2">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31" customFormat="1" x14ac:dyDescent="0.2">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x14ac:dyDescent="0.2">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x14ac:dyDescent="0.2">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x14ac:dyDescent="0.2">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x14ac:dyDescent="0.2">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x14ac:dyDescent="0.2">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x14ac:dyDescent="0.2">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x14ac:dyDescent="0.2">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x14ac:dyDescent="0.2">
      <c r="A51" s="1757"/>
      <c r="B51" s="1757"/>
      <c r="C51" s="1182"/>
      <c r="D51" s="1182"/>
      <c r="E51" s="1182"/>
      <c r="F51" s="1182"/>
      <c r="G51" s="1182"/>
      <c r="H51" s="1182"/>
      <c r="I51" s="1182"/>
      <c r="J51" s="2663"/>
      <c r="K51" s="2664"/>
      <c r="L51" s="2664"/>
      <c r="M51" s="1182"/>
      <c r="N51" s="1182"/>
      <c r="O51" s="1182"/>
      <c r="P51" s="1182"/>
      <c r="Q51" s="1182"/>
      <c r="R51" s="1182"/>
    </row>
    <row r="52" spans="1:22" s="1931" customFormat="1" x14ac:dyDescent="0.2">
      <c r="A52" s="1757"/>
      <c r="B52" s="1757"/>
      <c r="C52" s="1757"/>
      <c r="D52" s="1757"/>
      <c r="E52" s="1757"/>
      <c r="F52" s="1182"/>
      <c r="G52" s="1757"/>
      <c r="H52" s="1757"/>
      <c r="I52" s="1757"/>
      <c r="J52" s="2666"/>
      <c r="K52" s="2664"/>
      <c r="L52" s="2664"/>
      <c r="M52" s="2664"/>
      <c r="N52" s="1757"/>
      <c r="O52" s="1757"/>
      <c r="P52" s="1757"/>
      <c r="Q52" s="1757"/>
      <c r="R52" s="1757"/>
    </row>
    <row r="53" spans="1:22" s="1931" customFormat="1" x14ac:dyDescent="0.2">
      <c r="A53" s="1757"/>
      <c r="B53" s="1757"/>
      <c r="C53" s="1757"/>
      <c r="D53" s="1757"/>
      <c r="E53" s="1757"/>
      <c r="F53" s="1182"/>
      <c r="G53" s="1757"/>
      <c r="H53" s="1757"/>
      <c r="I53" s="1757"/>
      <c r="J53" s="2666"/>
      <c r="K53" s="2664"/>
      <c r="L53" s="2664"/>
      <c r="M53" s="2664"/>
      <c r="N53" s="1757"/>
      <c r="O53" s="1757"/>
      <c r="P53" s="1757"/>
      <c r="Q53" s="1757"/>
      <c r="R53" s="1757"/>
    </row>
    <row r="54" spans="1:22" s="1931" customFormat="1" x14ac:dyDescent="0.2">
      <c r="A54" s="1757"/>
      <c r="B54" s="1757"/>
      <c r="C54" s="1757"/>
      <c r="D54" s="1757"/>
      <c r="E54" s="1757"/>
      <c r="F54" s="1182"/>
      <c r="G54" s="1757"/>
      <c r="H54" s="1757"/>
      <c r="I54" s="1757"/>
      <c r="J54" s="2666"/>
      <c r="K54" s="2664"/>
      <c r="L54" s="2664"/>
      <c r="M54" s="2664"/>
      <c r="N54" s="1757"/>
      <c r="O54" s="1757"/>
      <c r="P54" s="1757"/>
      <c r="Q54" s="1757"/>
      <c r="R54" s="1757"/>
    </row>
    <row r="55" spans="1:22" s="1931" customFormat="1" x14ac:dyDescent="0.2">
      <c r="A55" s="1757"/>
      <c r="B55" s="1757"/>
      <c r="C55" s="1757"/>
      <c r="D55" s="1757"/>
      <c r="E55" s="1757"/>
      <c r="F55" s="1182"/>
      <c r="G55" s="1757"/>
      <c r="H55" s="1757"/>
      <c r="I55" s="1757"/>
      <c r="J55" s="2666"/>
      <c r="K55" s="2664"/>
      <c r="L55" s="2664"/>
      <c r="M55" s="2664"/>
      <c r="N55" s="1757"/>
      <c r="O55" s="1757"/>
      <c r="P55" s="1757"/>
      <c r="Q55" s="1757"/>
      <c r="R55" s="1757"/>
    </row>
    <row r="56" spans="1:22" s="1931" customFormat="1" x14ac:dyDescent="0.2">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7" sqref="A17"/>
    </sheetView>
  </sheetViews>
  <sheetFormatPr baseColWidth="10" defaultColWidth="8.83203125" defaultRowHeight="14" x14ac:dyDescent="0.2"/>
  <cols>
    <col min="1" max="1" width="10.6640625" style="1760" customWidth="1"/>
    <col min="2" max="2" width="11" style="1760" customWidth="1"/>
    <col min="3" max="3" width="10.33203125" style="1760" customWidth="1"/>
    <col min="4" max="4" width="9.1640625" style="1760" customWidth="1"/>
    <col min="5" max="6" width="10" style="1821" customWidth="1"/>
    <col min="7" max="8" width="10" style="1760" customWidth="1"/>
    <col min="9" max="9" width="10.6640625" style="1760" customWidth="1"/>
    <col min="10" max="10" width="9.5" style="1760" customWidth="1"/>
    <col min="11" max="11" width="11" style="1760" customWidth="1"/>
    <col min="12" max="14" width="9.5" style="1760" customWidth="1"/>
    <col min="15" max="15" width="9.83203125" style="1760" customWidth="1"/>
    <col min="16" max="16" width="9.6640625" style="1760" customWidth="1"/>
    <col min="17" max="17" width="9.33203125" style="1760" customWidth="1"/>
    <col min="18" max="18" width="9.1640625" style="1760" customWidth="1"/>
    <col min="19" max="19" width="10.83203125" style="1760" customWidth="1"/>
    <col min="20" max="21" width="10.6640625" style="1760" customWidth="1"/>
    <col min="22" max="22" width="10.83203125" style="1760" customWidth="1"/>
    <col min="23" max="27" width="10.6640625" style="1760" customWidth="1"/>
    <col min="28" max="28" width="10.83203125" style="1760" customWidth="1"/>
    <col min="29" max="29" width="11" style="1760" bestFit="1" customWidth="1"/>
    <col min="30" max="30" width="10" style="1760" bestFit="1" customWidth="1"/>
    <col min="31" max="31" width="9.6640625" style="1760" customWidth="1"/>
    <col min="32" max="46" width="9.5" style="1760" customWidth="1"/>
    <col min="47" max="47" width="18.1640625" style="1760" customWidth="1"/>
    <col min="48" max="50" width="9.6640625" style="1760" customWidth="1"/>
    <col min="51" max="55" width="10.5" style="1760" bestFit="1" customWidth="1"/>
    <col min="56" max="56" width="9.5" style="1760" bestFit="1" customWidth="1"/>
    <col min="57" max="63" width="9.1640625" style="1760" bestFit="1" customWidth="1"/>
    <col min="64" max="64" width="9.5" style="1760" bestFit="1" customWidth="1"/>
    <col min="65" max="65" width="9.1640625" style="1760" bestFit="1" customWidth="1"/>
    <col min="66" max="66" width="9.5" style="1760" bestFit="1" customWidth="1"/>
    <col min="67" max="69" width="9.1640625" style="1760" bestFit="1" customWidth="1"/>
    <col min="70" max="70" width="9.5" style="1760" bestFit="1" customWidth="1"/>
    <col min="71" max="71" width="9" style="1760" customWidth="1"/>
    <col min="72" max="72" width="9.1640625" style="1760" bestFit="1" customWidth="1"/>
    <col min="73" max="16384" width="8.83203125" style="1760"/>
  </cols>
  <sheetData>
    <row r="1" spans="1:72" ht="20" x14ac:dyDescent="0.2">
      <c r="A1" s="1761" t="s">
        <v>1747</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1748</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8" x14ac:dyDescent="0.2">
      <c r="A2" s="11" t="s">
        <v>1749</v>
      </c>
      <c r="B2" s="11" t="s">
        <v>1750</v>
      </c>
      <c r="C2" s="11" t="s">
        <v>1751</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1752</v>
      </c>
      <c r="AZ2" s="1180" t="s">
        <v>1753</v>
      </c>
      <c r="BA2" s="11" t="s">
        <v>1754</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x14ac:dyDescent="0.2">
      <c r="A3" s="13" t="e">
        <f>B3/(A13/A14)</f>
        <v>#DIV/0!</v>
      </c>
      <c r="B3" s="14">
        <f>IF(C3="否",G5-AT5,G5)</f>
        <v>547.29</v>
      </c>
      <c r="C3" s="1767" t="s">
        <v>1755</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thickBot="1" x14ac:dyDescent="0.25">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x14ac:dyDescent="0.2">
      <c r="A5" s="15" t="s">
        <v>1756</v>
      </c>
      <c r="B5" s="1533"/>
      <c r="C5" s="1533"/>
      <c r="D5" s="1535"/>
      <c r="E5" s="16" t="s">
        <v>1</v>
      </c>
      <c r="F5" s="16">
        <f>SUM(F13:F587)</f>
        <v>0</v>
      </c>
      <c r="G5" s="16">
        <f>SUM(G13:G587)</f>
        <v>547.29</v>
      </c>
      <c r="H5" s="16">
        <f t="shared" ref="H5:AT5" si="0">SUM(H13:H656)</f>
        <v>547.29</v>
      </c>
      <c r="I5" s="16">
        <f t="shared" si="0"/>
        <v>547.29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547.29</v>
      </c>
      <c r="BA5" s="18">
        <f t="shared" si="1"/>
        <v>547.29</v>
      </c>
      <c r="BB5" s="18">
        <f t="shared" si="1"/>
        <v>547.29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x14ac:dyDescent="0.2">
      <c r="A6" s="15" t="s">
        <v>1757</v>
      </c>
      <c r="B6" s="1773"/>
      <c r="C6" s="1773"/>
      <c r="D6" s="1774"/>
      <c r="E6" s="16" t="e">
        <f>H6+AC6+AT6</f>
        <v>#DIV/0!</v>
      </c>
      <c r="F6" s="16" t="s">
        <v>1</v>
      </c>
      <c r="G6" s="16" t="s">
        <v>2</v>
      </c>
      <c r="H6" s="20" t="e">
        <f>SUMIF(I$12:AB$12,"总值",I6:AB6)</f>
        <v>#DIV/0!</v>
      </c>
      <c r="I6" s="16" t="e">
        <f t="shared" ref="I6:AB6" si="2">ROUND($A$3*I5/$B$3,2)</f>
        <v>#DIV/0!</v>
      </c>
      <c r="J6" s="16" t="e">
        <f t="shared" si="2"/>
        <v>#DIV/0!</v>
      </c>
      <c r="K6" s="16" t="e">
        <f t="shared" si="2"/>
        <v>#DIV/0!</v>
      </c>
      <c r="L6" s="16" t="e">
        <f t="shared" si="2"/>
        <v>#DIV/0!</v>
      </c>
      <c r="M6" s="16" t="e">
        <f t="shared" si="2"/>
        <v>#DIV/0!</v>
      </c>
      <c r="N6" s="16" t="e">
        <f t="shared" si="2"/>
        <v>#DIV/0!</v>
      </c>
      <c r="O6" s="16" t="e">
        <f t="shared" si="2"/>
        <v>#DIV/0!</v>
      </c>
      <c r="P6" s="16" t="e">
        <f t="shared" si="2"/>
        <v>#DIV/0!</v>
      </c>
      <c r="Q6" s="16" t="e">
        <f t="shared" si="2"/>
        <v>#DIV/0!</v>
      </c>
      <c r="R6" s="16" t="e">
        <f t="shared" si="2"/>
        <v>#DIV/0!</v>
      </c>
      <c r="S6" s="16" t="e">
        <f t="shared" si="2"/>
        <v>#DIV/0!</v>
      </c>
      <c r="T6" s="16" t="e">
        <f t="shared" si="2"/>
        <v>#DIV/0!</v>
      </c>
      <c r="U6" s="16" t="e">
        <f t="shared" si="2"/>
        <v>#DIV/0!</v>
      </c>
      <c r="V6" s="16" t="e">
        <f t="shared" si="2"/>
        <v>#DIV/0!</v>
      </c>
      <c r="W6" s="16" t="e">
        <f t="shared" si="2"/>
        <v>#DIV/0!</v>
      </c>
      <c r="X6" s="16" t="e">
        <f t="shared" si="2"/>
        <v>#DIV/0!</v>
      </c>
      <c r="Y6" s="16" t="e">
        <f t="shared" si="2"/>
        <v>#DIV/0!</v>
      </c>
      <c r="Z6" s="16" t="e">
        <f t="shared" si="2"/>
        <v>#DIV/0!</v>
      </c>
      <c r="AA6" s="16" t="e">
        <f t="shared" si="2"/>
        <v>#DIV/0!</v>
      </c>
      <c r="AB6" s="16" t="e">
        <f t="shared" si="2"/>
        <v>#DIV/0!</v>
      </c>
      <c r="AC6" s="20" t="e">
        <f>SUMIF(AD$12:AS$12,"总值",AD6:AS6)</f>
        <v>#DIV/0!</v>
      </c>
      <c r="AD6" s="16" t="e">
        <f t="shared" ref="AD6:AS6" si="3">ROUND($A$3*AD5/$B$3,2)</f>
        <v>#DIV/0!</v>
      </c>
      <c r="AE6" s="16" t="e">
        <f t="shared" si="3"/>
        <v>#DIV/0!</v>
      </c>
      <c r="AF6" s="16" t="e">
        <f t="shared" si="3"/>
        <v>#DIV/0!</v>
      </c>
      <c r="AG6" s="16" t="e">
        <f t="shared" si="3"/>
        <v>#DIV/0!</v>
      </c>
      <c r="AH6" s="16" t="e">
        <f t="shared" si="3"/>
        <v>#DIV/0!</v>
      </c>
      <c r="AI6" s="16" t="e">
        <f t="shared" si="3"/>
        <v>#DIV/0!</v>
      </c>
      <c r="AJ6" s="16" t="e">
        <f t="shared" si="3"/>
        <v>#DIV/0!</v>
      </c>
      <c r="AK6" s="16" t="e">
        <f t="shared" si="3"/>
        <v>#DIV/0!</v>
      </c>
      <c r="AL6" s="16" t="e">
        <f t="shared" si="3"/>
        <v>#DIV/0!</v>
      </c>
      <c r="AM6" s="16" t="e">
        <f t="shared" si="3"/>
        <v>#DIV/0!</v>
      </c>
      <c r="AN6" s="16" t="e">
        <f t="shared" si="3"/>
        <v>#DIV/0!</v>
      </c>
      <c r="AO6" s="16" t="e">
        <f t="shared" si="3"/>
        <v>#DIV/0!</v>
      </c>
      <c r="AP6" s="16" t="e">
        <f t="shared" si="3"/>
        <v>#DIV/0!</v>
      </c>
      <c r="AQ6" s="16" t="e">
        <f t="shared" si="3"/>
        <v>#DIV/0!</v>
      </c>
      <c r="AR6" s="16" t="e">
        <f t="shared" si="3"/>
        <v>#DIV/0!</v>
      </c>
      <c r="AS6" s="16" t="e">
        <f t="shared" si="3"/>
        <v>#DIV/0!</v>
      </c>
      <c r="AT6" s="20">
        <f>IF(C3="是",ROUND($A$3*AT5/$B$3,2),0)</f>
        <v>0</v>
      </c>
      <c r="AU6" s="1775"/>
      <c r="AV6" s="15" t="s">
        <v>1757</v>
      </c>
      <c r="AW6" s="1773"/>
      <c r="AX6" s="1773"/>
      <c r="AY6" s="21" t="e">
        <f>IF(AY3&gt;0,AY3,ROUND($A$3*AZ5/$B$3,2))</f>
        <v>#DIV/0!</v>
      </c>
      <c r="AZ6" s="16" t="s">
        <v>3</v>
      </c>
      <c r="BA6" s="16" t="e">
        <f>ROUND($AY$6*BA5/$AZ$5,2)</f>
        <v>#DIV/0!</v>
      </c>
      <c r="BB6" s="16" t="e">
        <f>ROUND($AY$6*BB5/$AZ$5,2)</f>
        <v>#DIV/0!</v>
      </c>
      <c r="BC6" s="16" t="e">
        <f t="shared" ref="BC6:BH6" si="4">ROUND($AY$6*BC5/$AZ$5,2)</f>
        <v>#DIV/0!</v>
      </c>
      <c r="BD6" s="16" t="e">
        <f t="shared" si="4"/>
        <v>#DIV/0!</v>
      </c>
      <c r="BE6" s="16" t="e">
        <f t="shared" si="4"/>
        <v>#DIV/0!</v>
      </c>
      <c r="BF6" s="16" t="e">
        <f t="shared" si="4"/>
        <v>#DIV/0!</v>
      </c>
      <c r="BG6" s="16" t="e">
        <f t="shared" si="4"/>
        <v>#DIV/0!</v>
      </c>
      <c r="BH6" s="16" t="e">
        <f t="shared" si="4"/>
        <v>#DIV/0!</v>
      </c>
      <c r="BI6" s="16" t="e">
        <f t="shared" ref="BI6:BT6" si="5">ROUND($AY$6*BI5/$AZ$5,2)</f>
        <v>#DIV/0!</v>
      </c>
      <c r="BJ6" s="16" t="e">
        <f t="shared" si="5"/>
        <v>#DIV/0!</v>
      </c>
      <c r="BK6" s="16" t="e">
        <f t="shared" si="5"/>
        <v>#DIV/0!</v>
      </c>
      <c r="BL6" s="16" t="e">
        <f t="shared" si="5"/>
        <v>#DIV/0!</v>
      </c>
      <c r="BM6" s="16" t="e">
        <f t="shared" si="5"/>
        <v>#DIV/0!</v>
      </c>
      <c r="BN6" s="16" t="e">
        <f t="shared" si="5"/>
        <v>#DIV/0!</v>
      </c>
      <c r="BO6" s="16" t="e">
        <f t="shared" si="5"/>
        <v>#DIV/0!</v>
      </c>
      <c r="BP6" s="16" t="e">
        <f t="shared" si="5"/>
        <v>#DIV/0!</v>
      </c>
      <c r="BQ6" s="16" t="e">
        <f t="shared" si="5"/>
        <v>#DIV/0!</v>
      </c>
      <c r="BR6" s="16" t="e">
        <f t="shared" si="5"/>
        <v>#DIV/0!</v>
      </c>
      <c r="BS6" s="16" t="e">
        <f t="shared" si="5"/>
        <v>#DIV/0!</v>
      </c>
      <c r="BT6" s="22" t="e">
        <f t="shared" si="5"/>
        <v>#DIV/0!</v>
      </c>
    </row>
    <row r="7" spans="1:72" s="1766" customFormat="1" ht="28" x14ac:dyDescent="0.2">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8" x14ac:dyDescent="0.2">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x14ac:dyDescent="0.2">
      <c r="A9" s="1781"/>
      <c r="B9" s="1781"/>
      <c r="C9" s="1781"/>
      <c r="D9" s="1781"/>
      <c r="E9" s="1781"/>
      <c r="F9" s="1781"/>
      <c r="G9" s="1202"/>
      <c r="H9" s="1789" t="s">
        <v>1776</v>
      </c>
      <c r="I9" s="1790" t="s">
        <v>3200</v>
      </c>
      <c r="J9" s="918"/>
      <c r="K9" s="1790"/>
      <c r="L9" s="918"/>
      <c r="M9" s="1790"/>
      <c r="N9" s="918"/>
      <c r="O9" s="1790"/>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x14ac:dyDescent="0.2">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f>K9</f>
        <v>0</v>
      </c>
      <c r="BD10" s="29">
        <f>M9</f>
        <v>0</v>
      </c>
      <c r="BE10" s="29">
        <f>O9</f>
        <v>0</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x14ac:dyDescent="0.2">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x14ac:dyDescent="0.2">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3" x14ac:dyDescent="0.2">
      <c r="A13" s="3191"/>
      <c r="B13" s="3191"/>
      <c r="C13" s="1182"/>
      <c r="D13" s="1812" t="s">
        <v>3199</v>
      </c>
      <c r="E13" s="16" t="e">
        <f>IF($C$3="是",ROUND($A$3*G13/$B$3,2),ROUND($A$3*(G13-AT13)/$B$3,2))</f>
        <v>#DIV/0!</v>
      </c>
      <c r="F13" s="32"/>
      <c r="G13" s="33">
        <f>H13+AC13+AT13</f>
        <v>272.67</v>
      </c>
      <c r="H13" s="20">
        <f>SUMIF(I$12:AB$12,"总值",I13:AB13)</f>
        <v>272.67</v>
      </c>
      <c r="I13" s="1813">
        <v>272.67</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t="e">
        <f>ROUND($AY$6*AZ13/$AZ$5,2)</f>
        <v>#DIV/0!</v>
      </c>
      <c r="AZ13" s="16">
        <f>BA13+BL13</f>
        <v>272.67</v>
      </c>
      <c r="BA13" s="16">
        <f>SUM(BB13:BK13)</f>
        <v>272.67</v>
      </c>
      <c r="BB13" s="16">
        <f>IF($D13="是",I13-J13,0)</f>
        <v>272.67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3" x14ac:dyDescent="0.2">
      <c r="A14" s="3191"/>
      <c r="B14" s="3191"/>
      <c r="C14" s="1182"/>
      <c r="D14" s="1812" t="s">
        <v>3199</v>
      </c>
      <c r="E14" s="16" t="e">
        <f>IF($C$3="是",ROUND($A$3*G14/$B$3,2),ROUND($A$3*(G14-AT14)/$B$3,2))</f>
        <v>#DIV/0!</v>
      </c>
      <c r="F14" s="32"/>
      <c r="G14" s="33">
        <f>H14+AC14+AT14</f>
        <v>274.62</v>
      </c>
      <c r="H14" s="20">
        <f>SUMIF(I$12:AB$12,"总值",I14:AB14)</f>
        <v>274.62</v>
      </c>
      <c r="I14" s="1813">
        <v>274.62</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t="e">
        <f>ROUND($AY$6*AZ14/$AZ$5,2)</f>
        <v>#DIV/0!</v>
      </c>
      <c r="AZ14" s="16">
        <f>BA14+BL14</f>
        <v>274.62</v>
      </c>
      <c r="BA14" s="16">
        <f>SUM(BB14:BK14)</f>
        <v>274.62</v>
      </c>
      <c r="BB14" s="16">
        <f>IF($D14="是",I14-J14,0)</f>
        <v>274.62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3" x14ac:dyDescent="0.2">
      <c r="A15" s="3191"/>
      <c r="B15" s="3191"/>
      <c r="C15" s="1182"/>
      <c r="D15" s="1812" t="s">
        <v>3199</v>
      </c>
      <c r="E15" s="16" t="e">
        <f>IF($C$3="是",ROUND($A$3*G15/$B$3,2),ROUND($A$3*(G15-AT15)/$B$3,2))</f>
        <v>#DIV/0!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t="e">
        <f>ROUND($AY$6*AZ15/$AZ$5,2)</f>
        <v>#DIV/0!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3" x14ac:dyDescent="0.2">
      <c r="A16" s="1182"/>
      <c r="B16" s="1182"/>
      <c r="C16" s="1182"/>
      <c r="D16" s="1812" t="s">
        <v>3199</v>
      </c>
      <c r="E16" s="16" t="e">
        <f>IF($C$3="是",ROUND($A$3*G16/$B$3,2),ROUND($A$3*(G16-AT16)/$B$3,2))</f>
        <v>#DIV/0!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t="e">
        <f>ROUND($AY$6*AZ16/$AZ$5,2)</f>
        <v>#DIV/0!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3.5" customHeight="1" x14ac:dyDescent="0.2">
      <c r="A17" s="1182"/>
      <c r="B17" s="1182"/>
      <c r="C17" s="1757"/>
      <c r="D17" s="1812"/>
      <c r="E17" s="16" t="e">
        <f>IF($C$3="是",ROUND($A$3*G17/$B$3,2),ROUND($A$3*(G17-AT17)/$B$3,2))</f>
        <v>#DIV/0!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t="e">
        <f>ROUND($AY$6*AZ17/$AZ$5,2)</f>
        <v>#DIV/0!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x14ac:dyDescent="0.2">
      <c r="A18" s="9"/>
      <c r="B18" s="34"/>
      <c r="C18" s="34"/>
      <c r="D18" s="1817"/>
      <c r="E18" s="35" t="e">
        <f t="shared" ref="E18:E112" si="7">IF($C$3="是",ROUND($A$3*G18/$B$3,2),ROUND($A$3*(G18-AT18)/$B$3,2))</f>
        <v>#DIV/0!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t="e">
        <f t="shared" ref="AY18:AY109" si="14">ROUND($AY$6*AZ18/$AZ$5,2)</f>
        <v>#DIV/0!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x14ac:dyDescent="0.2">
      <c r="A19" s="9"/>
      <c r="B19" s="34"/>
      <c r="C19" s="34"/>
      <c r="D19" s="1817"/>
      <c r="E19" s="35" t="e">
        <f t="shared" si="7"/>
        <v>#DIV/0!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t="e">
        <f t="shared" si="14"/>
        <v>#DIV/0!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x14ac:dyDescent="0.2">
      <c r="A20" s="9"/>
      <c r="B20" s="34"/>
      <c r="C20" s="34"/>
      <c r="D20" s="1817"/>
      <c r="E20" s="35" t="e">
        <f t="shared" si="7"/>
        <v>#DIV/0!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t="e">
        <f t="shared" si="14"/>
        <v>#DIV/0!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x14ac:dyDescent="0.2">
      <c r="A21" s="9"/>
      <c r="B21" s="34"/>
      <c r="C21" s="34"/>
      <c r="D21" s="1817"/>
      <c r="E21" s="35" t="e">
        <f t="shared" si="7"/>
        <v>#DIV/0!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t="e">
        <f t="shared" si="14"/>
        <v>#DIV/0!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x14ac:dyDescent="0.2">
      <c r="A22" s="9"/>
      <c r="B22" s="34"/>
      <c r="C22" s="34"/>
      <c r="D22" s="1817"/>
      <c r="E22" s="35" t="e">
        <f t="shared" si="7"/>
        <v>#DIV/0!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t="e">
        <f t="shared" si="14"/>
        <v>#DIV/0!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x14ac:dyDescent="0.2">
      <c r="A23" s="9"/>
      <c r="B23" s="34"/>
      <c r="C23" s="34"/>
      <c r="D23" s="1817"/>
      <c r="E23" s="35" t="e">
        <f t="shared" si="7"/>
        <v>#DIV/0!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t="e">
        <f t="shared" si="14"/>
        <v>#DIV/0!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x14ac:dyDescent="0.2">
      <c r="A24" s="9"/>
      <c r="B24" s="34"/>
      <c r="C24" s="34"/>
      <c r="D24" s="1817"/>
      <c r="E24" s="35" t="e">
        <f t="shared" si="7"/>
        <v>#DIV/0!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t="e">
        <f t="shared" si="14"/>
        <v>#DIV/0!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x14ac:dyDescent="0.2">
      <c r="A25" s="9"/>
      <c r="B25" s="34"/>
      <c r="C25" s="34"/>
      <c r="D25" s="1817"/>
      <c r="E25" s="35" t="e">
        <f t="shared" si="7"/>
        <v>#DIV/0!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t="e">
        <f t="shared" si="14"/>
        <v>#DIV/0!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x14ac:dyDescent="0.2">
      <c r="A26" s="9"/>
      <c r="B26" s="34"/>
      <c r="C26" s="34"/>
      <c r="D26" s="1817"/>
      <c r="E26" s="35" t="e">
        <f t="shared" si="7"/>
        <v>#DIV/0!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t="e">
        <f t="shared" si="14"/>
        <v>#DIV/0!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x14ac:dyDescent="0.2">
      <c r="A27" s="9"/>
      <c r="B27" s="34"/>
      <c r="C27" s="34"/>
      <c r="D27" s="1817"/>
      <c r="E27" s="35" t="e">
        <f t="shared" si="7"/>
        <v>#DIV/0!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t="e">
        <f t="shared" si="14"/>
        <v>#DIV/0!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x14ac:dyDescent="0.2">
      <c r="A28" s="9"/>
      <c r="B28" s="34"/>
      <c r="C28" s="34"/>
      <c r="D28" s="1817"/>
      <c r="E28" s="35" t="e">
        <f t="shared" si="7"/>
        <v>#DIV/0!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t="e">
        <f t="shared" si="14"/>
        <v>#DIV/0!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x14ac:dyDescent="0.2">
      <c r="A29" s="9"/>
      <c r="B29" s="34"/>
      <c r="C29" s="34"/>
      <c r="D29" s="1817"/>
      <c r="E29" s="35" t="e">
        <f t="shared" si="7"/>
        <v>#DIV/0!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t="e">
        <f t="shared" si="14"/>
        <v>#DIV/0!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x14ac:dyDescent="0.2">
      <c r="A30" s="9"/>
      <c r="B30" s="34"/>
      <c r="C30" s="34"/>
      <c r="D30" s="1817"/>
      <c r="E30" s="35" t="e">
        <f t="shared" si="7"/>
        <v>#DIV/0!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t="e">
        <f t="shared" si="14"/>
        <v>#DIV/0!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x14ac:dyDescent="0.2">
      <c r="A31" s="9"/>
      <c r="B31" s="34"/>
      <c r="C31" s="34"/>
      <c r="D31" s="1817"/>
      <c r="E31" s="35" t="e">
        <f t="shared" si="7"/>
        <v>#DIV/0!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t="e">
        <f t="shared" si="14"/>
        <v>#DIV/0!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x14ac:dyDescent="0.2">
      <c r="A32" s="9"/>
      <c r="B32" s="34"/>
      <c r="C32" s="34"/>
      <c r="D32" s="1817"/>
      <c r="E32" s="35" t="e">
        <f t="shared" si="7"/>
        <v>#DIV/0!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t="e">
        <f t="shared" si="14"/>
        <v>#DIV/0!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x14ac:dyDescent="0.2">
      <c r="A33" s="9"/>
      <c r="B33" s="34"/>
      <c r="C33" s="34"/>
      <c r="D33" s="1817"/>
      <c r="E33" s="35" t="e">
        <f t="shared" si="7"/>
        <v>#DIV/0!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t="e">
        <f t="shared" si="14"/>
        <v>#DIV/0!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x14ac:dyDescent="0.2">
      <c r="A34" s="9"/>
      <c r="B34" s="34"/>
      <c r="C34" s="34"/>
      <c r="D34" s="1817"/>
      <c r="E34" s="35" t="e">
        <f t="shared" si="7"/>
        <v>#DIV/0!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t="e">
        <f t="shared" si="14"/>
        <v>#DIV/0!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x14ac:dyDescent="0.2">
      <c r="A35" s="9"/>
      <c r="B35" s="34"/>
      <c r="C35" s="34"/>
      <c r="D35" s="1817"/>
      <c r="E35" s="35" t="e">
        <f t="shared" si="7"/>
        <v>#DIV/0!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t="e">
        <f t="shared" si="14"/>
        <v>#DIV/0!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x14ac:dyDescent="0.2">
      <c r="A36" s="9"/>
      <c r="B36" s="34"/>
      <c r="C36" s="34"/>
      <c r="D36" s="1817"/>
      <c r="E36" s="35" t="e">
        <f t="shared" si="7"/>
        <v>#DIV/0!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t="e">
        <f t="shared" si="14"/>
        <v>#DIV/0!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x14ac:dyDescent="0.2">
      <c r="A37" s="9"/>
      <c r="B37" s="34"/>
      <c r="C37" s="34"/>
      <c r="D37" s="1817"/>
      <c r="E37" s="35" t="e">
        <f t="shared" si="7"/>
        <v>#DIV/0!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t="e">
        <f t="shared" si="14"/>
        <v>#DIV/0!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x14ac:dyDescent="0.2">
      <c r="A38" s="9"/>
      <c r="B38" s="34"/>
      <c r="C38" s="34"/>
      <c r="D38" s="1817"/>
      <c r="E38" s="35" t="e">
        <f t="shared" si="7"/>
        <v>#DIV/0!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t="e">
        <f t="shared" si="14"/>
        <v>#DIV/0!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x14ac:dyDescent="0.2">
      <c r="A39" s="9"/>
      <c r="B39" s="34"/>
      <c r="C39" s="34"/>
      <c r="D39" s="1817"/>
      <c r="E39" s="35" t="e">
        <f t="shared" si="7"/>
        <v>#DIV/0!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t="e">
        <f t="shared" si="14"/>
        <v>#DIV/0!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x14ac:dyDescent="0.2">
      <c r="A40" s="9"/>
      <c r="B40" s="34"/>
      <c r="C40" s="34"/>
      <c r="D40" s="1817"/>
      <c r="E40" s="35" t="e">
        <f t="shared" si="7"/>
        <v>#DIV/0!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t="e">
        <f t="shared" si="14"/>
        <v>#DIV/0!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x14ac:dyDescent="0.2">
      <c r="A41" s="9"/>
      <c r="B41" s="34"/>
      <c r="C41" s="34"/>
      <c r="D41" s="1817"/>
      <c r="E41" s="35" t="e">
        <f t="shared" si="7"/>
        <v>#DIV/0!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t="e">
        <f t="shared" si="14"/>
        <v>#DIV/0!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x14ac:dyDescent="0.2">
      <c r="A42" s="9"/>
      <c r="B42" s="34"/>
      <c r="C42" s="34"/>
      <c r="D42" s="1817"/>
      <c r="E42" s="35" t="e">
        <f t="shared" si="7"/>
        <v>#DIV/0!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t="e">
        <f t="shared" si="14"/>
        <v>#DIV/0!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x14ac:dyDescent="0.2">
      <c r="A43" s="9"/>
      <c r="B43" s="34"/>
      <c r="C43" s="34"/>
      <c r="D43" s="1817"/>
      <c r="E43" s="35" t="e">
        <f t="shared" si="7"/>
        <v>#DIV/0!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t="e">
        <f t="shared" si="14"/>
        <v>#DIV/0!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x14ac:dyDescent="0.2">
      <c r="A44" s="9"/>
      <c r="B44" s="34"/>
      <c r="C44" s="34"/>
      <c r="D44" s="1817"/>
      <c r="E44" s="35" t="e">
        <f t="shared" si="7"/>
        <v>#DIV/0!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t="e">
        <f t="shared" si="14"/>
        <v>#DIV/0!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x14ac:dyDescent="0.2">
      <c r="A45" s="9"/>
      <c r="B45" s="34"/>
      <c r="C45" s="34"/>
      <c r="D45" s="1817"/>
      <c r="E45" s="35" t="e">
        <f t="shared" si="7"/>
        <v>#DIV/0!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t="e">
        <f t="shared" si="14"/>
        <v>#DIV/0!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x14ac:dyDescent="0.2">
      <c r="A46" s="9"/>
      <c r="B46" s="34"/>
      <c r="C46" s="34"/>
      <c r="D46" s="1817"/>
      <c r="E46" s="35" t="e">
        <f t="shared" si="7"/>
        <v>#DIV/0!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t="e">
        <f t="shared" si="14"/>
        <v>#DIV/0!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x14ac:dyDescent="0.2">
      <c r="A47" s="9"/>
      <c r="B47" s="34"/>
      <c r="C47" s="34"/>
      <c r="D47" s="1817"/>
      <c r="E47" s="35" t="e">
        <f t="shared" si="7"/>
        <v>#DIV/0!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t="e">
        <f t="shared" si="14"/>
        <v>#DIV/0!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x14ac:dyDescent="0.2">
      <c r="A48" s="9"/>
      <c r="B48" s="34"/>
      <c r="C48" s="34"/>
      <c r="D48" s="1817"/>
      <c r="E48" s="35" t="e">
        <f t="shared" si="7"/>
        <v>#DIV/0!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t="e">
        <f t="shared" si="14"/>
        <v>#DIV/0!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x14ac:dyDescent="0.2">
      <c r="A49" s="9"/>
      <c r="B49" s="34"/>
      <c r="C49" s="34"/>
      <c r="D49" s="1817"/>
      <c r="E49" s="35" t="e">
        <f t="shared" si="7"/>
        <v>#DIV/0!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t="e">
        <f t="shared" si="14"/>
        <v>#DIV/0!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x14ac:dyDescent="0.2">
      <c r="A50" s="9"/>
      <c r="B50" s="34"/>
      <c r="C50" s="34"/>
      <c r="D50" s="1817"/>
      <c r="E50" s="35" t="e">
        <f t="shared" si="7"/>
        <v>#DIV/0!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t="e">
        <f t="shared" si="14"/>
        <v>#DIV/0!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x14ac:dyDescent="0.2">
      <c r="A51" s="9"/>
      <c r="B51" s="34"/>
      <c r="C51" s="34"/>
      <c r="D51" s="1817"/>
      <c r="E51" s="35" t="e">
        <f t="shared" si="7"/>
        <v>#DIV/0!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t="e">
        <f t="shared" si="14"/>
        <v>#DIV/0!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x14ac:dyDescent="0.2">
      <c r="A52" s="9"/>
      <c r="B52" s="34"/>
      <c r="C52" s="34"/>
      <c r="D52" s="1817"/>
      <c r="E52" s="35" t="e">
        <f t="shared" si="7"/>
        <v>#DIV/0!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t="e">
        <f t="shared" si="14"/>
        <v>#DIV/0!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x14ac:dyDescent="0.2">
      <c r="A53" s="9"/>
      <c r="B53" s="34"/>
      <c r="C53" s="34"/>
      <c r="D53" s="1817"/>
      <c r="E53" s="35" t="e">
        <f t="shared" si="7"/>
        <v>#DIV/0!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t="e">
        <f t="shared" si="14"/>
        <v>#DIV/0!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x14ac:dyDescent="0.2">
      <c r="A54" s="9"/>
      <c r="B54" s="34"/>
      <c r="C54" s="34"/>
      <c r="D54" s="1817"/>
      <c r="E54" s="35" t="e">
        <f t="shared" si="7"/>
        <v>#DIV/0!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t="e">
        <f t="shared" si="14"/>
        <v>#DIV/0!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x14ac:dyDescent="0.2">
      <c r="A55" s="9"/>
      <c r="B55" s="34"/>
      <c r="C55" s="34"/>
      <c r="D55" s="1817"/>
      <c r="E55" s="35" t="e">
        <f t="shared" si="7"/>
        <v>#DIV/0!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t="e">
        <f t="shared" si="14"/>
        <v>#DIV/0!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x14ac:dyDescent="0.2">
      <c r="A56" s="9"/>
      <c r="B56" s="34"/>
      <c r="C56" s="34"/>
      <c r="D56" s="1817"/>
      <c r="E56" s="35" t="e">
        <f t="shared" si="7"/>
        <v>#DIV/0!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t="e">
        <f t="shared" si="14"/>
        <v>#DIV/0!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x14ac:dyDescent="0.2">
      <c r="A57" s="9"/>
      <c r="B57" s="34"/>
      <c r="C57" s="34"/>
      <c r="D57" s="1817"/>
      <c r="E57" s="35" t="e">
        <f t="shared" si="7"/>
        <v>#DIV/0!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t="e">
        <f t="shared" si="14"/>
        <v>#DIV/0!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x14ac:dyDescent="0.2">
      <c r="A58" s="9"/>
      <c r="B58" s="34"/>
      <c r="C58" s="34"/>
      <c r="D58" s="1817"/>
      <c r="E58" s="35" t="e">
        <f t="shared" si="7"/>
        <v>#DIV/0!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t="e">
        <f t="shared" si="14"/>
        <v>#DIV/0!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x14ac:dyDescent="0.2">
      <c r="A59" s="9"/>
      <c r="B59" s="34"/>
      <c r="C59" s="34"/>
      <c r="D59" s="1817"/>
      <c r="E59" s="35" t="e">
        <f t="shared" si="7"/>
        <v>#DIV/0!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t="e">
        <f t="shared" si="14"/>
        <v>#DIV/0!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x14ac:dyDescent="0.2">
      <c r="A60" s="9"/>
      <c r="B60" s="34"/>
      <c r="C60" s="34"/>
      <c r="D60" s="1817"/>
      <c r="E60" s="35" t="e">
        <f t="shared" si="7"/>
        <v>#DIV/0!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t="e">
        <f t="shared" si="14"/>
        <v>#DIV/0!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x14ac:dyDescent="0.2">
      <c r="A61" s="9"/>
      <c r="B61" s="34"/>
      <c r="C61" s="34"/>
      <c r="D61" s="1817"/>
      <c r="E61" s="35" t="e">
        <f t="shared" si="7"/>
        <v>#DIV/0!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t="e">
        <f t="shared" si="14"/>
        <v>#DIV/0!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x14ac:dyDescent="0.2">
      <c r="A62" s="9"/>
      <c r="B62" s="34"/>
      <c r="C62" s="34"/>
      <c r="D62" s="1817"/>
      <c r="E62" s="35" t="e">
        <f t="shared" si="7"/>
        <v>#DIV/0!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t="e">
        <f t="shared" si="14"/>
        <v>#DIV/0!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x14ac:dyDescent="0.2">
      <c r="A63" s="9"/>
      <c r="B63" s="34"/>
      <c r="C63" s="34"/>
      <c r="D63" s="1817"/>
      <c r="E63" s="35" t="e">
        <f t="shared" si="7"/>
        <v>#DIV/0!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t="e">
        <f t="shared" si="14"/>
        <v>#DIV/0!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x14ac:dyDescent="0.2">
      <c r="A64" s="9"/>
      <c r="B64" s="34"/>
      <c r="C64" s="34"/>
      <c r="D64" s="1817"/>
      <c r="E64" s="35" t="e">
        <f t="shared" si="7"/>
        <v>#DIV/0!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t="e">
        <f t="shared" si="14"/>
        <v>#DIV/0!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x14ac:dyDescent="0.2">
      <c r="A65" s="9"/>
      <c r="B65" s="34"/>
      <c r="C65" s="34"/>
      <c r="D65" s="1817"/>
      <c r="E65" s="35" t="e">
        <f t="shared" si="7"/>
        <v>#DIV/0!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t="e">
        <f t="shared" si="14"/>
        <v>#DIV/0!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x14ac:dyDescent="0.2">
      <c r="A66" s="9"/>
      <c r="B66" s="34"/>
      <c r="C66" s="34"/>
      <c r="D66" s="1817"/>
      <c r="E66" s="35" t="e">
        <f t="shared" si="7"/>
        <v>#DIV/0!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t="e">
        <f t="shared" si="14"/>
        <v>#DIV/0!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x14ac:dyDescent="0.2">
      <c r="A67" s="9"/>
      <c r="B67" s="34"/>
      <c r="C67" s="34"/>
      <c r="D67" s="1817"/>
      <c r="E67" s="35" t="e">
        <f t="shared" si="7"/>
        <v>#DIV/0!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t="e">
        <f t="shared" si="14"/>
        <v>#DIV/0!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x14ac:dyDescent="0.2">
      <c r="A68" s="9"/>
      <c r="B68" s="34"/>
      <c r="C68" s="34"/>
      <c r="D68" s="1817"/>
      <c r="E68" s="35" t="e">
        <f t="shared" si="7"/>
        <v>#DIV/0!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t="e">
        <f t="shared" si="14"/>
        <v>#DIV/0!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x14ac:dyDescent="0.2">
      <c r="A69" s="9"/>
      <c r="B69" s="34"/>
      <c r="C69" s="34"/>
      <c r="D69" s="1817"/>
      <c r="E69" s="35" t="e">
        <f t="shared" si="7"/>
        <v>#DIV/0!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t="e">
        <f t="shared" si="14"/>
        <v>#DIV/0!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x14ac:dyDescent="0.2">
      <c r="A70" s="9"/>
      <c r="B70" s="34"/>
      <c r="C70" s="34"/>
      <c r="D70" s="1817"/>
      <c r="E70" s="35" t="e">
        <f t="shared" si="7"/>
        <v>#DIV/0!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t="e">
        <f t="shared" si="14"/>
        <v>#DIV/0!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x14ac:dyDescent="0.2">
      <c r="A71" s="9"/>
      <c r="B71" s="34"/>
      <c r="C71" s="34"/>
      <c r="D71" s="1817"/>
      <c r="E71" s="35" t="e">
        <f t="shared" si="7"/>
        <v>#DIV/0!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t="e">
        <f t="shared" si="14"/>
        <v>#DIV/0!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x14ac:dyDescent="0.2">
      <c r="A72" s="9"/>
      <c r="B72" s="34"/>
      <c r="C72" s="34"/>
      <c r="D72" s="1817"/>
      <c r="E72" s="35" t="e">
        <f t="shared" si="7"/>
        <v>#DIV/0!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t="e">
        <f t="shared" si="14"/>
        <v>#DIV/0!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x14ac:dyDescent="0.2">
      <c r="A73" s="9"/>
      <c r="B73" s="34"/>
      <c r="C73" s="34"/>
      <c r="D73" s="1817"/>
      <c r="E73" s="35" t="e">
        <f t="shared" si="7"/>
        <v>#DIV/0!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t="e">
        <f t="shared" si="14"/>
        <v>#DIV/0!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x14ac:dyDescent="0.2">
      <c r="A74" s="9"/>
      <c r="B74" s="34"/>
      <c r="C74" s="34"/>
      <c r="D74" s="1817"/>
      <c r="E74" s="35" t="e">
        <f t="shared" si="7"/>
        <v>#DIV/0!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t="e">
        <f t="shared" si="14"/>
        <v>#DIV/0!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x14ac:dyDescent="0.2">
      <c r="A75" s="9"/>
      <c r="B75" s="34"/>
      <c r="C75" s="34"/>
      <c r="D75" s="1817"/>
      <c r="E75" s="35" t="e">
        <f t="shared" si="7"/>
        <v>#DIV/0!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t="e">
        <f t="shared" si="14"/>
        <v>#DIV/0!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x14ac:dyDescent="0.2">
      <c r="A76" s="9"/>
      <c r="B76" s="34"/>
      <c r="C76" s="34"/>
      <c r="D76" s="1817"/>
      <c r="E76" s="35" t="e">
        <f t="shared" si="7"/>
        <v>#DIV/0!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t="e">
        <f t="shared" si="14"/>
        <v>#DIV/0!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x14ac:dyDescent="0.2">
      <c r="A77" s="9"/>
      <c r="B77" s="34"/>
      <c r="C77" s="34"/>
      <c r="D77" s="1817"/>
      <c r="E77" s="35" t="e">
        <f t="shared" si="7"/>
        <v>#DIV/0!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t="e">
        <f t="shared" si="14"/>
        <v>#DIV/0!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x14ac:dyDescent="0.2">
      <c r="A78" s="9"/>
      <c r="B78" s="34"/>
      <c r="C78" s="34"/>
      <c r="D78" s="1817"/>
      <c r="E78" s="35" t="e">
        <f t="shared" si="7"/>
        <v>#DIV/0!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t="e">
        <f t="shared" si="14"/>
        <v>#DIV/0!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x14ac:dyDescent="0.2">
      <c r="A79" s="9"/>
      <c r="B79" s="34"/>
      <c r="C79" s="34"/>
      <c r="D79" s="1817"/>
      <c r="E79" s="35" t="e">
        <f t="shared" si="7"/>
        <v>#DIV/0!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t="e">
        <f t="shared" si="14"/>
        <v>#DIV/0!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x14ac:dyDescent="0.2">
      <c r="A80" s="9"/>
      <c r="B80" s="34"/>
      <c r="C80" s="34"/>
      <c r="D80" s="1817"/>
      <c r="E80" s="35" t="e">
        <f t="shared" si="7"/>
        <v>#DIV/0!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t="e">
        <f t="shared" si="14"/>
        <v>#DIV/0!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x14ac:dyDescent="0.2">
      <c r="A81" s="9"/>
      <c r="B81" s="34"/>
      <c r="C81" s="34"/>
      <c r="D81" s="1817"/>
      <c r="E81" s="35" t="e">
        <f t="shared" si="7"/>
        <v>#DIV/0!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t="e">
        <f t="shared" si="14"/>
        <v>#DIV/0!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x14ac:dyDescent="0.2">
      <c r="A82" s="9"/>
      <c r="B82" s="34"/>
      <c r="C82" s="34"/>
      <c r="D82" s="1817"/>
      <c r="E82" s="35" t="e">
        <f t="shared" si="7"/>
        <v>#DIV/0!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t="e">
        <f t="shared" si="14"/>
        <v>#DIV/0!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x14ac:dyDescent="0.2">
      <c r="A83" s="9"/>
      <c r="B83" s="34"/>
      <c r="C83" s="34"/>
      <c r="D83" s="1817"/>
      <c r="E83" s="35" t="e">
        <f t="shared" si="7"/>
        <v>#DIV/0!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t="e">
        <f t="shared" si="14"/>
        <v>#DIV/0!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x14ac:dyDescent="0.2">
      <c r="A84" s="9"/>
      <c r="B84" s="34"/>
      <c r="C84" s="34"/>
      <c r="D84" s="1817"/>
      <c r="E84" s="35" t="e">
        <f t="shared" si="7"/>
        <v>#DIV/0!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t="e">
        <f t="shared" si="14"/>
        <v>#DIV/0!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x14ac:dyDescent="0.2">
      <c r="A85" s="9"/>
      <c r="B85" s="34"/>
      <c r="C85" s="34"/>
      <c r="D85" s="1817"/>
      <c r="E85" s="35" t="e">
        <f t="shared" si="7"/>
        <v>#DIV/0!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t="e">
        <f t="shared" si="14"/>
        <v>#DIV/0!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x14ac:dyDescent="0.2">
      <c r="A86" s="9"/>
      <c r="B86" s="34"/>
      <c r="C86" s="34"/>
      <c r="D86" s="1817"/>
      <c r="E86" s="35" t="e">
        <f t="shared" si="7"/>
        <v>#DIV/0!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t="e">
        <f t="shared" si="14"/>
        <v>#DIV/0!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x14ac:dyDescent="0.2">
      <c r="A87" s="9"/>
      <c r="B87" s="34"/>
      <c r="C87" s="34"/>
      <c r="D87" s="1817"/>
      <c r="E87" s="35" t="e">
        <f t="shared" si="7"/>
        <v>#DIV/0!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t="e">
        <f t="shared" si="14"/>
        <v>#DIV/0!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x14ac:dyDescent="0.2">
      <c r="A88" s="9"/>
      <c r="B88" s="34"/>
      <c r="C88" s="34"/>
      <c r="D88" s="1817"/>
      <c r="E88" s="35" t="e">
        <f t="shared" si="7"/>
        <v>#DIV/0!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t="e">
        <f t="shared" si="14"/>
        <v>#DIV/0!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x14ac:dyDescent="0.2">
      <c r="A89" s="9"/>
      <c r="B89" s="34"/>
      <c r="C89" s="34"/>
      <c r="D89" s="1817"/>
      <c r="E89" s="35" t="e">
        <f t="shared" si="7"/>
        <v>#DIV/0!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t="e">
        <f t="shared" si="14"/>
        <v>#DIV/0!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x14ac:dyDescent="0.2">
      <c r="A90" s="9"/>
      <c r="B90" s="34"/>
      <c r="C90" s="34"/>
      <c r="D90" s="1817"/>
      <c r="E90" s="35" t="e">
        <f t="shared" si="7"/>
        <v>#DIV/0!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t="e">
        <f t="shared" si="14"/>
        <v>#DIV/0!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x14ac:dyDescent="0.2">
      <c r="A91" s="9"/>
      <c r="B91" s="34"/>
      <c r="C91" s="34"/>
      <c r="D91" s="1817"/>
      <c r="E91" s="35" t="e">
        <f t="shared" si="7"/>
        <v>#DIV/0!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t="e">
        <f t="shared" si="14"/>
        <v>#DIV/0!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x14ac:dyDescent="0.2">
      <c r="A92" s="9"/>
      <c r="B92" s="34"/>
      <c r="C92" s="34"/>
      <c r="D92" s="1817"/>
      <c r="E92" s="35" t="e">
        <f t="shared" si="7"/>
        <v>#DIV/0!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t="e">
        <f t="shared" si="14"/>
        <v>#DIV/0!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x14ac:dyDescent="0.2">
      <c r="A93" s="9"/>
      <c r="B93" s="34"/>
      <c r="C93" s="34"/>
      <c r="D93" s="1817"/>
      <c r="E93" s="35" t="e">
        <f t="shared" si="7"/>
        <v>#DIV/0!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t="e">
        <f t="shared" si="14"/>
        <v>#DIV/0!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x14ac:dyDescent="0.2">
      <c r="A94" s="9"/>
      <c r="B94" s="34"/>
      <c r="C94" s="34"/>
      <c r="D94" s="1817"/>
      <c r="E94" s="35" t="e">
        <f t="shared" si="7"/>
        <v>#DIV/0!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t="e">
        <f t="shared" si="14"/>
        <v>#DIV/0!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x14ac:dyDescent="0.2">
      <c r="A95" s="9"/>
      <c r="B95" s="34"/>
      <c r="C95" s="34"/>
      <c r="D95" s="1817"/>
      <c r="E95" s="35" t="e">
        <f t="shared" si="7"/>
        <v>#DIV/0!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t="e">
        <f t="shared" si="14"/>
        <v>#DIV/0!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x14ac:dyDescent="0.2">
      <c r="A96" s="9"/>
      <c r="B96" s="34"/>
      <c r="C96" s="34"/>
      <c r="D96" s="1817"/>
      <c r="E96" s="35" t="e">
        <f t="shared" si="7"/>
        <v>#DIV/0!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t="e">
        <f t="shared" si="14"/>
        <v>#DIV/0!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x14ac:dyDescent="0.2">
      <c r="A97" s="9"/>
      <c r="B97" s="34"/>
      <c r="C97" s="34"/>
      <c r="D97" s="1817"/>
      <c r="E97" s="35" t="e">
        <f t="shared" si="7"/>
        <v>#DIV/0!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t="e">
        <f t="shared" si="14"/>
        <v>#DIV/0!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x14ac:dyDescent="0.2">
      <c r="A98" s="9"/>
      <c r="B98" s="34"/>
      <c r="C98" s="34"/>
      <c r="D98" s="1817"/>
      <c r="E98" s="35" t="e">
        <f t="shared" si="7"/>
        <v>#DIV/0!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t="e">
        <f t="shared" si="14"/>
        <v>#DIV/0!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x14ac:dyDescent="0.2">
      <c r="A99" s="9"/>
      <c r="B99" s="34"/>
      <c r="C99" s="34"/>
      <c r="D99" s="1817"/>
      <c r="E99" s="35" t="e">
        <f t="shared" si="7"/>
        <v>#DIV/0!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t="e">
        <f t="shared" si="14"/>
        <v>#DIV/0!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x14ac:dyDescent="0.2">
      <c r="A100" s="9"/>
      <c r="B100" s="34"/>
      <c r="C100" s="34"/>
      <c r="D100" s="1817"/>
      <c r="E100" s="35" t="e">
        <f t="shared" si="7"/>
        <v>#DIV/0!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t="e">
        <f t="shared" si="14"/>
        <v>#DIV/0!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x14ac:dyDescent="0.2">
      <c r="A101" s="9"/>
      <c r="B101" s="34"/>
      <c r="C101" s="34"/>
      <c r="D101" s="1817"/>
      <c r="E101" s="35" t="e">
        <f t="shared" si="7"/>
        <v>#DIV/0!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t="e">
        <f t="shared" si="14"/>
        <v>#DIV/0!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x14ac:dyDescent="0.2">
      <c r="A102" s="9"/>
      <c r="B102" s="34"/>
      <c r="C102" s="34"/>
      <c r="D102" s="1817"/>
      <c r="E102" s="35" t="e">
        <f t="shared" si="7"/>
        <v>#DIV/0!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t="e">
        <f t="shared" si="14"/>
        <v>#DIV/0!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x14ac:dyDescent="0.2">
      <c r="A103" s="9"/>
      <c r="B103" s="34"/>
      <c r="C103" s="34"/>
      <c r="D103" s="1817"/>
      <c r="E103" s="35" t="e">
        <f t="shared" si="7"/>
        <v>#DIV/0!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t="e">
        <f t="shared" si="14"/>
        <v>#DIV/0!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x14ac:dyDescent="0.2">
      <c r="A104" s="9"/>
      <c r="B104" s="34"/>
      <c r="C104" s="34"/>
      <c r="D104" s="1817"/>
      <c r="E104" s="35" t="e">
        <f t="shared" si="7"/>
        <v>#DIV/0!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t="e">
        <f t="shared" si="14"/>
        <v>#DIV/0!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x14ac:dyDescent="0.2">
      <c r="A105" s="9"/>
      <c r="B105" s="34"/>
      <c r="C105" s="34"/>
      <c r="D105" s="1817"/>
      <c r="E105" s="35" t="e">
        <f t="shared" si="7"/>
        <v>#DIV/0!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t="e">
        <f t="shared" si="14"/>
        <v>#DIV/0!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x14ac:dyDescent="0.2">
      <c r="A106" s="9"/>
      <c r="B106" s="34"/>
      <c r="C106" s="34"/>
      <c r="D106" s="1817"/>
      <c r="E106" s="35" t="e">
        <f t="shared" si="7"/>
        <v>#DIV/0!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t="e">
        <f t="shared" si="14"/>
        <v>#DIV/0!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x14ac:dyDescent="0.2">
      <c r="A107" s="9"/>
      <c r="B107" s="34"/>
      <c r="C107" s="34"/>
      <c r="D107" s="1817"/>
      <c r="E107" s="35" t="e">
        <f t="shared" si="7"/>
        <v>#DIV/0!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t="e">
        <f t="shared" si="14"/>
        <v>#DIV/0!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x14ac:dyDescent="0.2">
      <c r="A108" s="9"/>
      <c r="B108" s="34"/>
      <c r="C108" s="34"/>
      <c r="D108" s="1817"/>
      <c r="E108" s="35" t="e">
        <f t="shared" si="7"/>
        <v>#DIV/0!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t="e">
        <f t="shared" si="14"/>
        <v>#DIV/0!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x14ac:dyDescent="0.2">
      <c r="A109" s="9"/>
      <c r="B109" s="34"/>
      <c r="C109" s="34"/>
      <c r="D109" s="1817"/>
      <c r="E109" s="35" t="e">
        <f t="shared" si="7"/>
        <v>#DIV/0!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t="e">
        <f t="shared" si="14"/>
        <v>#DIV/0!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x14ac:dyDescent="0.2">
      <c r="A110" s="9"/>
      <c r="B110" s="9"/>
      <c r="C110" s="9"/>
      <c r="D110" s="1817"/>
      <c r="E110" s="35" t="e">
        <f t="shared" si="7"/>
        <v>#DIV/0!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t="e">
        <f t="shared" ref="AY110:AY141" si="39">ROUND($AY$6*AZ110/$AZ$5,2)</f>
        <v>#DIV/0!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x14ac:dyDescent="0.2">
      <c r="A111" s="9"/>
      <c r="B111" s="9"/>
      <c r="C111" s="9"/>
      <c r="D111" s="1817"/>
      <c r="E111" s="35" t="e">
        <f t="shared" si="7"/>
        <v>#DIV/0!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t="e">
        <f t="shared" si="39"/>
        <v>#DIV/0!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x14ac:dyDescent="0.2">
      <c r="A112" s="9"/>
      <c r="B112" s="9"/>
      <c r="C112" s="9"/>
      <c r="D112" s="1817"/>
      <c r="E112" s="35" t="e">
        <f t="shared" si="7"/>
        <v>#DIV/0!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t="e">
        <f t="shared" si="39"/>
        <v>#DIV/0!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x14ac:dyDescent="0.2">
      <c r="A113" s="9"/>
      <c r="B113" s="34"/>
      <c r="C113" s="34"/>
      <c r="D113" s="1817"/>
      <c r="E113" s="35" t="e">
        <f t="shared" ref="E113:E144" si="61">IF($C$3="是",ROUND($A$3*G113/$B$3,2),ROUND($A$3*(G113-AT113)/$B$3,2))</f>
        <v>#DIV/0!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t="e">
        <f t="shared" si="39"/>
        <v>#DIV/0!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x14ac:dyDescent="0.2">
      <c r="A114" s="9"/>
      <c r="B114" s="34"/>
      <c r="C114" s="34"/>
      <c r="D114" s="1817"/>
      <c r="E114" s="35" t="e">
        <f t="shared" si="61"/>
        <v>#DIV/0!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t="e">
        <f t="shared" si="39"/>
        <v>#DIV/0!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x14ac:dyDescent="0.2">
      <c r="A115" s="9"/>
      <c r="B115" s="34"/>
      <c r="C115" s="34"/>
      <c r="D115" s="1817"/>
      <c r="E115" s="35" t="e">
        <f t="shared" si="61"/>
        <v>#DIV/0!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t="e">
        <f t="shared" si="39"/>
        <v>#DIV/0!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x14ac:dyDescent="0.2">
      <c r="A116" s="9"/>
      <c r="B116" s="34"/>
      <c r="C116" s="34"/>
      <c r="D116" s="1817"/>
      <c r="E116" s="35" t="e">
        <f t="shared" si="61"/>
        <v>#DIV/0!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t="e">
        <f t="shared" si="39"/>
        <v>#DIV/0!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x14ac:dyDescent="0.2">
      <c r="A117" s="9"/>
      <c r="B117" s="34"/>
      <c r="C117" s="34"/>
      <c r="D117" s="1817"/>
      <c r="E117" s="35" t="e">
        <f t="shared" si="61"/>
        <v>#DIV/0!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t="e">
        <f t="shared" si="39"/>
        <v>#DIV/0!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x14ac:dyDescent="0.2">
      <c r="A118" s="9"/>
      <c r="B118" s="34"/>
      <c r="C118" s="34"/>
      <c r="D118" s="1817"/>
      <c r="E118" s="35" t="e">
        <f t="shared" si="61"/>
        <v>#DIV/0!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t="e">
        <f t="shared" si="39"/>
        <v>#DIV/0!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x14ac:dyDescent="0.2">
      <c r="A119" s="9"/>
      <c r="B119" s="34"/>
      <c r="C119" s="34"/>
      <c r="D119" s="1817"/>
      <c r="E119" s="35" t="e">
        <f t="shared" si="61"/>
        <v>#DIV/0!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t="e">
        <f t="shared" si="39"/>
        <v>#DIV/0!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x14ac:dyDescent="0.2">
      <c r="A120" s="9"/>
      <c r="B120" s="34"/>
      <c r="C120" s="34"/>
      <c r="D120" s="1817"/>
      <c r="E120" s="35" t="e">
        <f t="shared" si="61"/>
        <v>#DIV/0!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t="e">
        <f t="shared" si="39"/>
        <v>#DIV/0!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x14ac:dyDescent="0.2">
      <c r="A121" s="9"/>
      <c r="B121" s="34"/>
      <c r="C121" s="34"/>
      <c r="D121" s="1817"/>
      <c r="E121" s="35" t="e">
        <f t="shared" si="61"/>
        <v>#DIV/0!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t="e">
        <f t="shared" si="39"/>
        <v>#DIV/0!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x14ac:dyDescent="0.2">
      <c r="A122" s="9"/>
      <c r="B122" s="34"/>
      <c r="C122" s="34"/>
      <c r="D122" s="1817"/>
      <c r="E122" s="35" t="e">
        <f t="shared" si="61"/>
        <v>#DIV/0!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t="e">
        <f t="shared" si="39"/>
        <v>#DIV/0!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x14ac:dyDescent="0.2">
      <c r="A123" s="9"/>
      <c r="B123" s="34"/>
      <c r="C123" s="34"/>
      <c r="D123" s="1817"/>
      <c r="E123" s="35" t="e">
        <f t="shared" si="61"/>
        <v>#DIV/0!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t="e">
        <f t="shared" si="39"/>
        <v>#DIV/0!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x14ac:dyDescent="0.2">
      <c r="A124" s="9"/>
      <c r="B124" s="34"/>
      <c r="C124" s="34"/>
      <c r="D124" s="1817"/>
      <c r="E124" s="35" t="e">
        <f t="shared" si="61"/>
        <v>#DIV/0!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t="e">
        <f t="shared" si="39"/>
        <v>#DIV/0!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x14ac:dyDescent="0.2">
      <c r="A125" s="9"/>
      <c r="B125" s="34"/>
      <c r="C125" s="34"/>
      <c r="D125" s="1817"/>
      <c r="E125" s="35" t="e">
        <f t="shared" si="61"/>
        <v>#DIV/0!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t="e">
        <f t="shared" si="39"/>
        <v>#DIV/0!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x14ac:dyDescent="0.2">
      <c r="A126" s="9"/>
      <c r="B126" s="34"/>
      <c r="C126" s="34"/>
      <c r="D126" s="1817"/>
      <c r="E126" s="35" t="e">
        <f t="shared" si="61"/>
        <v>#DIV/0!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t="e">
        <f t="shared" si="39"/>
        <v>#DIV/0!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x14ac:dyDescent="0.2">
      <c r="A127" s="9"/>
      <c r="B127" s="34"/>
      <c r="C127" s="34"/>
      <c r="D127" s="1817"/>
      <c r="E127" s="35" t="e">
        <f t="shared" si="61"/>
        <v>#DIV/0!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t="e">
        <f t="shared" si="39"/>
        <v>#DIV/0!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x14ac:dyDescent="0.2">
      <c r="A128" s="9"/>
      <c r="B128" s="34"/>
      <c r="C128" s="34"/>
      <c r="D128" s="1817"/>
      <c r="E128" s="35" t="e">
        <f t="shared" si="61"/>
        <v>#DIV/0!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t="e">
        <f t="shared" si="39"/>
        <v>#DIV/0!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x14ac:dyDescent="0.2">
      <c r="A129" s="9"/>
      <c r="B129" s="34"/>
      <c r="C129" s="34"/>
      <c r="D129" s="1817"/>
      <c r="E129" s="35" t="e">
        <f t="shared" si="61"/>
        <v>#DIV/0!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t="e">
        <f t="shared" si="39"/>
        <v>#DIV/0!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x14ac:dyDescent="0.2">
      <c r="A130" s="9"/>
      <c r="B130" s="34"/>
      <c r="C130" s="34"/>
      <c r="D130" s="1817"/>
      <c r="E130" s="35" t="e">
        <f t="shared" si="61"/>
        <v>#DIV/0!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t="e">
        <f t="shared" si="39"/>
        <v>#DIV/0!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x14ac:dyDescent="0.2">
      <c r="A131" s="9"/>
      <c r="B131" s="34"/>
      <c r="C131" s="34"/>
      <c r="D131" s="1817"/>
      <c r="E131" s="35" t="e">
        <f t="shared" si="61"/>
        <v>#DIV/0!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t="e">
        <f t="shared" si="39"/>
        <v>#DIV/0!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x14ac:dyDescent="0.2">
      <c r="A132" s="9"/>
      <c r="B132" s="34"/>
      <c r="C132" s="34"/>
      <c r="D132" s="1817"/>
      <c r="E132" s="35" t="e">
        <f t="shared" si="61"/>
        <v>#DIV/0!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t="e">
        <f t="shared" si="39"/>
        <v>#DIV/0!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x14ac:dyDescent="0.2">
      <c r="A133" s="9"/>
      <c r="B133" s="34"/>
      <c r="C133" s="34"/>
      <c r="D133" s="1817"/>
      <c r="E133" s="35" t="e">
        <f t="shared" si="61"/>
        <v>#DIV/0!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t="e">
        <f t="shared" si="39"/>
        <v>#DIV/0!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x14ac:dyDescent="0.2">
      <c r="A134" s="9"/>
      <c r="B134" s="34"/>
      <c r="C134" s="34"/>
      <c r="D134" s="1817"/>
      <c r="E134" s="35" t="e">
        <f t="shared" si="61"/>
        <v>#DIV/0!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t="e">
        <f t="shared" si="39"/>
        <v>#DIV/0!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x14ac:dyDescent="0.2">
      <c r="A135" s="9"/>
      <c r="B135" s="34"/>
      <c r="C135" s="34"/>
      <c r="D135" s="1817"/>
      <c r="E135" s="35" t="e">
        <f t="shared" si="61"/>
        <v>#DIV/0!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t="e">
        <f t="shared" si="39"/>
        <v>#DIV/0!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x14ac:dyDescent="0.2">
      <c r="A136" s="9"/>
      <c r="B136" s="34"/>
      <c r="C136" s="34"/>
      <c r="D136" s="1817"/>
      <c r="E136" s="35" t="e">
        <f t="shared" si="61"/>
        <v>#DIV/0!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t="e">
        <f t="shared" si="39"/>
        <v>#DIV/0!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x14ac:dyDescent="0.2">
      <c r="A137" s="9"/>
      <c r="B137" s="34"/>
      <c r="C137" s="34"/>
      <c r="D137" s="1817"/>
      <c r="E137" s="35" t="e">
        <f t="shared" si="61"/>
        <v>#DIV/0!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t="e">
        <f t="shared" si="39"/>
        <v>#DIV/0!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x14ac:dyDescent="0.2">
      <c r="A138" s="9"/>
      <c r="B138" s="34"/>
      <c r="C138" s="34"/>
      <c r="D138" s="1817"/>
      <c r="E138" s="35" t="e">
        <f t="shared" si="61"/>
        <v>#DIV/0!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t="e">
        <f t="shared" si="39"/>
        <v>#DIV/0!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x14ac:dyDescent="0.2">
      <c r="A139" s="9"/>
      <c r="B139" s="34"/>
      <c r="C139" s="34"/>
      <c r="D139" s="1817"/>
      <c r="E139" s="35" t="e">
        <f t="shared" si="61"/>
        <v>#DIV/0!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t="e">
        <f t="shared" si="39"/>
        <v>#DIV/0!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x14ac:dyDescent="0.2">
      <c r="A140" s="9"/>
      <c r="B140" s="34"/>
      <c r="C140" s="34"/>
      <c r="D140" s="1817"/>
      <c r="E140" s="35" t="e">
        <f t="shared" si="61"/>
        <v>#DIV/0!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t="e">
        <f t="shared" si="39"/>
        <v>#DIV/0!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x14ac:dyDescent="0.2">
      <c r="A141" s="9"/>
      <c r="B141" s="34"/>
      <c r="C141" s="34"/>
      <c r="D141" s="1817"/>
      <c r="E141" s="35" t="e">
        <f t="shared" si="61"/>
        <v>#DIV/0!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t="e">
        <f t="shared" si="39"/>
        <v>#DIV/0!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x14ac:dyDescent="0.2">
      <c r="A142" s="9"/>
      <c r="B142" s="34"/>
      <c r="C142" s="34"/>
      <c r="D142" s="1817"/>
      <c r="E142" s="35" t="e">
        <f t="shared" si="61"/>
        <v>#DIV/0!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t="e">
        <f t="shared" ref="AY142:AY173" si="68">ROUND($AY$6*AZ142/$AZ$5,2)</f>
        <v>#DIV/0!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x14ac:dyDescent="0.2">
      <c r="A143" s="9"/>
      <c r="B143" s="34"/>
      <c r="C143" s="34"/>
      <c r="D143" s="1817"/>
      <c r="E143" s="35" t="e">
        <f t="shared" si="61"/>
        <v>#DIV/0!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t="e">
        <f t="shared" si="68"/>
        <v>#DIV/0!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x14ac:dyDescent="0.2">
      <c r="A144" s="9"/>
      <c r="B144" s="34"/>
      <c r="C144" s="34"/>
      <c r="D144" s="1817"/>
      <c r="E144" s="35" t="e">
        <f t="shared" si="61"/>
        <v>#DIV/0!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t="e">
        <f t="shared" si="68"/>
        <v>#DIV/0!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x14ac:dyDescent="0.2">
      <c r="A145" s="9"/>
      <c r="B145" s="34"/>
      <c r="C145" s="34"/>
      <c r="D145" s="1817"/>
      <c r="E145" s="35" t="e">
        <f t="shared" ref="E145:E176" si="90">IF($C$3="是",ROUND($A$3*G145/$B$3,2),ROUND($A$3*(G145-AT145)/$B$3,2))</f>
        <v>#DIV/0!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t="e">
        <f t="shared" si="68"/>
        <v>#DIV/0!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x14ac:dyDescent="0.2">
      <c r="A146" s="9"/>
      <c r="B146" s="34"/>
      <c r="C146" s="34"/>
      <c r="D146" s="1817"/>
      <c r="E146" s="35" t="e">
        <f t="shared" si="90"/>
        <v>#DIV/0!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t="e">
        <f t="shared" si="68"/>
        <v>#DIV/0!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x14ac:dyDescent="0.2">
      <c r="A147" s="9"/>
      <c r="B147" s="34"/>
      <c r="C147" s="34"/>
      <c r="D147" s="1817"/>
      <c r="E147" s="35" t="e">
        <f t="shared" si="90"/>
        <v>#DIV/0!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t="e">
        <f t="shared" si="68"/>
        <v>#DIV/0!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x14ac:dyDescent="0.2">
      <c r="A148" s="9"/>
      <c r="B148" s="34"/>
      <c r="C148" s="34"/>
      <c r="D148" s="1817"/>
      <c r="E148" s="35" t="e">
        <f t="shared" si="90"/>
        <v>#DIV/0!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t="e">
        <f t="shared" si="68"/>
        <v>#DIV/0!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x14ac:dyDescent="0.2">
      <c r="A149" s="9"/>
      <c r="B149" s="34"/>
      <c r="C149" s="34"/>
      <c r="D149" s="1817"/>
      <c r="E149" s="35" t="e">
        <f t="shared" si="90"/>
        <v>#DIV/0!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t="e">
        <f t="shared" si="68"/>
        <v>#DIV/0!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x14ac:dyDescent="0.2">
      <c r="A150" s="9"/>
      <c r="B150" s="34"/>
      <c r="C150" s="34"/>
      <c r="D150" s="1817"/>
      <c r="E150" s="35" t="e">
        <f t="shared" si="90"/>
        <v>#DIV/0!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t="e">
        <f t="shared" si="68"/>
        <v>#DIV/0!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x14ac:dyDescent="0.2">
      <c r="A151" s="9"/>
      <c r="B151" s="34"/>
      <c r="C151" s="34"/>
      <c r="D151" s="1817"/>
      <c r="E151" s="35" t="e">
        <f t="shared" si="90"/>
        <v>#DIV/0!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t="e">
        <f t="shared" si="68"/>
        <v>#DIV/0!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x14ac:dyDescent="0.2">
      <c r="A152" s="9"/>
      <c r="B152" s="34"/>
      <c r="C152" s="34"/>
      <c r="D152" s="1817"/>
      <c r="E152" s="35" t="e">
        <f t="shared" si="90"/>
        <v>#DIV/0!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t="e">
        <f t="shared" si="68"/>
        <v>#DIV/0!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x14ac:dyDescent="0.2">
      <c r="A153" s="9"/>
      <c r="B153" s="34"/>
      <c r="C153" s="34"/>
      <c r="D153" s="1817"/>
      <c r="E153" s="35" t="e">
        <f t="shared" si="90"/>
        <v>#DIV/0!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t="e">
        <f t="shared" si="68"/>
        <v>#DIV/0!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x14ac:dyDescent="0.2">
      <c r="A154" s="9"/>
      <c r="B154" s="34"/>
      <c r="C154" s="34"/>
      <c r="D154" s="1817"/>
      <c r="E154" s="35" t="e">
        <f t="shared" si="90"/>
        <v>#DIV/0!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t="e">
        <f t="shared" si="68"/>
        <v>#DIV/0!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x14ac:dyDescent="0.2">
      <c r="A155" s="9"/>
      <c r="B155" s="34"/>
      <c r="C155" s="34"/>
      <c r="D155" s="1817"/>
      <c r="E155" s="35" t="e">
        <f t="shared" si="90"/>
        <v>#DIV/0!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t="e">
        <f t="shared" si="68"/>
        <v>#DIV/0!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x14ac:dyDescent="0.2">
      <c r="A156" s="9"/>
      <c r="B156" s="34"/>
      <c r="C156" s="34"/>
      <c r="D156" s="1817"/>
      <c r="E156" s="35" t="e">
        <f t="shared" si="90"/>
        <v>#DIV/0!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t="e">
        <f t="shared" si="68"/>
        <v>#DIV/0!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x14ac:dyDescent="0.2">
      <c r="A157" s="9"/>
      <c r="B157" s="34"/>
      <c r="C157" s="34"/>
      <c r="D157" s="1817"/>
      <c r="E157" s="35" t="e">
        <f t="shared" si="90"/>
        <v>#DIV/0!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t="e">
        <f t="shared" si="68"/>
        <v>#DIV/0!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x14ac:dyDescent="0.2">
      <c r="A158" s="9"/>
      <c r="B158" s="34"/>
      <c r="C158" s="34"/>
      <c r="D158" s="1817"/>
      <c r="E158" s="35" t="e">
        <f t="shared" si="90"/>
        <v>#DIV/0!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t="e">
        <f t="shared" si="68"/>
        <v>#DIV/0!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x14ac:dyDescent="0.2">
      <c r="A159" s="9"/>
      <c r="B159" s="34"/>
      <c r="C159" s="34"/>
      <c r="D159" s="1817"/>
      <c r="E159" s="35" t="e">
        <f t="shared" si="90"/>
        <v>#DIV/0!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t="e">
        <f t="shared" si="68"/>
        <v>#DIV/0!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x14ac:dyDescent="0.2">
      <c r="A160" s="9"/>
      <c r="B160" s="34"/>
      <c r="C160" s="34"/>
      <c r="D160" s="1817"/>
      <c r="E160" s="35" t="e">
        <f t="shared" si="90"/>
        <v>#DIV/0!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t="e">
        <f t="shared" si="68"/>
        <v>#DIV/0!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x14ac:dyDescent="0.2">
      <c r="A161" s="9"/>
      <c r="B161" s="34"/>
      <c r="C161" s="34"/>
      <c r="D161" s="1817"/>
      <c r="E161" s="35" t="e">
        <f t="shared" si="90"/>
        <v>#DIV/0!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t="e">
        <f t="shared" si="68"/>
        <v>#DIV/0!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x14ac:dyDescent="0.2">
      <c r="A162" s="9"/>
      <c r="B162" s="34"/>
      <c r="C162" s="34"/>
      <c r="D162" s="1817"/>
      <c r="E162" s="35" t="e">
        <f t="shared" si="90"/>
        <v>#DIV/0!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t="e">
        <f t="shared" si="68"/>
        <v>#DIV/0!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x14ac:dyDescent="0.2">
      <c r="A163" s="9"/>
      <c r="B163" s="34"/>
      <c r="C163" s="34"/>
      <c r="D163" s="1817"/>
      <c r="E163" s="35" t="e">
        <f t="shared" si="90"/>
        <v>#DIV/0!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t="e">
        <f t="shared" si="68"/>
        <v>#DIV/0!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x14ac:dyDescent="0.2">
      <c r="A164" s="9"/>
      <c r="B164" s="34"/>
      <c r="C164" s="34"/>
      <c r="D164" s="1817"/>
      <c r="E164" s="35" t="e">
        <f t="shared" si="90"/>
        <v>#DIV/0!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t="e">
        <f t="shared" si="68"/>
        <v>#DIV/0!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x14ac:dyDescent="0.2">
      <c r="A165" s="9"/>
      <c r="B165" s="34"/>
      <c r="C165" s="34"/>
      <c r="D165" s="1817"/>
      <c r="E165" s="35" t="e">
        <f t="shared" si="90"/>
        <v>#DIV/0!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t="e">
        <f t="shared" si="68"/>
        <v>#DIV/0!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x14ac:dyDescent="0.2">
      <c r="A166" s="9"/>
      <c r="B166" s="34"/>
      <c r="C166" s="34"/>
      <c r="D166" s="1817"/>
      <c r="E166" s="35" t="e">
        <f t="shared" si="90"/>
        <v>#DIV/0!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t="e">
        <f t="shared" si="68"/>
        <v>#DIV/0!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x14ac:dyDescent="0.2">
      <c r="A167" s="9"/>
      <c r="B167" s="34"/>
      <c r="C167" s="34"/>
      <c r="D167" s="1817"/>
      <c r="E167" s="35" t="e">
        <f t="shared" si="90"/>
        <v>#DIV/0!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t="e">
        <f t="shared" si="68"/>
        <v>#DIV/0!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x14ac:dyDescent="0.2">
      <c r="A168" s="9"/>
      <c r="B168" s="34"/>
      <c r="C168" s="34"/>
      <c r="D168" s="1817"/>
      <c r="E168" s="35" t="e">
        <f t="shared" si="90"/>
        <v>#DIV/0!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t="e">
        <f t="shared" si="68"/>
        <v>#DIV/0!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x14ac:dyDescent="0.2">
      <c r="A169" s="9"/>
      <c r="B169" s="34"/>
      <c r="C169" s="34"/>
      <c r="D169" s="1817"/>
      <c r="E169" s="35" t="e">
        <f t="shared" si="90"/>
        <v>#DIV/0!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t="e">
        <f t="shared" si="68"/>
        <v>#DIV/0!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x14ac:dyDescent="0.2">
      <c r="A170" s="9"/>
      <c r="B170" s="34"/>
      <c r="C170" s="34"/>
      <c r="D170" s="1817"/>
      <c r="E170" s="35" t="e">
        <f t="shared" si="90"/>
        <v>#DIV/0!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t="e">
        <f t="shared" si="68"/>
        <v>#DIV/0!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x14ac:dyDescent="0.2">
      <c r="A171" s="9"/>
      <c r="B171" s="34"/>
      <c r="C171" s="34"/>
      <c r="D171" s="1817"/>
      <c r="E171" s="35" t="e">
        <f t="shared" si="90"/>
        <v>#DIV/0!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t="e">
        <f t="shared" si="68"/>
        <v>#DIV/0!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x14ac:dyDescent="0.2">
      <c r="A172" s="9"/>
      <c r="B172" s="34"/>
      <c r="C172" s="34"/>
      <c r="D172" s="1817"/>
      <c r="E172" s="35" t="e">
        <f t="shared" si="90"/>
        <v>#DIV/0!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t="e">
        <f t="shared" si="68"/>
        <v>#DIV/0!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x14ac:dyDescent="0.2">
      <c r="A173" s="9"/>
      <c r="B173" s="34"/>
      <c r="C173" s="34"/>
      <c r="D173" s="1817"/>
      <c r="E173" s="35" t="e">
        <f t="shared" si="90"/>
        <v>#DIV/0!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t="e">
        <f t="shared" si="68"/>
        <v>#DIV/0!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x14ac:dyDescent="0.2">
      <c r="A174" s="9"/>
      <c r="B174" s="34"/>
      <c r="C174" s="34"/>
      <c r="D174" s="1817"/>
      <c r="E174" s="35" t="e">
        <f t="shared" si="90"/>
        <v>#DIV/0!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t="e">
        <f t="shared" ref="AY174:AY205" si="97">ROUND($AY$6*AZ174/$AZ$5,2)</f>
        <v>#DIV/0!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x14ac:dyDescent="0.2">
      <c r="A175" s="9"/>
      <c r="B175" s="34"/>
      <c r="C175" s="34"/>
      <c r="D175" s="1817"/>
      <c r="E175" s="35" t="e">
        <f t="shared" si="90"/>
        <v>#DIV/0!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t="e">
        <f t="shared" si="97"/>
        <v>#DIV/0!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x14ac:dyDescent="0.2">
      <c r="A176" s="9"/>
      <c r="B176" s="34"/>
      <c r="C176" s="34"/>
      <c r="D176" s="1817"/>
      <c r="E176" s="35" t="e">
        <f t="shared" si="90"/>
        <v>#DIV/0!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t="e">
        <f t="shared" si="97"/>
        <v>#DIV/0!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x14ac:dyDescent="0.2">
      <c r="A177" s="9"/>
      <c r="B177" s="34"/>
      <c r="C177" s="34"/>
      <c r="D177" s="1817"/>
      <c r="E177" s="35" t="e">
        <f t="shared" ref="E177:E207" si="119">IF($C$3="是",ROUND($A$3*G177/$B$3,2),ROUND($A$3*(G177-AT177)/$B$3,2))</f>
        <v>#DIV/0!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t="e">
        <f t="shared" si="97"/>
        <v>#DIV/0!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x14ac:dyDescent="0.2">
      <c r="A178" s="9"/>
      <c r="B178" s="34"/>
      <c r="C178" s="34"/>
      <c r="D178" s="1817"/>
      <c r="E178" s="35" t="e">
        <f t="shared" si="119"/>
        <v>#DIV/0!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t="e">
        <f t="shared" si="97"/>
        <v>#DIV/0!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x14ac:dyDescent="0.2">
      <c r="A179" s="9"/>
      <c r="B179" s="34"/>
      <c r="C179" s="34"/>
      <c r="D179" s="1817"/>
      <c r="E179" s="35" t="e">
        <f t="shared" si="119"/>
        <v>#DIV/0!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t="e">
        <f t="shared" si="97"/>
        <v>#DIV/0!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x14ac:dyDescent="0.2">
      <c r="A180" s="9"/>
      <c r="B180" s="34"/>
      <c r="C180" s="34"/>
      <c r="D180" s="1817"/>
      <c r="E180" s="35" t="e">
        <f t="shared" si="119"/>
        <v>#DIV/0!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t="e">
        <f t="shared" si="97"/>
        <v>#DIV/0!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x14ac:dyDescent="0.2">
      <c r="A181" s="9"/>
      <c r="B181" s="34"/>
      <c r="C181" s="34"/>
      <c r="D181" s="1817"/>
      <c r="E181" s="35" t="e">
        <f t="shared" si="119"/>
        <v>#DIV/0!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t="e">
        <f t="shared" si="97"/>
        <v>#DIV/0!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x14ac:dyDescent="0.2">
      <c r="A182" s="9"/>
      <c r="B182" s="34"/>
      <c r="C182" s="34"/>
      <c r="D182" s="1817"/>
      <c r="E182" s="35" t="e">
        <f t="shared" si="119"/>
        <v>#DIV/0!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t="e">
        <f t="shared" si="97"/>
        <v>#DIV/0!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x14ac:dyDescent="0.2">
      <c r="A183" s="9"/>
      <c r="B183" s="34"/>
      <c r="C183" s="34"/>
      <c r="D183" s="1817"/>
      <c r="E183" s="35" t="e">
        <f t="shared" si="119"/>
        <v>#DIV/0!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t="e">
        <f t="shared" si="97"/>
        <v>#DIV/0!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x14ac:dyDescent="0.2">
      <c r="A184" s="9"/>
      <c r="B184" s="34"/>
      <c r="C184" s="34"/>
      <c r="D184" s="1817"/>
      <c r="E184" s="35" t="e">
        <f t="shared" si="119"/>
        <v>#DIV/0!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t="e">
        <f t="shared" si="97"/>
        <v>#DIV/0!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x14ac:dyDescent="0.2">
      <c r="A185" s="9"/>
      <c r="B185" s="34"/>
      <c r="C185" s="34"/>
      <c r="D185" s="1817"/>
      <c r="E185" s="35" t="e">
        <f t="shared" si="119"/>
        <v>#DIV/0!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t="e">
        <f t="shared" si="97"/>
        <v>#DIV/0!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x14ac:dyDescent="0.2">
      <c r="A186" s="9"/>
      <c r="B186" s="34"/>
      <c r="C186" s="34"/>
      <c r="D186" s="1817"/>
      <c r="E186" s="35" t="e">
        <f t="shared" si="119"/>
        <v>#DIV/0!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t="e">
        <f t="shared" si="97"/>
        <v>#DIV/0!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x14ac:dyDescent="0.2">
      <c r="A187" s="9"/>
      <c r="B187" s="34"/>
      <c r="C187" s="34"/>
      <c r="D187" s="1817"/>
      <c r="E187" s="35" t="e">
        <f t="shared" si="119"/>
        <v>#DIV/0!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t="e">
        <f t="shared" si="97"/>
        <v>#DIV/0!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x14ac:dyDescent="0.2">
      <c r="A188" s="9"/>
      <c r="B188" s="34"/>
      <c r="C188" s="34"/>
      <c r="D188" s="1817"/>
      <c r="E188" s="35" t="e">
        <f t="shared" si="119"/>
        <v>#DIV/0!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t="e">
        <f t="shared" si="97"/>
        <v>#DIV/0!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x14ac:dyDescent="0.2">
      <c r="A189" s="9"/>
      <c r="B189" s="34"/>
      <c r="C189" s="34"/>
      <c r="D189" s="1817"/>
      <c r="E189" s="35" t="e">
        <f t="shared" si="119"/>
        <v>#DIV/0!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t="e">
        <f t="shared" si="97"/>
        <v>#DIV/0!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x14ac:dyDescent="0.2">
      <c r="A190" s="9"/>
      <c r="B190" s="34"/>
      <c r="C190" s="34"/>
      <c r="D190" s="1817"/>
      <c r="E190" s="35" t="e">
        <f t="shared" si="119"/>
        <v>#DIV/0!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t="e">
        <f t="shared" si="97"/>
        <v>#DIV/0!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x14ac:dyDescent="0.2">
      <c r="A191" s="9"/>
      <c r="B191" s="34"/>
      <c r="C191" s="34"/>
      <c r="D191" s="1817"/>
      <c r="E191" s="35" t="e">
        <f t="shared" si="119"/>
        <v>#DIV/0!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t="e">
        <f t="shared" si="97"/>
        <v>#DIV/0!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x14ac:dyDescent="0.2">
      <c r="A192" s="9"/>
      <c r="B192" s="34"/>
      <c r="C192" s="34"/>
      <c r="D192" s="1817"/>
      <c r="E192" s="35" t="e">
        <f t="shared" si="119"/>
        <v>#DIV/0!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t="e">
        <f t="shared" si="97"/>
        <v>#DIV/0!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x14ac:dyDescent="0.2">
      <c r="A193" s="9"/>
      <c r="B193" s="34"/>
      <c r="C193" s="34"/>
      <c r="D193" s="1817"/>
      <c r="E193" s="35" t="e">
        <f t="shared" si="119"/>
        <v>#DIV/0!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t="e">
        <f t="shared" si="97"/>
        <v>#DIV/0!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x14ac:dyDescent="0.2">
      <c r="A194" s="9"/>
      <c r="B194" s="34"/>
      <c r="C194" s="34"/>
      <c r="D194" s="1817"/>
      <c r="E194" s="35" t="e">
        <f t="shared" si="119"/>
        <v>#DIV/0!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t="e">
        <f t="shared" si="97"/>
        <v>#DIV/0!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x14ac:dyDescent="0.2">
      <c r="A195" s="9"/>
      <c r="B195" s="34"/>
      <c r="C195" s="34"/>
      <c r="D195" s="1817"/>
      <c r="E195" s="35" t="e">
        <f t="shared" si="119"/>
        <v>#DIV/0!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t="e">
        <f t="shared" si="97"/>
        <v>#DIV/0!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x14ac:dyDescent="0.2">
      <c r="A196" s="9"/>
      <c r="B196" s="34"/>
      <c r="C196" s="34"/>
      <c r="D196" s="1817"/>
      <c r="E196" s="35" t="e">
        <f t="shared" si="119"/>
        <v>#DIV/0!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t="e">
        <f t="shared" si="97"/>
        <v>#DIV/0!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x14ac:dyDescent="0.2">
      <c r="A197" s="9"/>
      <c r="B197" s="34"/>
      <c r="C197" s="34"/>
      <c r="D197" s="1817"/>
      <c r="E197" s="35" t="e">
        <f t="shared" si="119"/>
        <v>#DIV/0!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t="e">
        <f t="shared" si="97"/>
        <v>#DIV/0!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x14ac:dyDescent="0.2">
      <c r="A198" s="9"/>
      <c r="B198" s="34"/>
      <c r="C198" s="34"/>
      <c r="D198" s="1817"/>
      <c r="E198" s="35" t="e">
        <f t="shared" si="119"/>
        <v>#DIV/0!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t="e">
        <f t="shared" si="97"/>
        <v>#DIV/0!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x14ac:dyDescent="0.2">
      <c r="A199" s="9"/>
      <c r="B199" s="34"/>
      <c r="C199" s="34"/>
      <c r="D199" s="1817"/>
      <c r="E199" s="35" t="e">
        <f t="shared" si="119"/>
        <v>#DIV/0!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t="e">
        <f t="shared" si="97"/>
        <v>#DIV/0!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x14ac:dyDescent="0.2">
      <c r="A200" s="9"/>
      <c r="B200" s="34"/>
      <c r="C200" s="34"/>
      <c r="D200" s="1817"/>
      <c r="E200" s="35" t="e">
        <f t="shared" si="119"/>
        <v>#DIV/0!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t="e">
        <f t="shared" si="97"/>
        <v>#DIV/0!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x14ac:dyDescent="0.2">
      <c r="A201" s="9"/>
      <c r="B201" s="34"/>
      <c r="C201" s="34"/>
      <c r="D201" s="1817"/>
      <c r="E201" s="35" t="e">
        <f t="shared" si="119"/>
        <v>#DIV/0!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t="e">
        <f t="shared" si="97"/>
        <v>#DIV/0!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x14ac:dyDescent="0.2">
      <c r="A202" s="9"/>
      <c r="B202" s="34"/>
      <c r="C202" s="34"/>
      <c r="D202" s="1817"/>
      <c r="E202" s="35" t="e">
        <f t="shared" si="119"/>
        <v>#DIV/0!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t="e">
        <f t="shared" si="97"/>
        <v>#DIV/0!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x14ac:dyDescent="0.2">
      <c r="A203" s="9"/>
      <c r="B203" s="34"/>
      <c r="C203" s="34"/>
      <c r="D203" s="1817"/>
      <c r="E203" s="35" t="e">
        <f t="shared" si="119"/>
        <v>#DIV/0!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t="e">
        <f t="shared" si="97"/>
        <v>#DIV/0!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x14ac:dyDescent="0.2">
      <c r="A204" s="9"/>
      <c r="B204" s="34"/>
      <c r="C204" s="34"/>
      <c r="D204" s="1817"/>
      <c r="E204" s="35" t="e">
        <f t="shared" si="119"/>
        <v>#DIV/0!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t="e">
        <f t="shared" si="97"/>
        <v>#DIV/0!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x14ac:dyDescent="0.2">
      <c r="A205" s="9"/>
      <c r="B205" s="9"/>
      <c r="C205" s="9"/>
      <c r="D205" s="1817"/>
      <c r="E205" s="35" t="e">
        <f t="shared" si="119"/>
        <v>#DIV/0!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t="e">
        <f t="shared" si="97"/>
        <v>#DIV/0!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x14ac:dyDescent="0.2">
      <c r="A206" s="9"/>
      <c r="B206" s="9"/>
      <c r="C206" s="9"/>
      <c r="D206" s="1817"/>
      <c r="E206" s="35" t="e">
        <f t="shared" si="119"/>
        <v>#DIV/0!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t="e">
        <f>ROUND($AY$6*AZ206/$AZ$5,2)</f>
        <v>#DIV/0!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x14ac:dyDescent="0.2">
      <c r="A207" s="9"/>
      <c r="B207" s="9"/>
      <c r="C207" s="9"/>
      <c r="D207" s="1817"/>
      <c r="E207" s="35" t="e">
        <f t="shared" si="119"/>
        <v>#DIV/0!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t="e">
        <f>ROUND($AY$6*AZ207/$AZ$5,2)</f>
        <v>#DIV/0!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x14ac:dyDescent="0.2">
      <c r="A208" s="9"/>
      <c r="B208" s="34"/>
      <c r="C208" s="34"/>
      <c r="D208" s="1817"/>
      <c r="E208" s="35" t="e">
        <f t="shared" ref="E208:E302" si="123">IF($C$3="是",ROUND($A$3*G208/$B$3,2),ROUND($A$3*(G208-AT208)/$B$3,2))</f>
        <v>#DIV/0!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t="e">
        <f t="shared" ref="AY208:AY299" si="130">ROUND($AY$6*AZ208/$AZ$5,2)</f>
        <v>#DIV/0!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x14ac:dyDescent="0.2">
      <c r="A209" s="9"/>
      <c r="B209" s="34"/>
      <c r="C209" s="34"/>
      <c r="D209" s="1817"/>
      <c r="E209" s="35" t="e">
        <f t="shared" si="123"/>
        <v>#DIV/0!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t="e">
        <f t="shared" si="130"/>
        <v>#DIV/0!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x14ac:dyDescent="0.2">
      <c r="A210" s="9"/>
      <c r="B210" s="34"/>
      <c r="C210" s="34"/>
      <c r="D210" s="1817"/>
      <c r="E210" s="35" t="e">
        <f t="shared" si="123"/>
        <v>#DIV/0!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t="e">
        <f t="shared" si="130"/>
        <v>#DIV/0!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x14ac:dyDescent="0.2">
      <c r="A211" s="9"/>
      <c r="B211" s="34"/>
      <c r="C211" s="34"/>
      <c r="D211" s="1817"/>
      <c r="E211" s="35" t="e">
        <f t="shared" si="123"/>
        <v>#DIV/0!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t="e">
        <f t="shared" si="130"/>
        <v>#DIV/0!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x14ac:dyDescent="0.2">
      <c r="A212" s="9"/>
      <c r="B212" s="34"/>
      <c r="C212" s="34"/>
      <c r="D212" s="1817"/>
      <c r="E212" s="35" t="e">
        <f t="shared" si="123"/>
        <v>#DIV/0!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t="e">
        <f t="shared" si="130"/>
        <v>#DIV/0!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x14ac:dyDescent="0.2">
      <c r="A213" s="9"/>
      <c r="B213" s="34"/>
      <c r="C213" s="34"/>
      <c r="D213" s="1817"/>
      <c r="E213" s="35" t="e">
        <f t="shared" si="123"/>
        <v>#DIV/0!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t="e">
        <f t="shared" si="130"/>
        <v>#DIV/0!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x14ac:dyDescent="0.2">
      <c r="A214" s="9"/>
      <c r="B214" s="34"/>
      <c r="C214" s="34"/>
      <c r="D214" s="1817"/>
      <c r="E214" s="35" t="e">
        <f t="shared" si="123"/>
        <v>#DIV/0!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t="e">
        <f t="shared" si="130"/>
        <v>#DIV/0!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x14ac:dyDescent="0.2">
      <c r="A215" s="9"/>
      <c r="B215" s="34"/>
      <c r="C215" s="34"/>
      <c r="D215" s="1817"/>
      <c r="E215" s="35" t="e">
        <f t="shared" si="123"/>
        <v>#DIV/0!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t="e">
        <f t="shared" si="130"/>
        <v>#DIV/0!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x14ac:dyDescent="0.2">
      <c r="A216" s="9"/>
      <c r="B216" s="34"/>
      <c r="C216" s="34"/>
      <c r="D216" s="1817"/>
      <c r="E216" s="35" t="e">
        <f t="shared" si="123"/>
        <v>#DIV/0!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t="e">
        <f t="shared" si="130"/>
        <v>#DIV/0!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x14ac:dyDescent="0.2">
      <c r="A217" s="9"/>
      <c r="B217" s="34"/>
      <c r="C217" s="34"/>
      <c r="D217" s="1817"/>
      <c r="E217" s="35" t="e">
        <f t="shared" si="123"/>
        <v>#DIV/0!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t="e">
        <f t="shared" si="130"/>
        <v>#DIV/0!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x14ac:dyDescent="0.2">
      <c r="A218" s="9"/>
      <c r="B218" s="34"/>
      <c r="C218" s="34"/>
      <c r="D218" s="1817"/>
      <c r="E218" s="35" t="e">
        <f t="shared" si="123"/>
        <v>#DIV/0!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t="e">
        <f t="shared" si="130"/>
        <v>#DIV/0!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x14ac:dyDescent="0.2">
      <c r="A219" s="9"/>
      <c r="B219" s="34"/>
      <c r="C219" s="34"/>
      <c r="D219" s="1817"/>
      <c r="E219" s="35" t="e">
        <f t="shared" si="123"/>
        <v>#DIV/0!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t="e">
        <f t="shared" si="130"/>
        <v>#DIV/0!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x14ac:dyDescent="0.2">
      <c r="A220" s="9"/>
      <c r="B220" s="34"/>
      <c r="C220" s="34"/>
      <c r="D220" s="1817"/>
      <c r="E220" s="35" t="e">
        <f t="shared" si="123"/>
        <v>#DIV/0!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t="e">
        <f t="shared" si="130"/>
        <v>#DIV/0!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x14ac:dyDescent="0.2">
      <c r="A221" s="9"/>
      <c r="B221" s="34"/>
      <c r="C221" s="34"/>
      <c r="D221" s="1817"/>
      <c r="E221" s="35" t="e">
        <f t="shared" si="123"/>
        <v>#DIV/0!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t="e">
        <f t="shared" si="130"/>
        <v>#DIV/0!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x14ac:dyDescent="0.2">
      <c r="A222" s="9"/>
      <c r="B222" s="34"/>
      <c r="C222" s="34"/>
      <c r="D222" s="1817"/>
      <c r="E222" s="35" t="e">
        <f t="shared" si="123"/>
        <v>#DIV/0!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t="e">
        <f t="shared" si="130"/>
        <v>#DIV/0!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x14ac:dyDescent="0.2">
      <c r="A223" s="9"/>
      <c r="B223" s="34"/>
      <c r="C223" s="34"/>
      <c r="D223" s="1817"/>
      <c r="E223" s="35" t="e">
        <f t="shared" si="123"/>
        <v>#DIV/0!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t="e">
        <f t="shared" si="130"/>
        <v>#DIV/0!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x14ac:dyDescent="0.2">
      <c r="A224" s="9"/>
      <c r="B224" s="34"/>
      <c r="C224" s="34"/>
      <c r="D224" s="1817"/>
      <c r="E224" s="35" t="e">
        <f t="shared" si="123"/>
        <v>#DIV/0!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t="e">
        <f t="shared" si="130"/>
        <v>#DIV/0!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x14ac:dyDescent="0.2">
      <c r="A225" s="9"/>
      <c r="B225" s="34"/>
      <c r="C225" s="34"/>
      <c r="D225" s="1817"/>
      <c r="E225" s="35" t="e">
        <f t="shared" si="123"/>
        <v>#DIV/0!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t="e">
        <f t="shared" si="130"/>
        <v>#DIV/0!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x14ac:dyDescent="0.2">
      <c r="A226" s="9"/>
      <c r="B226" s="34"/>
      <c r="C226" s="34"/>
      <c r="D226" s="1817"/>
      <c r="E226" s="35" t="e">
        <f t="shared" si="123"/>
        <v>#DIV/0!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t="e">
        <f t="shared" si="130"/>
        <v>#DIV/0!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x14ac:dyDescent="0.2">
      <c r="A227" s="9"/>
      <c r="B227" s="34"/>
      <c r="C227" s="34"/>
      <c r="D227" s="1817"/>
      <c r="E227" s="35" t="e">
        <f t="shared" si="123"/>
        <v>#DIV/0!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t="e">
        <f t="shared" si="130"/>
        <v>#DIV/0!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x14ac:dyDescent="0.2">
      <c r="A228" s="9"/>
      <c r="B228" s="34"/>
      <c r="C228" s="34"/>
      <c r="D228" s="1817"/>
      <c r="E228" s="35" t="e">
        <f t="shared" si="123"/>
        <v>#DIV/0!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t="e">
        <f t="shared" si="130"/>
        <v>#DIV/0!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x14ac:dyDescent="0.2">
      <c r="A229" s="9"/>
      <c r="B229" s="34"/>
      <c r="C229" s="34"/>
      <c r="D229" s="1817"/>
      <c r="E229" s="35" t="e">
        <f t="shared" si="123"/>
        <v>#DIV/0!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t="e">
        <f t="shared" si="130"/>
        <v>#DIV/0!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x14ac:dyDescent="0.2">
      <c r="A230" s="9"/>
      <c r="B230" s="34"/>
      <c r="C230" s="34"/>
      <c r="D230" s="1817"/>
      <c r="E230" s="35" t="e">
        <f t="shared" si="123"/>
        <v>#DIV/0!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t="e">
        <f t="shared" si="130"/>
        <v>#DIV/0!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x14ac:dyDescent="0.2">
      <c r="A231" s="9"/>
      <c r="B231" s="34"/>
      <c r="C231" s="34"/>
      <c r="D231" s="1817"/>
      <c r="E231" s="35" t="e">
        <f t="shared" si="123"/>
        <v>#DIV/0!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t="e">
        <f t="shared" si="130"/>
        <v>#DIV/0!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x14ac:dyDescent="0.2">
      <c r="A232" s="9"/>
      <c r="B232" s="34"/>
      <c r="C232" s="34"/>
      <c r="D232" s="1817"/>
      <c r="E232" s="35" t="e">
        <f t="shared" si="123"/>
        <v>#DIV/0!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t="e">
        <f t="shared" si="130"/>
        <v>#DIV/0!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x14ac:dyDescent="0.2">
      <c r="A233" s="9"/>
      <c r="B233" s="34"/>
      <c r="C233" s="34"/>
      <c r="D233" s="1817"/>
      <c r="E233" s="35" t="e">
        <f t="shared" si="123"/>
        <v>#DIV/0!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t="e">
        <f t="shared" si="130"/>
        <v>#DIV/0!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x14ac:dyDescent="0.2">
      <c r="A234" s="9"/>
      <c r="B234" s="34"/>
      <c r="C234" s="34"/>
      <c r="D234" s="1817"/>
      <c r="E234" s="35" t="e">
        <f t="shared" si="123"/>
        <v>#DIV/0!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t="e">
        <f t="shared" si="130"/>
        <v>#DIV/0!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x14ac:dyDescent="0.2">
      <c r="A235" s="9"/>
      <c r="B235" s="34"/>
      <c r="C235" s="34"/>
      <c r="D235" s="1817"/>
      <c r="E235" s="35" t="e">
        <f t="shared" si="123"/>
        <v>#DIV/0!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t="e">
        <f t="shared" si="130"/>
        <v>#DIV/0!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x14ac:dyDescent="0.2">
      <c r="A236" s="9"/>
      <c r="B236" s="34"/>
      <c r="C236" s="34"/>
      <c r="D236" s="1817"/>
      <c r="E236" s="35" t="e">
        <f t="shared" si="123"/>
        <v>#DIV/0!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t="e">
        <f t="shared" si="130"/>
        <v>#DIV/0!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x14ac:dyDescent="0.2">
      <c r="A237" s="9"/>
      <c r="B237" s="34"/>
      <c r="C237" s="34"/>
      <c r="D237" s="1817"/>
      <c r="E237" s="35" t="e">
        <f t="shared" si="123"/>
        <v>#DIV/0!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t="e">
        <f t="shared" si="130"/>
        <v>#DIV/0!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x14ac:dyDescent="0.2">
      <c r="A238" s="9"/>
      <c r="B238" s="34"/>
      <c r="C238" s="34"/>
      <c r="D238" s="1817"/>
      <c r="E238" s="35" t="e">
        <f t="shared" si="123"/>
        <v>#DIV/0!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t="e">
        <f t="shared" si="130"/>
        <v>#DIV/0!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x14ac:dyDescent="0.2">
      <c r="A239" s="9"/>
      <c r="B239" s="34"/>
      <c r="C239" s="34"/>
      <c r="D239" s="1817"/>
      <c r="E239" s="35" t="e">
        <f t="shared" si="123"/>
        <v>#DIV/0!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t="e">
        <f t="shared" si="130"/>
        <v>#DIV/0!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x14ac:dyDescent="0.2">
      <c r="A240" s="9"/>
      <c r="B240" s="34"/>
      <c r="C240" s="34"/>
      <c r="D240" s="1817"/>
      <c r="E240" s="35" t="e">
        <f t="shared" si="123"/>
        <v>#DIV/0!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t="e">
        <f t="shared" si="130"/>
        <v>#DIV/0!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x14ac:dyDescent="0.2">
      <c r="A241" s="9"/>
      <c r="B241" s="34"/>
      <c r="C241" s="34"/>
      <c r="D241" s="1817"/>
      <c r="E241" s="35" t="e">
        <f t="shared" si="123"/>
        <v>#DIV/0!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t="e">
        <f t="shared" si="130"/>
        <v>#DIV/0!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x14ac:dyDescent="0.2">
      <c r="A242" s="9"/>
      <c r="B242" s="34"/>
      <c r="C242" s="34"/>
      <c r="D242" s="1817"/>
      <c r="E242" s="35" t="e">
        <f t="shared" si="123"/>
        <v>#DIV/0!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t="e">
        <f t="shared" si="130"/>
        <v>#DIV/0!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x14ac:dyDescent="0.2">
      <c r="A243" s="9"/>
      <c r="B243" s="34"/>
      <c r="C243" s="34"/>
      <c r="D243" s="1817"/>
      <c r="E243" s="35" t="e">
        <f t="shared" si="123"/>
        <v>#DIV/0!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t="e">
        <f t="shared" si="130"/>
        <v>#DIV/0!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x14ac:dyDescent="0.2">
      <c r="A244" s="9"/>
      <c r="B244" s="34"/>
      <c r="C244" s="34"/>
      <c r="D244" s="1817"/>
      <c r="E244" s="35" t="e">
        <f t="shared" si="123"/>
        <v>#DIV/0!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t="e">
        <f t="shared" si="130"/>
        <v>#DIV/0!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x14ac:dyDescent="0.2">
      <c r="A245" s="9"/>
      <c r="B245" s="34"/>
      <c r="C245" s="34"/>
      <c r="D245" s="1817"/>
      <c r="E245" s="35" t="e">
        <f t="shared" si="123"/>
        <v>#DIV/0!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t="e">
        <f t="shared" si="130"/>
        <v>#DIV/0!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x14ac:dyDescent="0.2">
      <c r="A246" s="9"/>
      <c r="B246" s="34"/>
      <c r="C246" s="34"/>
      <c r="D246" s="1817"/>
      <c r="E246" s="35" t="e">
        <f t="shared" si="123"/>
        <v>#DIV/0!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t="e">
        <f t="shared" si="130"/>
        <v>#DIV/0!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x14ac:dyDescent="0.2">
      <c r="A247" s="9"/>
      <c r="B247" s="34"/>
      <c r="C247" s="34"/>
      <c r="D247" s="1817"/>
      <c r="E247" s="35" t="e">
        <f t="shared" si="123"/>
        <v>#DIV/0!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t="e">
        <f t="shared" si="130"/>
        <v>#DIV/0!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x14ac:dyDescent="0.2">
      <c r="A248" s="9"/>
      <c r="B248" s="34"/>
      <c r="C248" s="34"/>
      <c r="D248" s="1817"/>
      <c r="E248" s="35" t="e">
        <f t="shared" si="123"/>
        <v>#DIV/0!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t="e">
        <f t="shared" si="130"/>
        <v>#DIV/0!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x14ac:dyDescent="0.2">
      <c r="A249" s="9"/>
      <c r="B249" s="34"/>
      <c r="C249" s="34"/>
      <c r="D249" s="1817"/>
      <c r="E249" s="35" t="e">
        <f t="shared" si="123"/>
        <v>#DIV/0!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t="e">
        <f t="shared" si="130"/>
        <v>#DIV/0!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x14ac:dyDescent="0.2">
      <c r="A250" s="9"/>
      <c r="B250" s="34"/>
      <c r="C250" s="34"/>
      <c r="D250" s="1817"/>
      <c r="E250" s="35" t="e">
        <f t="shared" si="123"/>
        <v>#DIV/0!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t="e">
        <f t="shared" si="130"/>
        <v>#DIV/0!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x14ac:dyDescent="0.2">
      <c r="A251" s="9"/>
      <c r="B251" s="34"/>
      <c r="C251" s="34"/>
      <c r="D251" s="1817"/>
      <c r="E251" s="35" t="e">
        <f t="shared" si="123"/>
        <v>#DIV/0!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t="e">
        <f t="shared" si="130"/>
        <v>#DIV/0!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x14ac:dyDescent="0.2">
      <c r="A252" s="9"/>
      <c r="B252" s="34"/>
      <c r="C252" s="34"/>
      <c r="D252" s="1817"/>
      <c r="E252" s="35" t="e">
        <f t="shared" si="123"/>
        <v>#DIV/0!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t="e">
        <f t="shared" si="130"/>
        <v>#DIV/0!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x14ac:dyDescent="0.2">
      <c r="A253" s="9"/>
      <c r="B253" s="34"/>
      <c r="C253" s="34"/>
      <c r="D253" s="1817"/>
      <c r="E253" s="35" t="e">
        <f t="shared" si="123"/>
        <v>#DIV/0!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t="e">
        <f t="shared" si="130"/>
        <v>#DIV/0!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x14ac:dyDescent="0.2">
      <c r="A254" s="9"/>
      <c r="B254" s="34"/>
      <c r="C254" s="34"/>
      <c r="D254" s="1817"/>
      <c r="E254" s="35" t="e">
        <f t="shared" si="123"/>
        <v>#DIV/0!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t="e">
        <f t="shared" si="130"/>
        <v>#DIV/0!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x14ac:dyDescent="0.2">
      <c r="A255" s="9"/>
      <c r="B255" s="34"/>
      <c r="C255" s="34"/>
      <c r="D255" s="1817"/>
      <c r="E255" s="35" t="e">
        <f t="shared" si="123"/>
        <v>#DIV/0!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t="e">
        <f t="shared" si="130"/>
        <v>#DIV/0!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x14ac:dyDescent="0.2">
      <c r="A256" s="9"/>
      <c r="B256" s="34"/>
      <c r="C256" s="34"/>
      <c r="D256" s="1817"/>
      <c r="E256" s="35" t="e">
        <f t="shared" si="123"/>
        <v>#DIV/0!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t="e">
        <f t="shared" si="130"/>
        <v>#DIV/0!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x14ac:dyDescent="0.2">
      <c r="A257" s="9"/>
      <c r="B257" s="34"/>
      <c r="C257" s="34"/>
      <c r="D257" s="1817"/>
      <c r="E257" s="35" t="e">
        <f t="shared" si="123"/>
        <v>#DIV/0!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t="e">
        <f t="shared" si="130"/>
        <v>#DIV/0!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x14ac:dyDescent="0.2">
      <c r="A258" s="9"/>
      <c r="B258" s="34"/>
      <c r="C258" s="34"/>
      <c r="D258" s="1817"/>
      <c r="E258" s="35" t="e">
        <f t="shared" si="123"/>
        <v>#DIV/0!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t="e">
        <f t="shared" si="130"/>
        <v>#DIV/0!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x14ac:dyDescent="0.2">
      <c r="A259" s="9"/>
      <c r="B259" s="34"/>
      <c r="C259" s="34"/>
      <c r="D259" s="1817"/>
      <c r="E259" s="35" t="e">
        <f t="shared" si="123"/>
        <v>#DIV/0!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t="e">
        <f t="shared" si="130"/>
        <v>#DIV/0!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x14ac:dyDescent="0.2">
      <c r="A260" s="9"/>
      <c r="B260" s="34"/>
      <c r="C260" s="34"/>
      <c r="D260" s="1817"/>
      <c r="E260" s="35" t="e">
        <f t="shared" si="123"/>
        <v>#DIV/0!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t="e">
        <f t="shared" si="130"/>
        <v>#DIV/0!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x14ac:dyDescent="0.2">
      <c r="A261" s="9"/>
      <c r="B261" s="34"/>
      <c r="C261" s="34"/>
      <c r="D261" s="1817"/>
      <c r="E261" s="35" t="e">
        <f t="shared" si="123"/>
        <v>#DIV/0!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t="e">
        <f t="shared" si="130"/>
        <v>#DIV/0!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x14ac:dyDescent="0.2">
      <c r="A262" s="9"/>
      <c r="B262" s="34"/>
      <c r="C262" s="34"/>
      <c r="D262" s="1817"/>
      <c r="E262" s="35" t="e">
        <f t="shared" si="123"/>
        <v>#DIV/0!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t="e">
        <f t="shared" si="130"/>
        <v>#DIV/0!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x14ac:dyDescent="0.2">
      <c r="A263" s="9"/>
      <c r="B263" s="34"/>
      <c r="C263" s="34"/>
      <c r="D263" s="1817"/>
      <c r="E263" s="35" t="e">
        <f t="shared" si="123"/>
        <v>#DIV/0!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t="e">
        <f t="shared" si="130"/>
        <v>#DIV/0!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x14ac:dyDescent="0.2">
      <c r="A264" s="9"/>
      <c r="B264" s="34"/>
      <c r="C264" s="34"/>
      <c r="D264" s="1817"/>
      <c r="E264" s="35" t="e">
        <f t="shared" si="123"/>
        <v>#DIV/0!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t="e">
        <f t="shared" si="130"/>
        <v>#DIV/0!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x14ac:dyDescent="0.2">
      <c r="A265" s="9"/>
      <c r="B265" s="34"/>
      <c r="C265" s="34"/>
      <c r="D265" s="1817"/>
      <c r="E265" s="35" t="e">
        <f t="shared" si="123"/>
        <v>#DIV/0!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t="e">
        <f t="shared" si="130"/>
        <v>#DIV/0!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x14ac:dyDescent="0.2">
      <c r="A266" s="9"/>
      <c r="B266" s="34"/>
      <c r="C266" s="34"/>
      <c r="D266" s="1817"/>
      <c r="E266" s="35" t="e">
        <f t="shared" si="123"/>
        <v>#DIV/0!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t="e">
        <f t="shared" si="130"/>
        <v>#DIV/0!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x14ac:dyDescent="0.2">
      <c r="A267" s="9"/>
      <c r="B267" s="34"/>
      <c r="C267" s="34"/>
      <c r="D267" s="1817"/>
      <c r="E267" s="35" t="e">
        <f t="shared" si="123"/>
        <v>#DIV/0!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t="e">
        <f t="shared" si="130"/>
        <v>#DIV/0!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x14ac:dyDescent="0.2">
      <c r="A268" s="9"/>
      <c r="B268" s="34"/>
      <c r="C268" s="34"/>
      <c r="D268" s="1817"/>
      <c r="E268" s="35" t="e">
        <f t="shared" si="123"/>
        <v>#DIV/0!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t="e">
        <f t="shared" si="130"/>
        <v>#DIV/0!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x14ac:dyDescent="0.2">
      <c r="A269" s="9"/>
      <c r="B269" s="34"/>
      <c r="C269" s="34"/>
      <c r="D269" s="1817"/>
      <c r="E269" s="35" t="e">
        <f t="shared" si="123"/>
        <v>#DIV/0!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t="e">
        <f t="shared" si="130"/>
        <v>#DIV/0!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x14ac:dyDescent="0.2">
      <c r="A270" s="9"/>
      <c r="B270" s="34"/>
      <c r="C270" s="34"/>
      <c r="D270" s="1817"/>
      <c r="E270" s="35" t="e">
        <f t="shared" si="123"/>
        <v>#DIV/0!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t="e">
        <f t="shared" si="130"/>
        <v>#DIV/0!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x14ac:dyDescent="0.2">
      <c r="A271" s="9"/>
      <c r="B271" s="34"/>
      <c r="C271" s="34"/>
      <c r="D271" s="1817"/>
      <c r="E271" s="35" t="e">
        <f t="shared" si="123"/>
        <v>#DIV/0!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t="e">
        <f t="shared" si="130"/>
        <v>#DIV/0!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x14ac:dyDescent="0.2">
      <c r="A272" s="9"/>
      <c r="B272" s="34"/>
      <c r="C272" s="34"/>
      <c r="D272" s="1817"/>
      <c r="E272" s="35" t="e">
        <f t="shared" si="123"/>
        <v>#DIV/0!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t="e">
        <f t="shared" si="130"/>
        <v>#DIV/0!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x14ac:dyDescent="0.2">
      <c r="A273" s="9"/>
      <c r="B273" s="34"/>
      <c r="C273" s="34"/>
      <c r="D273" s="1817"/>
      <c r="E273" s="35" t="e">
        <f t="shared" si="123"/>
        <v>#DIV/0!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t="e">
        <f t="shared" si="130"/>
        <v>#DIV/0!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x14ac:dyDescent="0.2">
      <c r="A274" s="9"/>
      <c r="B274" s="34"/>
      <c r="C274" s="34"/>
      <c r="D274" s="1817"/>
      <c r="E274" s="35" t="e">
        <f t="shared" si="123"/>
        <v>#DIV/0!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t="e">
        <f t="shared" si="130"/>
        <v>#DIV/0!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x14ac:dyDescent="0.2">
      <c r="A275" s="9"/>
      <c r="B275" s="34"/>
      <c r="C275" s="34"/>
      <c r="D275" s="1817"/>
      <c r="E275" s="35" t="e">
        <f t="shared" si="123"/>
        <v>#DIV/0!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t="e">
        <f t="shared" si="130"/>
        <v>#DIV/0!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x14ac:dyDescent="0.2">
      <c r="A276" s="9"/>
      <c r="B276" s="34"/>
      <c r="C276" s="34"/>
      <c r="D276" s="1817"/>
      <c r="E276" s="35" t="e">
        <f t="shared" si="123"/>
        <v>#DIV/0!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t="e">
        <f t="shared" si="130"/>
        <v>#DIV/0!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x14ac:dyDescent="0.2">
      <c r="A277" s="9"/>
      <c r="B277" s="34"/>
      <c r="C277" s="34"/>
      <c r="D277" s="1817"/>
      <c r="E277" s="35" t="e">
        <f t="shared" si="123"/>
        <v>#DIV/0!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t="e">
        <f t="shared" si="130"/>
        <v>#DIV/0!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x14ac:dyDescent="0.2">
      <c r="A278" s="9"/>
      <c r="B278" s="34"/>
      <c r="C278" s="34"/>
      <c r="D278" s="1817"/>
      <c r="E278" s="35" t="e">
        <f t="shared" si="123"/>
        <v>#DIV/0!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t="e">
        <f t="shared" si="130"/>
        <v>#DIV/0!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x14ac:dyDescent="0.2">
      <c r="A279" s="9"/>
      <c r="B279" s="34"/>
      <c r="C279" s="34"/>
      <c r="D279" s="1817"/>
      <c r="E279" s="35" t="e">
        <f t="shared" si="123"/>
        <v>#DIV/0!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t="e">
        <f t="shared" si="130"/>
        <v>#DIV/0!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x14ac:dyDescent="0.2">
      <c r="A280" s="9"/>
      <c r="B280" s="34"/>
      <c r="C280" s="34"/>
      <c r="D280" s="1817"/>
      <c r="E280" s="35" t="e">
        <f t="shared" si="123"/>
        <v>#DIV/0!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t="e">
        <f t="shared" si="130"/>
        <v>#DIV/0!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x14ac:dyDescent="0.2">
      <c r="A281" s="9"/>
      <c r="B281" s="34"/>
      <c r="C281" s="34"/>
      <c r="D281" s="1817"/>
      <c r="E281" s="35" t="e">
        <f t="shared" si="123"/>
        <v>#DIV/0!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t="e">
        <f t="shared" si="130"/>
        <v>#DIV/0!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x14ac:dyDescent="0.2">
      <c r="A282" s="9"/>
      <c r="B282" s="34"/>
      <c r="C282" s="34"/>
      <c r="D282" s="1817"/>
      <c r="E282" s="35" t="e">
        <f t="shared" si="123"/>
        <v>#DIV/0!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t="e">
        <f t="shared" si="130"/>
        <v>#DIV/0!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x14ac:dyDescent="0.2">
      <c r="A283" s="9"/>
      <c r="B283" s="34"/>
      <c r="C283" s="34"/>
      <c r="D283" s="1817"/>
      <c r="E283" s="35" t="e">
        <f t="shared" si="123"/>
        <v>#DIV/0!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t="e">
        <f t="shared" si="130"/>
        <v>#DIV/0!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x14ac:dyDescent="0.2">
      <c r="A284" s="9"/>
      <c r="B284" s="34"/>
      <c r="C284" s="34"/>
      <c r="D284" s="1817"/>
      <c r="E284" s="35" t="e">
        <f t="shared" si="123"/>
        <v>#DIV/0!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t="e">
        <f t="shared" si="130"/>
        <v>#DIV/0!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x14ac:dyDescent="0.2">
      <c r="A285" s="9"/>
      <c r="B285" s="34"/>
      <c r="C285" s="34"/>
      <c r="D285" s="1817"/>
      <c r="E285" s="35" t="e">
        <f t="shared" si="123"/>
        <v>#DIV/0!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t="e">
        <f t="shared" si="130"/>
        <v>#DIV/0!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x14ac:dyDescent="0.2">
      <c r="A286" s="9"/>
      <c r="B286" s="34"/>
      <c r="C286" s="34"/>
      <c r="D286" s="1817"/>
      <c r="E286" s="35" t="e">
        <f t="shared" si="123"/>
        <v>#DIV/0!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t="e">
        <f t="shared" si="130"/>
        <v>#DIV/0!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x14ac:dyDescent="0.2">
      <c r="A287" s="9"/>
      <c r="B287" s="34"/>
      <c r="C287" s="34"/>
      <c r="D287" s="1817"/>
      <c r="E287" s="35" t="e">
        <f t="shared" si="123"/>
        <v>#DIV/0!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t="e">
        <f t="shared" si="130"/>
        <v>#DIV/0!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x14ac:dyDescent="0.2">
      <c r="A288" s="9"/>
      <c r="B288" s="34"/>
      <c r="C288" s="34"/>
      <c r="D288" s="1817"/>
      <c r="E288" s="35" t="e">
        <f t="shared" si="123"/>
        <v>#DIV/0!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t="e">
        <f t="shared" si="130"/>
        <v>#DIV/0!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x14ac:dyDescent="0.2">
      <c r="A289" s="9"/>
      <c r="B289" s="34"/>
      <c r="C289" s="34"/>
      <c r="D289" s="1817"/>
      <c r="E289" s="35" t="e">
        <f t="shared" si="123"/>
        <v>#DIV/0!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t="e">
        <f t="shared" si="130"/>
        <v>#DIV/0!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x14ac:dyDescent="0.2">
      <c r="A290" s="9"/>
      <c r="B290" s="34"/>
      <c r="C290" s="34"/>
      <c r="D290" s="1817"/>
      <c r="E290" s="35" t="e">
        <f t="shared" si="123"/>
        <v>#DIV/0!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t="e">
        <f t="shared" si="130"/>
        <v>#DIV/0!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x14ac:dyDescent="0.2">
      <c r="A291" s="9"/>
      <c r="B291" s="34"/>
      <c r="C291" s="34"/>
      <c r="D291" s="1817"/>
      <c r="E291" s="35" t="e">
        <f t="shared" si="123"/>
        <v>#DIV/0!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t="e">
        <f t="shared" si="130"/>
        <v>#DIV/0!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x14ac:dyDescent="0.2">
      <c r="A292" s="9"/>
      <c r="B292" s="34"/>
      <c r="C292" s="34"/>
      <c r="D292" s="1817"/>
      <c r="E292" s="35" t="e">
        <f t="shared" si="123"/>
        <v>#DIV/0!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t="e">
        <f t="shared" si="130"/>
        <v>#DIV/0!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x14ac:dyDescent="0.2">
      <c r="A293" s="9"/>
      <c r="B293" s="34"/>
      <c r="C293" s="34"/>
      <c r="D293" s="1817"/>
      <c r="E293" s="35" t="e">
        <f t="shared" si="123"/>
        <v>#DIV/0!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t="e">
        <f t="shared" si="130"/>
        <v>#DIV/0!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x14ac:dyDescent="0.2">
      <c r="A294" s="9"/>
      <c r="B294" s="34"/>
      <c r="C294" s="34"/>
      <c r="D294" s="1817"/>
      <c r="E294" s="35" t="e">
        <f t="shared" si="123"/>
        <v>#DIV/0!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t="e">
        <f t="shared" si="130"/>
        <v>#DIV/0!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x14ac:dyDescent="0.2">
      <c r="A295" s="9"/>
      <c r="B295" s="34"/>
      <c r="C295" s="34"/>
      <c r="D295" s="1817"/>
      <c r="E295" s="35" t="e">
        <f t="shared" si="123"/>
        <v>#DIV/0!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t="e">
        <f t="shared" si="130"/>
        <v>#DIV/0!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x14ac:dyDescent="0.2">
      <c r="A296" s="9"/>
      <c r="B296" s="34"/>
      <c r="C296" s="34"/>
      <c r="D296" s="1817"/>
      <c r="E296" s="35" t="e">
        <f t="shared" si="123"/>
        <v>#DIV/0!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t="e">
        <f t="shared" si="130"/>
        <v>#DIV/0!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x14ac:dyDescent="0.2">
      <c r="A297" s="9"/>
      <c r="B297" s="34"/>
      <c r="C297" s="34"/>
      <c r="D297" s="1817"/>
      <c r="E297" s="35" t="e">
        <f t="shared" si="123"/>
        <v>#DIV/0!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t="e">
        <f t="shared" si="130"/>
        <v>#DIV/0!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x14ac:dyDescent="0.2">
      <c r="A298" s="9"/>
      <c r="B298" s="34"/>
      <c r="C298" s="34"/>
      <c r="D298" s="1817"/>
      <c r="E298" s="35" t="e">
        <f t="shared" si="123"/>
        <v>#DIV/0!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t="e">
        <f t="shared" si="130"/>
        <v>#DIV/0!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x14ac:dyDescent="0.2">
      <c r="A299" s="9"/>
      <c r="B299" s="34"/>
      <c r="C299" s="34"/>
      <c r="D299" s="1817"/>
      <c r="E299" s="35" t="e">
        <f t="shared" si="123"/>
        <v>#DIV/0!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t="e">
        <f t="shared" si="130"/>
        <v>#DIV/0!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x14ac:dyDescent="0.2">
      <c r="A300" s="9"/>
      <c r="B300" s="9"/>
      <c r="C300" s="9"/>
      <c r="D300" s="1817"/>
      <c r="E300" s="35" t="e">
        <f t="shared" si="123"/>
        <v>#DIV/0!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t="e">
        <f t="shared" ref="AY300:AY331" si="155">ROUND($AY$6*AZ300/$AZ$5,2)</f>
        <v>#DIV/0!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x14ac:dyDescent="0.2">
      <c r="A301" s="9"/>
      <c r="B301" s="9"/>
      <c r="C301" s="9"/>
      <c r="D301" s="1817"/>
      <c r="E301" s="35" t="e">
        <f t="shared" si="123"/>
        <v>#DIV/0!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t="e">
        <f t="shared" si="155"/>
        <v>#DIV/0!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x14ac:dyDescent="0.2">
      <c r="A302" s="9"/>
      <c r="B302" s="9"/>
      <c r="C302" s="9"/>
      <c r="D302" s="1817"/>
      <c r="E302" s="35" t="e">
        <f t="shared" si="123"/>
        <v>#DIV/0!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t="e">
        <f t="shared" si="155"/>
        <v>#DIV/0!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x14ac:dyDescent="0.2">
      <c r="A303" s="9"/>
      <c r="B303" s="34"/>
      <c r="C303" s="34"/>
      <c r="D303" s="1817"/>
      <c r="E303" s="35" t="e">
        <f t="shared" ref="E303:E334" si="177">IF($C$3="是",ROUND($A$3*G303/$B$3,2),ROUND($A$3*(G303-AT303)/$B$3,2))</f>
        <v>#DIV/0!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t="e">
        <f t="shared" si="155"/>
        <v>#DIV/0!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x14ac:dyDescent="0.2">
      <c r="A304" s="9"/>
      <c r="B304" s="34"/>
      <c r="C304" s="34"/>
      <c r="D304" s="1817"/>
      <c r="E304" s="35" t="e">
        <f t="shared" si="177"/>
        <v>#DIV/0!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t="e">
        <f t="shared" si="155"/>
        <v>#DIV/0!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x14ac:dyDescent="0.2">
      <c r="A305" s="9"/>
      <c r="B305" s="34"/>
      <c r="C305" s="34"/>
      <c r="D305" s="1817"/>
      <c r="E305" s="35" t="e">
        <f t="shared" si="177"/>
        <v>#DIV/0!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t="e">
        <f t="shared" si="155"/>
        <v>#DIV/0!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x14ac:dyDescent="0.2">
      <c r="A306" s="9"/>
      <c r="B306" s="34"/>
      <c r="C306" s="34"/>
      <c r="D306" s="1817"/>
      <c r="E306" s="35" t="e">
        <f t="shared" si="177"/>
        <v>#DIV/0!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t="e">
        <f t="shared" si="155"/>
        <v>#DIV/0!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x14ac:dyDescent="0.2">
      <c r="A307" s="9"/>
      <c r="B307" s="34"/>
      <c r="C307" s="34"/>
      <c r="D307" s="1817"/>
      <c r="E307" s="35" t="e">
        <f t="shared" si="177"/>
        <v>#DIV/0!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t="e">
        <f t="shared" si="155"/>
        <v>#DIV/0!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x14ac:dyDescent="0.2">
      <c r="A308" s="9"/>
      <c r="B308" s="34"/>
      <c r="C308" s="34"/>
      <c r="D308" s="1817"/>
      <c r="E308" s="35" t="e">
        <f t="shared" si="177"/>
        <v>#DIV/0!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t="e">
        <f t="shared" si="155"/>
        <v>#DIV/0!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x14ac:dyDescent="0.2">
      <c r="A309" s="9"/>
      <c r="B309" s="34"/>
      <c r="C309" s="34"/>
      <c r="D309" s="1817"/>
      <c r="E309" s="35" t="e">
        <f t="shared" si="177"/>
        <v>#DIV/0!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t="e">
        <f t="shared" si="155"/>
        <v>#DIV/0!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x14ac:dyDescent="0.2">
      <c r="A310" s="9"/>
      <c r="B310" s="34"/>
      <c r="C310" s="34"/>
      <c r="D310" s="1817"/>
      <c r="E310" s="35" t="e">
        <f t="shared" si="177"/>
        <v>#DIV/0!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t="e">
        <f t="shared" si="155"/>
        <v>#DIV/0!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x14ac:dyDescent="0.2">
      <c r="A311" s="9"/>
      <c r="B311" s="34"/>
      <c r="C311" s="34"/>
      <c r="D311" s="1817"/>
      <c r="E311" s="35" t="e">
        <f t="shared" si="177"/>
        <v>#DIV/0!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t="e">
        <f t="shared" si="155"/>
        <v>#DIV/0!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x14ac:dyDescent="0.2">
      <c r="A312" s="9"/>
      <c r="B312" s="34"/>
      <c r="C312" s="34"/>
      <c r="D312" s="1817"/>
      <c r="E312" s="35" t="e">
        <f t="shared" si="177"/>
        <v>#DIV/0!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t="e">
        <f t="shared" si="155"/>
        <v>#DIV/0!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x14ac:dyDescent="0.2">
      <c r="A313" s="9"/>
      <c r="B313" s="34"/>
      <c r="C313" s="34"/>
      <c r="D313" s="1817"/>
      <c r="E313" s="35" t="e">
        <f t="shared" si="177"/>
        <v>#DIV/0!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t="e">
        <f t="shared" si="155"/>
        <v>#DIV/0!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x14ac:dyDescent="0.2">
      <c r="A314" s="9"/>
      <c r="B314" s="34"/>
      <c r="C314" s="34"/>
      <c r="D314" s="1817"/>
      <c r="E314" s="35" t="e">
        <f t="shared" si="177"/>
        <v>#DIV/0!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t="e">
        <f t="shared" si="155"/>
        <v>#DIV/0!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x14ac:dyDescent="0.2">
      <c r="A315" s="9"/>
      <c r="B315" s="34"/>
      <c r="C315" s="34"/>
      <c r="D315" s="1817"/>
      <c r="E315" s="35" t="e">
        <f t="shared" si="177"/>
        <v>#DIV/0!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t="e">
        <f t="shared" si="155"/>
        <v>#DIV/0!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x14ac:dyDescent="0.2">
      <c r="A316" s="9"/>
      <c r="B316" s="34"/>
      <c r="C316" s="34"/>
      <c r="D316" s="1817"/>
      <c r="E316" s="35" t="e">
        <f t="shared" si="177"/>
        <v>#DIV/0!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t="e">
        <f t="shared" si="155"/>
        <v>#DIV/0!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x14ac:dyDescent="0.2">
      <c r="A317" s="9"/>
      <c r="B317" s="34"/>
      <c r="C317" s="34"/>
      <c r="D317" s="1817"/>
      <c r="E317" s="35" t="e">
        <f t="shared" si="177"/>
        <v>#DIV/0!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t="e">
        <f t="shared" si="155"/>
        <v>#DIV/0!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x14ac:dyDescent="0.2">
      <c r="A318" s="9"/>
      <c r="B318" s="34"/>
      <c r="C318" s="34"/>
      <c r="D318" s="1817"/>
      <c r="E318" s="35" t="e">
        <f t="shared" si="177"/>
        <v>#DIV/0!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t="e">
        <f t="shared" si="155"/>
        <v>#DIV/0!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x14ac:dyDescent="0.2">
      <c r="A319" s="9"/>
      <c r="B319" s="34"/>
      <c r="C319" s="34"/>
      <c r="D319" s="1817"/>
      <c r="E319" s="35" t="e">
        <f t="shared" si="177"/>
        <v>#DIV/0!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t="e">
        <f t="shared" si="155"/>
        <v>#DIV/0!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x14ac:dyDescent="0.2">
      <c r="A320" s="9"/>
      <c r="B320" s="34"/>
      <c r="C320" s="34"/>
      <c r="D320" s="1817"/>
      <c r="E320" s="35" t="e">
        <f t="shared" si="177"/>
        <v>#DIV/0!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t="e">
        <f t="shared" si="155"/>
        <v>#DIV/0!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x14ac:dyDescent="0.2">
      <c r="A321" s="9"/>
      <c r="B321" s="34"/>
      <c r="C321" s="34"/>
      <c r="D321" s="1817"/>
      <c r="E321" s="35" t="e">
        <f t="shared" si="177"/>
        <v>#DIV/0!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t="e">
        <f t="shared" si="155"/>
        <v>#DIV/0!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x14ac:dyDescent="0.2">
      <c r="A322" s="9"/>
      <c r="B322" s="34"/>
      <c r="C322" s="34"/>
      <c r="D322" s="1817"/>
      <c r="E322" s="35" t="e">
        <f t="shared" si="177"/>
        <v>#DIV/0!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t="e">
        <f t="shared" si="155"/>
        <v>#DIV/0!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x14ac:dyDescent="0.2">
      <c r="A323" s="9"/>
      <c r="B323" s="34"/>
      <c r="C323" s="34"/>
      <c r="D323" s="1817"/>
      <c r="E323" s="35" t="e">
        <f t="shared" si="177"/>
        <v>#DIV/0!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t="e">
        <f t="shared" si="155"/>
        <v>#DIV/0!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x14ac:dyDescent="0.2">
      <c r="A324" s="9"/>
      <c r="B324" s="34"/>
      <c r="C324" s="34"/>
      <c r="D324" s="1817"/>
      <c r="E324" s="35" t="e">
        <f t="shared" si="177"/>
        <v>#DIV/0!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t="e">
        <f t="shared" si="155"/>
        <v>#DIV/0!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x14ac:dyDescent="0.2">
      <c r="A325" s="9"/>
      <c r="B325" s="34"/>
      <c r="C325" s="34"/>
      <c r="D325" s="1817"/>
      <c r="E325" s="35" t="e">
        <f t="shared" si="177"/>
        <v>#DIV/0!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t="e">
        <f t="shared" si="155"/>
        <v>#DIV/0!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x14ac:dyDescent="0.2">
      <c r="A326" s="9"/>
      <c r="B326" s="34"/>
      <c r="C326" s="34"/>
      <c r="D326" s="1817"/>
      <c r="E326" s="35" t="e">
        <f t="shared" si="177"/>
        <v>#DIV/0!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t="e">
        <f t="shared" si="155"/>
        <v>#DIV/0!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x14ac:dyDescent="0.2">
      <c r="A327" s="9"/>
      <c r="B327" s="34"/>
      <c r="C327" s="34"/>
      <c r="D327" s="1817"/>
      <c r="E327" s="35" t="e">
        <f t="shared" si="177"/>
        <v>#DIV/0!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t="e">
        <f t="shared" si="155"/>
        <v>#DIV/0!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x14ac:dyDescent="0.2">
      <c r="A328" s="9"/>
      <c r="B328" s="34"/>
      <c r="C328" s="34"/>
      <c r="D328" s="1817"/>
      <c r="E328" s="35" t="e">
        <f t="shared" si="177"/>
        <v>#DIV/0!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t="e">
        <f t="shared" si="155"/>
        <v>#DIV/0!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x14ac:dyDescent="0.2">
      <c r="A329" s="9"/>
      <c r="B329" s="34"/>
      <c r="C329" s="34"/>
      <c r="D329" s="1817"/>
      <c r="E329" s="35" t="e">
        <f t="shared" si="177"/>
        <v>#DIV/0!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t="e">
        <f t="shared" si="155"/>
        <v>#DIV/0!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x14ac:dyDescent="0.2">
      <c r="A330" s="9"/>
      <c r="B330" s="34"/>
      <c r="C330" s="34"/>
      <c r="D330" s="1817"/>
      <c r="E330" s="35" t="e">
        <f t="shared" si="177"/>
        <v>#DIV/0!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t="e">
        <f t="shared" si="155"/>
        <v>#DIV/0!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x14ac:dyDescent="0.2">
      <c r="A331" s="9"/>
      <c r="B331" s="34"/>
      <c r="C331" s="34"/>
      <c r="D331" s="1817"/>
      <c r="E331" s="35" t="e">
        <f t="shared" si="177"/>
        <v>#DIV/0!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t="e">
        <f t="shared" si="155"/>
        <v>#DIV/0!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x14ac:dyDescent="0.2">
      <c r="A332" s="9"/>
      <c r="B332" s="34"/>
      <c r="C332" s="34"/>
      <c r="D332" s="1817"/>
      <c r="E332" s="35" t="e">
        <f t="shared" si="177"/>
        <v>#DIV/0!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t="e">
        <f t="shared" ref="AY332:AY363" si="184">ROUND($AY$6*AZ332/$AZ$5,2)</f>
        <v>#DIV/0!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x14ac:dyDescent="0.2">
      <c r="A333" s="9"/>
      <c r="B333" s="34"/>
      <c r="C333" s="34"/>
      <c r="D333" s="1817"/>
      <c r="E333" s="35" t="e">
        <f t="shared" si="177"/>
        <v>#DIV/0!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t="e">
        <f t="shared" si="184"/>
        <v>#DIV/0!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x14ac:dyDescent="0.2">
      <c r="A334" s="9"/>
      <c r="B334" s="34"/>
      <c r="C334" s="34"/>
      <c r="D334" s="1817"/>
      <c r="E334" s="35" t="e">
        <f t="shared" si="177"/>
        <v>#DIV/0!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t="e">
        <f t="shared" si="184"/>
        <v>#DIV/0!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x14ac:dyDescent="0.2">
      <c r="A335" s="9"/>
      <c r="B335" s="34"/>
      <c r="C335" s="34"/>
      <c r="D335" s="1817"/>
      <c r="E335" s="35" t="e">
        <f t="shared" ref="E335:E366" si="206">IF($C$3="是",ROUND($A$3*G335/$B$3,2),ROUND($A$3*(G335-AT335)/$B$3,2))</f>
        <v>#DIV/0!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t="e">
        <f t="shared" si="184"/>
        <v>#DIV/0!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x14ac:dyDescent="0.2">
      <c r="A336" s="9"/>
      <c r="B336" s="34"/>
      <c r="C336" s="34"/>
      <c r="D336" s="1817"/>
      <c r="E336" s="35" t="e">
        <f t="shared" si="206"/>
        <v>#DIV/0!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t="e">
        <f t="shared" si="184"/>
        <v>#DIV/0!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x14ac:dyDescent="0.2">
      <c r="A337" s="9"/>
      <c r="B337" s="34"/>
      <c r="C337" s="34"/>
      <c r="D337" s="1817"/>
      <c r="E337" s="35" t="e">
        <f t="shared" si="206"/>
        <v>#DIV/0!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t="e">
        <f t="shared" si="184"/>
        <v>#DIV/0!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x14ac:dyDescent="0.2">
      <c r="A338" s="9"/>
      <c r="B338" s="34"/>
      <c r="C338" s="34"/>
      <c r="D338" s="1817"/>
      <c r="E338" s="35" t="e">
        <f t="shared" si="206"/>
        <v>#DIV/0!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t="e">
        <f t="shared" si="184"/>
        <v>#DIV/0!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x14ac:dyDescent="0.2">
      <c r="A339" s="9"/>
      <c r="B339" s="34"/>
      <c r="C339" s="34"/>
      <c r="D339" s="1817"/>
      <c r="E339" s="35" t="e">
        <f t="shared" si="206"/>
        <v>#DIV/0!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t="e">
        <f t="shared" si="184"/>
        <v>#DIV/0!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x14ac:dyDescent="0.2">
      <c r="A340" s="9"/>
      <c r="B340" s="34"/>
      <c r="C340" s="34"/>
      <c r="D340" s="1817"/>
      <c r="E340" s="35" t="e">
        <f t="shared" si="206"/>
        <v>#DIV/0!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t="e">
        <f t="shared" si="184"/>
        <v>#DIV/0!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x14ac:dyDescent="0.2">
      <c r="A341" s="9"/>
      <c r="B341" s="34"/>
      <c r="C341" s="34"/>
      <c r="D341" s="1817"/>
      <c r="E341" s="35" t="e">
        <f t="shared" si="206"/>
        <v>#DIV/0!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t="e">
        <f t="shared" si="184"/>
        <v>#DIV/0!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x14ac:dyDescent="0.2">
      <c r="A342" s="9"/>
      <c r="B342" s="34"/>
      <c r="C342" s="34"/>
      <c r="D342" s="1817"/>
      <c r="E342" s="35" t="e">
        <f t="shared" si="206"/>
        <v>#DIV/0!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t="e">
        <f t="shared" si="184"/>
        <v>#DIV/0!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x14ac:dyDescent="0.2">
      <c r="A343" s="9"/>
      <c r="B343" s="34"/>
      <c r="C343" s="34"/>
      <c r="D343" s="1817"/>
      <c r="E343" s="35" t="e">
        <f t="shared" si="206"/>
        <v>#DIV/0!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t="e">
        <f t="shared" si="184"/>
        <v>#DIV/0!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x14ac:dyDescent="0.2">
      <c r="A344" s="9"/>
      <c r="B344" s="34"/>
      <c r="C344" s="34"/>
      <c r="D344" s="1817"/>
      <c r="E344" s="35" t="e">
        <f t="shared" si="206"/>
        <v>#DIV/0!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t="e">
        <f t="shared" si="184"/>
        <v>#DIV/0!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x14ac:dyDescent="0.2">
      <c r="A345" s="9"/>
      <c r="B345" s="34"/>
      <c r="C345" s="34"/>
      <c r="D345" s="1817"/>
      <c r="E345" s="35" t="e">
        <f t="shared" si="206"/>
        <v>#DIV/0!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t="e">
        <f t="shared" si="184"/>
        <v>#DIV/0!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x14ac:dyDescent="0.2">
      <c r="A346" s="9"/>
      <c r="B346" s="34"/>
      <c r="C346" s="34"/>
      <c r="D346" s="1817"/>
      <c r="E346" s="35" t="e">
        <f t="shared" si="206"/>
        <v>#DIV/0!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t="e">
        <f t="shared" si="184"/>
        <v>#DIV/0!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x14ac:dyDescent="0.2">
      <c r="A347" s="9"/>
      <c r="B347" s="34"/>
      <c r="C347" s="34"/>
      <c r="D347" s="1817"/>
      <c r="E347" s="35" t="e">
        <f t="shared" si="206"/>
        <v>#DIV/0!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t="e">
        <f t="shared" si="184"/>
        <v>#DIV/0!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x14ac:dyDescent="0.2">
      <c r="A348" s="9"/>
      <c r="B348" s="34"/>
      <c r="C348" s="34"/>
      <c r="D348" s="1817"/>
      <c r="E348" s="35" t="e">
        <f t="shared" si="206"/>
        <v>#DIV/0!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t="e">
        <f t="shared" si="184"/>
        <v>#DIV/0!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x14ac:dyDescent="0.2">
      <c r="A349" s="9"/>
      <c r="B349" s="34"/>
      <c r="C349" s="34"/>
      <c r="D349" s="1817"/>
      <c r="E349" s="35" t="e">
        <f t="shared" si="206"/>
        <v>#DIV/0!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t="e">
        <f t="shared" si="184"/>
        <v>#DIV/0!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x14ac:dyDescent="0.2">
      <c r="A350" s="9"/>
      <c r="B350" s="34"/>
      <c r="C350" s="34"/>
      <c r="D350" s="1817"/>
      <c r="E350" s="35" t="e">
        <f t="shared" si="206"/>
        <v>#DIV/0!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t="e">
        <f t="shared" si="184"/>
        <v>#DIV/0!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x14ac:dyDescent="0.2">
      <c r="A351" s="9"/>
      <c r="B351" s="34"/>
      <c r="C351" s="34"/>
      <c r="D351" s="1817"/>
      <c r="E351" s="35" t="e">
        <f t="shared" si="206"/>
        <v>#DIV/0!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t="e">
        <f t="shared" si="184"/>
        <v>#DIV/0!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x14ac:dyDescent="0.2">
      <c r="A352" s="9"/>
      <c r="B352" s="34"/>
      <c r="C352" s="34"/>
      <c r="D352" s="1817"/>
      <c r="E352" s="35" t="e">
        <f t="shared" si="206"/>
        <v>#DIV/0!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t="e">
        <f t="shared" si="184"/>
        <v>#DIV/0!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x14ac:dyDescent="0.2">
      <c r="A353" s="9"/>
      <c r="B353" s="34"/>
      <c r="C353" s="34"/>
      <c r="D353" s="1817"/>
      <c r="E353" s="35" t="e">
        <f t="shared" si="206"/>
        <v>#DIV/0!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t="e">
        <f t="shared" si="184"/>
        <v>#DIV/0!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x14ac:dyDescent="0.2">
      <c r="A354" s="9"/>
      <c r="B354" s="34"/>
      <c r="C354" s="34"/>
      <c r="D354" s="1817"/>
      <c r="E354" s="35" t="e">
        <f t="shared" si="206"/>
        <v>#DIV/0!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t="e">
        <f t="shared" si="184"/>
        <v>#DIV/0!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x14ac:dyDescent="0.2">
      <c r="A355" s="9"/>
      <c r="B355" s="34"/>
      <c r="C355" s="34"/>
      <c r="D355" s="1817"/>
      <c r="E355" s="35" t="e">
        <f t="shared" si="206"/>
        <v>#DIV/0!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t="e">
        <f t="shared" si="184"/>
        <v>#DIV/0!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x14ac:dyDescent="0.2">
      <c r="A356" s="9"/>
      <c r="B356" s="34"/>
      <c r="C356" s="34"/>
      <c r="D356" s="1817"/>
      <c r="E356" s="35" t="e">
        <f t="shared" si="206"/>
        <v>#DIV/0!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t="e">
        <f t="shared" si="184"/>
        <v>#DIV/0!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x14ac:dyDescent="0.2">
      <c r="A357" s="9"/>
      <c r="B357" s="34"/>
      <c r="C357" s="34"/>
      <c r="D357" s="1817"/>
      <c r="E357" s="35" t="e">
        <f t="shared" si="206"/>
        <v>#DIV/0!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t="e">
        <f t="shared" si="184"/>
        <v>#DIV/0!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x14ac:dyDescent="0.2">
      <c r="A358" s="9"/>
      <c r="B358" s="34"/>
      <c r="C358" s="34"/>
      <c r="D358" s="1817"/>
      <c r="E358" s="35" t="e">
        <f t="shared" si="206"/>
        <v>#DIV/0!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t="e">
        <f t="shared" si="184"/>
        <v>#DIV/0!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x14ac:dyDescent="0.2">
      <c r="A359" s="9"/>
      <c r="B359" s="34"/>
      <c r="C359" s="34"/>
      <c r="D359" s="1817"/>
      <c r="E359" s="35" t="e">
        <f t="shared" si="206"/>
        <v>#DIV/0!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t="e">
        <f t="shared" si="184"/>
        <v>#DIV/0!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x14ac:dyDescent="0.2">
      <c r="A360" s="9"/>
      <c r="B360" s="34"/>
      <c r="C360" s="34"/>
      <c r="D360" s="1817"/>
      <c r="E360" s="35" t="e">
        <f t="shared" si="206"/>
        <v>#DIV/0!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t="e">
        <f t="shared" si="184"/>
        <v>#DIV/0!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x14ac:dyDescent="0.2">
      <c r="A361" s="9"/>
      <c r="B361" s="34"/>
      <c r="C361" s="34"/>
      <c r="D361" s="1817"/>
      <c r="E361" s="35" t="e">
        <f t="shared" si="206"/>
        <v>#DIV/0!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t="e">
        <f t="shared" si="184"/>
        <v>#DIV/0!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x14ac:dyDescent="0.2">
      <c r="A362" s="9"/>
      <c r="B362" s="34"/>
      <c r="C362" s="34"/>
      <c r="D362" s="1817"/>
      <c r="E362" s="35" t="e">
        <f t="shared" si="206"/>
        <v>#DIV/0!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t="e">
        <f t="shared" si="184"/>
        <v>#DIV/0!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x14ac:dyDescent="0.2">
      <c r="A363" s="9"/>
      <c r="B363" s="34"/>
      <c r="C363" s="34"/>
      <c r="D363" s="1817"/>
      <c r="E363" s="35" t="e">
        <f t="shared" si="206"/>
        <v>#DIV/0!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t="e">
        <f t="shared" si="184"/>
        <v>#DIV/0!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x14ac:dyDescent="0.2">
      <c r="A364" s="9"/>
      <c r="B364" s="34"/>
      <c r="C364" s="34"/>
      <c r="D364" s="1817"/>
      <c r="E364" s="35" t="e">
        <f t="shared" si="206"/>
        <v>#DIV/0!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t="e">
        <f t="shared" ref="AY364:AY395" si="213">ROUND($AY$6*AZ364/$AZ$5,2)</f>
        <v>#DIV/0!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x14ac:dyDescent="0.2">
      <c r="A365" s="9"/>
      <c r="B365" s="34"/>
      <c r="C365" s="34"/>
      <c r="D365" s="1817"/>
      <c r="E365" s="35" t="e">
        <f t="shared" si="206"/>
        <v>#DIV/0!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t="e">
        <f t="shared" si="213"/>
        <v>#DIV/0!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x14ac:dyDescent="0.2">
      <c r="A366" s="9"/>
      <c r="B366" s="34"/>
      <c r="C366" s="34"/>
      <c r="D366" s="1817"/>
      <c r="E366" s="35" t="e">
        <f t="shared" si="206"/>
        <v>#DIV/0!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t="e">
        <f t="shared" si="213"/>
        <v>#DIV/0!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x14ac:dyDescent="0.2">
      <c r="A367" s="9"/>
      <c r="B367" s="34"/>
      <c r="C367" s="34"/>
      <c r="D367" s="1817"/>
      <c r="E367" s="35" t="e">
        <f t="shared" ref="E367:E397" si="235">IF($C$3="是",ROUND($A$3*G367/$B$3,2),ROUND($A$3*(G367-AT367)/$B$3,2))</f>
        <v>#DIV/0!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t="e">
        <f t="shared" si="213"/>
        <v>#DIV/0!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x14ac:dyDescent="0.2">
      <c r="A368" s="9"/>
      <c r="B368" s="34"/>
      <c r="C368" s="34"/>
      <c r="D368" s="1817"/>
      <c r="E368" s="35" t="e">
        <f t="shared" si="235"/>
        <v>#DIV/0!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t="e">
        <f t="shared" si="213"/>
        <v>#DIV/0!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x14ac:dyDescent="0.2">
      <c r="A369" s="9"/>
      <c r="B369" s="34"/>
      <c r="C369" s="34"/>
      <c r="D369" s="1817"/>
      <c r="E369" s="35" t="e">
        <f t="shared" si="235"/>
        <v>#DIV/0!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t="e">
        <f t="shared" si="213"/>
        <v>#DIV/0!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x14ac:dyDescent="0.2">
      <c r="A370" s="9"/>
      <c r="B370" s="34"/>
      <c r="C370" s="34"/>
      <c r="D370" s="1817"/>
      <c r="E370" s="35" t="e">
        <f t="shared" si="235"/>
        <v>#DIV/0!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t="e">
        <f t="shared" si="213"/>
        <v>#DIV/0!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x14ac:dyDescent="0.2">
      <c r="A371" s="9"/>
      <c r="B371" s="34"/>
      <c r="C371" s="34"/>
      <c r="D371" s="1817"/>
      <c r="E371" s="35" t="e">
        <f t="shared" si="235"/>
        <v>#DIV/0!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t="e">
        <f t="shared" si="213"/>
        <v>#DIV/0!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x14ac:dyDescent="0.2">
      <c r="A372" s="9"/>
      <c r="B372" s="34"/>
      <c r="C372" s="34"/>
      <c r="D372" s="1817"/>
      <c r="E372" s="35" t="e">
        <f t="shared" si="235"/>
        <v>#DIV/0!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t="e">
        <f t="shared" si="213"/>
        <v>#DIV/0!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x14ac:dyDescent="0.2">
      <c r="A373" s="9"/>
      <c r="B373" s="34"/>
      <c r="C373" s="34"/>
      <c r="D373" s="1817"/>
      <c r="E373" s="35" t="e">
        <f t="shared" si="235"/>
        <v>#DIV/0!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t="e">
        <f t="shared" si="213"/>
        <v>#DIV/0!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x14ac:dyDescent="0.2">
      <c r="A374" s="9"/>
      <c r="B374" s="34"/>
      <c r="C374" s="34"/>
      <c r="D374" s="1817"/>
      <c r="E374" s="35" t="e">
        <f t="shared" si="235"/>
        <v>#DIV/0!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t="e">
        <f t="shared" si="213"/>
        <v>#DIV/0!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x14ac:dyDescent="0.2">
      <c r="A375" s="9"/>
      <c r="B375" s="34"/>
      <c r="C375" s="34"/>
      <c r="D375" s="1817"/>
      <c r="E375" s="35" t="e">
        <f t="shared" si="235"/>
        <v>#DIV/0!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t="e">
        <f t="shared" si="213"/>
        <v>#DIV/0!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x14ac:dyDescent="0.2">
      <c r="A376" s="9"/>
      <c r="B376" s="34"/>
      <c r="C376" s="34"/>
      <c r="D376" s="1817"/>
      <c r="E376" s="35" t="e">
        <f t="shared" si="235"/>
        <v>#DIV/0!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t="e">
        <f t="shared" si="213"/>
        <v>#DIV/0!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x14ac:dyDescent="0.2">
      <c r="A377" s="9"/>
      <c r="B377" s="34"/>
      <c r="C377" s="34"/>
      <c r="D377" s="1817"/>
      <c r="E377" s="35" t="e">
        <f t="shared" si="235"/>
        <v>#DIV/0!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t="e">
        <f t="shared" si="213"/>
        <v>#DIV/0!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x14ac:dyDescent="0.2">
      <c r="A378" s="9"/>
      <c r="B378" s="34"/>
      <c r="C378" s="34"/>
      <c r="D378" s="1817"/>
      <c r="E378" s="35" t="e">
        <f t="shared" si="235"/>
        <v>#DIV/0!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t="e">
        <f t="shared" si="213"/>
        <v>#DIV/0!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x14ac:dyDescent="0.2">
      <c r="A379" s="9"/>
      <c r="B379" s="34"/>
      <c r="C379" s="34"/>
      <c r="D379" s="1817"/>
      <c r="E379" s="35" t="e">
        <f t="shared" si="235"/>
        <v>#DIV/0!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t="e">
        <f t="shared" si="213"/>
        <v>#DIV/0!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x14ac:dyDescent="0.2">
      <c r="A380" s="9"/>
      <c r="B380" s="34"/>
      <c r="C380" s="34"/>
      <c r="D380" s="1817"/>
      <c r="E380" s="35" t="e">
        <f t="shared" si="235"/>
        <v>#DIV/0!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t="e">
        <f t="shared" si="213"/>
        <v>#DIV/0!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x14ac:dyDescent="0.2">
      <c r="A381" s="9"/>
      <c r="B381" s="34"/>
      <c r="C381" s="34"/>
      <c r="D381" s="1817"/>
      <c r="E381" s="35" t="e">
        <f t="shared" si="235"/>
        <v>#DIV/0!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t="e">
        <f t="shared" si="213"/>
        <v>#DIV/0!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x14ac:dyDescent="0.2">
      <c r="A382" s="9"/>
      <c r="B382" s="34"/>
      <c r="C382" s="34"/>
      <c r="D382" s="1817"/>
      <c r="E382" s="35" t="e">
        <f t="shared" si="235"/>
        <v>#DIV/0!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t="e">
        <f t="shared" si="213"/>
        <v>#DIV/0!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x14ac:dyDescent="0.2">
      <c r="A383" s="9"/>
      <c r="B383" s="34"/>
      <c r="C383" s="34"/>
      <c r="D383" s="1817"/>
      <c r="E383" s="35" t="e">
        <f t="shared" si="235"/>
        <v>#DIV/0!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t="e">
        <f t="shared" si="213"/>
        <v>#DIV/0!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x14ac:dyDescent="0.2">
      <c r="A384" s="9"/>
      <c r="B384" s="34"/>
      <c r="C384" s="34"/>
      <c r="D384" s="1817"/>
      <c r="E384" s="35" t="e">
        <f t="shared" si="235"/>
        <v>#DIV/0!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t="e">
        <f t="shared" si="213"/>
        <v>#DIV/0!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x14ac:dyDescent="0.2">
      <c r="A385" s="9"/>
      <c r="B385" s="34"/>
      <c r="C385" s="34"/>
      <c r="D385" s="1817"/>
      <c r="E385" s="35" t="e">
        <f t="shared" si="235"/>
        <v>#DIV/0!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t="e">
        <f t="shared" si="213"/>
        <v>#DIV/0!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x14ac:dyDescent="0.2">
      <c r="A386" s="9"/>
      <c r="B386" s="34"/>
      <c r="C386" s="34"/>
      <c r="D386" s="1817"/>
      <c r="E386" s="35" t="e">
        <f t="shared" si="235"/>
        <v>#DIV/0!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t="e">
        <f t="shared" si="213"/>
        <v>#DIV/0!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x14ac:dyDescent="0.2">
      <c r="A387" s="9"/>
      <c r="B387" s="34"/>
      <c r="C387" s="34"/>
      <c r="D387" s="1817"/>
      <c r="E387" s="35" t="e">
        <f t="shared" si="235"/>
        <v>#DIV/0!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t="e">
        <f t="shared" si="213"/>
        <v>#DIV/0!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x14ac:dyDescent="0.2">
      <c r="A388" s="9"/>
      <c r="B388" s="34"/>
      <c r="C388" s="34"/>
      <c r="D388" s="1817"/>
      <c r="E388" s="35" t="e">
        <f t="shared" si="235"/>
        <v>#DIV/0!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t="e">
        <f t="shared" si="213"/>
        <v>#DIV/0!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x14ac:dyDescent="0.2">
      <c r="A389" s="9"/>
      <c r="B389" s="34"/>
      <c r="C389" s="34"/>
      <c r="D389" s="1817"/>
      <c r="E389" s="35" t="e">
        <f t="shared" si="235"/>
        <v>#DIV/0!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t="e">
        <f t="shared" si="213"/>
        <v>#DIV/0!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x14ac:dyDescent="0.2">
      <c r="A390" s="9"/>
      <c r="B390" s="34"/>
      <c r="C390" s="34"/>
      <c r="D390" s="1817"/>
      <c r="E390" s="35" t="e">
        <f t="shared" si="235"/>
        <v>#DIV/0!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t="e">
        <f t="shared" si="213"/>
        <v>#DIV/0!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x14ac:dyDescent="0.2">
      <c r="A391" s="9"/>
      <c r="B391" s="34"/>
      <c r="C391" s="34"/>
      <c r="D391" s="1817"/>
      <c r="E391" s="35" t="e">
        <f t="shared" si="235"/>
        <v>#DIV/0!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t="e">
        <f t="shared" si="213"/>
        <v>#DIV/0!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x14ac:dyDescent="0.2">
      <c r="A392" s="9"/>
      <c r="B392" s="34"/>
      <c r="C392" s="34"/>
      <c r="D392" s="1817"/>
      <c r="E392" s="35" t="e">
        <f t="shared" si="235"/>
        <v>#DIV/0!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t="e">
        <f t="shared" si="213"/>
        <v>#DIV/0!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x14ac:dyDescent="0.2">
      <c r="A393" s="9"/>
      <c r="B393" s="34"/>
      <c r="C393" s="34"/>
      <c r="D393" s="1817"/>
      <c r="E393" s="35" t="e">
        <f t="shared" si="235"/>
        <v>#DIV/0!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t="e">
        <f t="shared" si="213"/>
        <v>#DIV/0!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x14ac:dyDescent="0.2">
      <c r="A394" s="9"/>
      <c r="B394" s="34"/>
      <c r="C394" s="34"/>
      <c r="D394" s="1817"/>
      <c r="E394" s="35" t="e">
        <f t="shared" si="235"/>
        <v>#DIV/0!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t="e">
        <f t="shared" si="213"/>
        <v>#DIV/0!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x14ac:dyDescent="0.2">
      <c r="A395" s="9"/>
      <c r="B395" s="9"/>
      <c r="C395" s="9"/>
      <c r="D395" s="1817"/>
      <c r="E395" s="35" t="e">
        <f t="shared" si="235"/>
        <v>#DIV/0!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t="e">
        <f t="shared" si="213"/>
        <v>#DIV/0!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x14ac:dyDescent="0.2">
      <c r="A396" s="9"/>
      <c r="B396" s="9"/>
      <c r="C396" s="9"/>
      <c r="D396" s="1817"/>
      <c r="E396" s="35" t="e">
        <f t="shared" si="235"/>
        <v>#DIV/0!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t="e">
        <f>ROUND($AY$6*AZ396/$AZ$5,2)</f>
        <v>#DIV/0!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x14ac:dyDescent="0.2">
      <c r="A397" s="9"/>
      <c r="B397" s="9"/>
      <c r="C397" s="9"/>
      <c r="D397" s="1817"/>
      <c r="E397" s="35" t="e">
        <f t="shared" si="235"/>
        <v>#DIV/0!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t="e">
        <f>ROUND($AY$6*AZ397/$AZ$5,2)</f>
        <v>#DIV/0!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x14ac:dyDescent="0.2">
      <c r="A398" s="9"/>
      <c r="B398" s="34"/>
      <c r="C398" s="34"/>
      <c r="D398" s="1817"/>
      <c r="E398" s="35" t="e">
        <f t="shared" ref="E398:E492" si="239">IF($C$3="是",ROUND($A$3*G398/$B$3,2),ROUND($A$3*(G398-AT398)/$B$3,2))</f>
        <v>#DIV/0!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t="e">
        <f t="shared" ref="AY398:AY489" si="246">ROUND($AY$6*AZ398/$AZ$5,2)</f>
        <v>#DIV/0!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x14ac:dyDescent="0.2">
      <c r="A399" s="9"/>
      <c r="B399" s="34"/>
      <c r="C399" s="34"/>
      <c r="D399" s="1817"/>
      <c r="E399" s="35" t="e">
        <f t="shared" si="239"/>
        <v>#DIV/0!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t="e">
        <f t="shared" si="246"/>
        <v>#DIV/0!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x14ac:dyDescent="0.2">
      <c r="A400" s="9"/>
      <c r="B400" s="34"/>
      <c r="C400" s="34"/>
      <c r="D400" s="1817"/>
      <c r="E400" s="35" t="e">
        <f t="shared" si="239"/>
        <v>#DIV/0!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t="e">
        <f t="shared" si="246"/>
        <v>#DIV/0!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x14ac:dyDescent="0.2">
      <c r="A401" s="9"/>
      <c r="B401" s="34"/>
      <c r="C401" s="34"/>
      <c r="D401" s="1817"/>
      <c r="E401" s="35" t="e">
        <f t="shared" si="239"/>
        <v>#DIV/0!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t="e">
        <f t="shared" si="246"/>
        <v>#DIV/0!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x14ac:dyDescent="0.2">
      <c r="A402" s="9"/>
      <c r="B402" s="34"/>
      <c r="C402" s="34"/>
      <c r="D402" s="1817"/>
      <c r="E402" s="35" t="e">
        <f t="shared" si="239"/>
        <v>#DIV/0!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t="e">
        <f t="shared" si="246"/>
        <v>#DIV/0!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x14ac:dyDescent="0.2">
      <c r="A403" s="9"/>
      <c r="B403" s="34"/>
      <c r="C403" s="34"/>
      <c r="D403" s="1817"/>
      <c r="E403" s="35" t="e">
        <f t="shared" si="239"/>
        <v>#DIV/0!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t="e">
        <f t="shared" si="246"/>
        <v>#DIV/0!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x14ac:dyDescent="0.2">
      <c r="A404" s="9"/>
      <c r="B404" s="34"/>
      <c r="C404" s="34"/>
      <c r="D404" s="1817"/>
      <c r="E404" s="35" t="e">
        <f t="shared" si="239"/>
        <v>#DIV/0!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t="e">
        <f t="shared" si="246"/>
        <v>#DIV/0!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x14ac:dyDescent="0.2">
      <c r="A405" s="9"/>
      <c r="B405" s="34"/>
      <c r="C405" s="34"/>
      <c r="D405" s="1817"/>
      <c r="E405" s="35" t="e">
        <f t="shared" si="239"/>
        <v>#DIV/0!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t="e">
        <f t="shared" si="246"/>
        <v>#DIV/0!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x14ac:dyDescent="0.2">
      <c r="A406" s="9"/>
      <c r="B406" s="34"/>
      <c r="C406" s="34"/>
      <c r="D406" s="1817"/>
      <c r="E406" s="35" t="e">
        <f t="shared" si="239"/>
        <v>#DIV/0!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t="e">
        <f t="shared" si="246"/>
        <v>#DIV/0!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x14ac:dyDescent="0.2">
      <c r="A407" s="9"/>
      <c r="B407" s="34"/>
      <c r="C407" s="34"/>
      <c r="D407" s="1817"/>
      <c r="E407" s="35" t="e">
        <f t="shared" si="239"/>
        <v>#DIV/0!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t="e">
        <f t="shared" si="246"/>
        <v>#DIV/0!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x14ac:dyDescent="0.2">
      <c r="A408" s="9"/>
      <c r="B408" s="34"/>
      <c r="C408" s="34"/>
      <c r="D408" s="1817"/>
      <c r="E408" s="35" t="e">
        <f t="shared" si="239"/>
        <v>#DIV/0!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t="e">
        <f t="shared" si="246"/>
        <v>#DIV/0!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x14ac:dyDescent="0.2">
      <c r="A409" s="9"/>
      <c r="B409" s="34"/>
      <c r="C409" s="34"/>
      <c r="D409" s="1817"/>
      <c r="E409" s="35" t="e">
        <f t="shared" si="239"/>
        <v>#DIV/0!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t="e">
        <f t="shared" si="246"/>
        <v>#DIV/0!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x14ac:dyDescent="0.2">
      <c r="A410" s="9"/>
      <c r="B410" s="34"/>
      <c r="C410" s="34"/>
      <c r="D410" s="1817"/>
      <c r="E410" s="35" t="e">
        <f t="shared" si="239"/>
        <v>#DIV/0!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t="e">
        <f t="shared" si="246"/>
        <v>#DIV/0!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x14ac:dyDescent="0.2">
      <c r="A411" s="9"/>
      <c r="B411" s="34"/>
      <c r="C411" s="34"/>
      <c r="D411" s="1817"/>
      <c r="E411" s="35" t="e">
        <f t="shared" si="239"/>
        <v>#DIV/0!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t="e">
        <f t="shared" si="246"/>
        <v>#DIV/0!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x14ac:dyDescent="0.2">
      <c r="A412" s="9"/>
      <c r="B412" s="34"/>
      <c r="C412" s="34"/>
      <c r="D412" s="1817"/>
      <c r="E412" s="35" t="e">
        <f t="shared" si="239"/>
        <v>#DIV/0!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t="e">
        <f t="shared" si="246"/>
        <v>#DIV/0!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x14ac:dyDescent="0.2">
      <c r="A413" s="9"/>
      <c r="B413" s="34"/>
      <c r="C413" s="34"/>
      <c r="D413" s="1817"/>
      <c r="E413" s="35" t="e">
        <f t="shared" si="239"/>
        <v>#DIV/0!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t="e">
        <f t="shared" si="246"/>
        <v>#DIV/0!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x14ac:dyDescent="0.2">
      <c r="A414" s="9"/>
      <c r="B414" s="34"/>
      <c r="C414" s="34"/>
      <c r="D414" s="1817"/>
      <c r="E414" s="35" t="e">
        <f t="shared" si="239"/>
        <v>#DIV/0!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t="e">
        <f t="shared" si="246"/>
        <v>#DIV/0!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x14ac:dyDescent="0.2">
      <c r="A415" s="9"/>
      <c r="B415" s="34"/>
      <c r="C415" s="34"/>
      <c r="D415" s="1817"/>
      <c r="E415" s="35" t="e">
        <f t="shared" si="239"/>
        <v>#DIV/0!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t="e">
        <f t="shared" si="246"/>
        <v>#DIV/0!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x14ac:dyDescent="0.2">
      <c r="A416" s="9"/>
      <c r="B416" s="34"/>
      <c r="C416" s="34"/>
      <c r="D416" s="1817"/>
      <c r="E416" s="35" t="e">
        <f t="shared" si="239"/>
        <v>#DIV/0!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t="e">
        <f t="shared" si="246"/>
        <v>#DIV/0!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x14ac:dyDescent="0.2">
      <c r="A417" s="9"/>
      <c r="B417" s="34"/>
      <c r="C417" s="34"/>
      <c r="D417" s="1817"/>
      <c r="E417" s="35" t="e">
        <f t="shared" si="239"/>
        <v>#DIV/0!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t="e">
        <f t="shared" si="246"/>
        <v>#DIV/0!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x14ac:dyDescent="0.2">
      <c r="A418" s="9"/>
      <c r="B418" s="34"/>
      <c r="C418" s="34"/>
      <c r="D418" s="1817"/>
      <c r="E418" s="35" t="e">
        <f t="shared" si="239"/>
        <v>#DIV/0!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t="e">
        <f t="shared" si="246"/>
        <v>#DIV/0!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x14ac:dyDescent="0.2">
      <c r="A419" s="9"/>
      <c r="B419" s="34"/>
      <c r="C419" s="34"/>
      <c r="D419" s="1817"/>
      <c r="E419" s="35" t="e">
        <f t="shared" si="239"/>
        <v>#DIV/0!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t="e">
        <f t="shared" si="246"/>
        <v>#DIV/0!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x14ac:dyDescent="0.2">
      <c r="A420" s="9"/>
      <c r="B420" s="34"/>
      <c r="C420" s="34"/>
      <c r="D420" s="1817"/>
      <c r="E420" s="35" t="e">
        <f t="shared" si="239"/>
        <v>#DIV/0!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t="e">
        <f t="shared" si="246"/>
        <v>#DIV/0!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x14ac:dyDescent="0.2">
      <c r="A421" s="9"/>
      <c r="B421" s="34"/>
      <c r="C421" s="34"/>
      <c r="D421" s="1817"/>
      <c r="E421" s="35" t="e">
        <f t="shared" si="239"/>
        <v>#DIV/0!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t="e">
        <f t="shared" si="246"/>
        <v>#DIV/0!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x14ac:dyDescent="0.2">
      <c r="A422" s="9"/>
      <c r="B422" s="34"/>
      <c r="C422" s="34"/>
      <c r="D422" s="1817"/>
      <c r="E422" s="35" t="e">
        <f t="shared" si="239"/>
        <v>#DIV/0!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t="e">
        <f t="shared" si="246"/>
        <v>#DIV/0!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x14ac:dyDescent="0.2">
      <c r="A423" s="9"/>
      <c r="B423" s="34"/>
      <c r="C423" s="34"/>
      <c r="D423" s="1817"/>
      <c r="E423" s="35" t="e">
        <f t="shared" si="239"/>
        <v>#DIV/0!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t="e">
        <f t="shared" si="246"/>
        <v>#DIV/0!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x14ac:dyDescent="0.2">
      <c r="A424" s="9"/>
      <c r="B424" s="34"/>
      <c r="C424" s="34"/>
      <c r="D424" s="1817"/>
      <c r="E424" s="35" t="e">
        <f t="shared" si="239"/>
        <v>#DIV/0!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t="e">
        <f t="shared" si="246"/>
        <v>#DIV/0!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x14ac:dyDescent="0.2">
      <c r="A425" s="9"/>
      <c r="B425" s="34"/>
      <c r="C425" s="34"/>
      <c r="D425" s="1817"/>
      <c r="E425" s="35" t="e">
        <f t="shared" si="239"/>
        <v>#DIV/0!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t="e">
        <f t="shared" si="246"/>
        <v>#DIV/0!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x14ac:dyDescent="0.2">
      <c r="A426" s="9"/>
      <c r="B426" s="34"/>
      <c r="C426" s="34"/>
      <c r="D426" s="1817"/>
      <c r="E426" s="35" t="e">
        <f t="shared" si="239"/>
        <v>#DIV/0!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t="e">
        <f t="shared" si="246"/>
        <v>#DIV/0!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x14ac:dyDescent="0.2">
      <c r="A427" s="9"/>
      <c r="B427" s="34"/>
      <c r="C427" s="34"/>
      <c r="D427" s="1817"/>
      <c r="E427" s="35" t="e">
        <f t="shared" si="239"/>
        <v>#DIV/0!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t="e">
        <f t="shared" si="246"/>
        <v>#DIV/0!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x14ac:dyDescent="0.2">
      <c r="A428" s="9"/>
      <c r="B428" s="34"/>
      <c r="C428" s="34"/>
      <c r="D428" s="1817"/>
      <c r="E428" s="35" t="e">
        <f t="shared" si="239"/>
        <v>#DIV/0!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t="e">
        <f t="shared" si="246"/>
        <v>#DIV/0!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x14ac:dyDescent="0.2">
      <c r="A429" s="9"/>
      <c r="B429" s="34"/>
      <c r="C429" s="34"/>
      <c r="D429" s="1817"/>
      <c r="E429" s="35" t="e">
        <f t="shared" si="239"/>
        <v>#DIV/0!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t="e">
        <f t="shared" si="246"/>
        <v>#DIV/0!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x14ac:dyDescent="0.2">
      <c r="A430" s="9"/>
      <c r="B430" s="34"/>
      <c r="C430" s="34"/>
      <c r="D430" s="1817"/>
      <c r="E430" s="35" t="e">
        <f t="shared" si="239"/>
        <v>#DIV/0!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t="e">
        <f t="shared" si="246"/>
        <v>#DIV/0!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x14ac:dyDescent="0.2">
      <c r="A431" s="9"/>
      <c r="B431" s="34"/>
      <c r="C431" s="34"/>
      <c r="D431" s="1817"/>
      <c r="E431" s="35" t="e">
        <f t="shared" si="239"/>
        <v>#DIV/0!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t="e">
        <f t="shared" si="246"/>
        <v>#DIV/0!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x14ac:dyDescent="0.2">
      <c r="A432" s="9"/>
      <c r="B432" s="34"/>
      <c r="C432" s="34"/>
      <c r="D432" s="1817"/>
      <c r="E432" s="35" t="e">
        <f t="shared" si="239"/>
        <v>#DIV/0!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t="e">
        <f t="shared" si="246"/>
        <v>#DIV/0!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x14ac:dyDescent="0.2">
      <c r="A433" s="9"/>
      <c r="B433" s="34"/>
      <c r="C433" s="34"/>
      <c r="D433" s="1817"/>
      <c r="E433" s="35" t="e">
        <f t="shared" si="239"/>
        <v>#DIV/0!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t="e">
        <f t="shared" si="246"/>
        <v>#DIV/0!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x14ac:dyDescent="0.2">
      <c r="A434" s="9"/>
      <c r="B434" s="34"/>
      <c r="C434" s="34"/>
      <c r="D434" s="1817"/>
      <c r="E434" s="35" t="e">
        <f t="shared" si="239"/>
        <v>#DIV/0!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t="e">
        <f t="shared" si="246"/>
        <v>#DIV/0!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x14ac:dyDescent="0.2">
      <c r="A435" s="9"/>
      <c r="B435" s="34"/>
      <c r="C435" s="34"/>
      <c r="D435" s="1817"/>
      <c r="E435" s="35" t="e">
        <f t="shared" si="239"/>
        <v>#DIV/0!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t="e">
        <f t="shared" si="246"/>
        <v>#DIV/0!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x14ac:dyDescent="0.2">
      <c r="A436" s="9"/>
      <c r="B436" s="34"/>
      <c r="C436" s="34"/>
      <c r="D436" s="1817"/>
      <c r="E436" s="35" t="e">
        <f t="shared" si="239"/>
        <v>#DIV/0!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t="e">
        <f t="shared" si="246"/>
        <v>#DIV/0!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x14ac:dyDescent="0.2">
      <c r="A437" s="9"/>
      <c r="B437" s="34"/>
      <c r="C437" s="34"/>
      <c r="D437" s="1817"/>
      <c r="E437" s="35" t="e">
        <f t="shared" si="239"/>
        <v>#DIV/0!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t="e">
        <f t="shared" si="246"/>
        <v>#DIV/0!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x14ac:dyDescent="0.2">
      <c r="A438" s="9"/>
      <c r="B438" s="34"/>
      <c r="C438" s="34"/>
      <c r="D438" s="1817"/>
      <c r="E438" s="35" t="e">
        <f t="shared" si="239"/>
        <v>#DIV/0!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t="e">
        <f t="shared" si="246"/>
        <v>#DIV/0!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x14ac:dyDescent="0.2">
      <c r="A439" s="9"/>
      <c r="B439" s="34"/>
      <c r="C439" s="34"/>
      <c r="D439" s="1817"/>
      <c r="E439" s="35" t="e">
        <f t="shared" si="239"/>
        <v>#DIV/0!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t="e">
        <f t="shared" si="246"/>
        <v>#DIV/0!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x14ac:dyDescent="0.2">
      <c r="A440" s="9"/>
      <c r="B440" s="34"/>
      <c r="C440" s="34"/>
      <c r="D440" s="1817"/>
      <c r="E440" s="35" t="e">
        <f t="shared" si="239"/>
        <v>#DIV/0!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t="e">
        <f t="shared" si="246"/>
        <v>#DIV/0!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x14ac:dyDescent="0.2">
      <c r="A441" s="9"/>
      <c r="B441" s="34"/>
      <c r="C441" s="34"/>
      <c r="D441" s="1817"/>
      <c r="E441" s="35" t="e">
        <f t="shared" si="239"/>
        <v>#DIV/0!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t="e">
        <f t="shared" si="246"/>
        <v>#DIV/0!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x14ac:dyDescent="0.2">
      <c r="A442" s="9"/>
      <c r="B442" s="34"/>
      <c r="C442" s="34"/>
      <c r="D442" s="1817"/>
      <c r="E442" s="35" t="e">
        <f t="shared" si="239"/>
        <v>#DIV/0!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t="e">
        <f t="shared" si="246"/>
        <v>#DIV/0!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x14ac:dyDescent="0.2">
      <c r="A443" s="9"/>
      <c r="B443" s="34"/>
      <c r="C443" s="34"/>
      <c r="D443" s="1817"/>
      <c r="E443" s="35" t="e">
        <f t="shared" si="239"/>
        <v>#DIV/0!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t="e">
        <f t="shared" si="246"/>
        <v>#DIV/0!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x14ac:dyDescent="0.2">
      <c r="A444" s="9"/>
      <c r="B444" s="34"/>
      <c r="C444" s="34"/>
      <c r="D444" s="1817"/>
      <c r="E444" s="35" t="e">
        <f t="shared" si="239"/>
        <v>#DIV/0!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t="e">
        <f t="shared" si="246"/>
        <v>#DIV/0!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x14ac:dyDescent="0.2">
      <c r="A445" s="9"/>
      <c r="B445" s="34"/>
      <c r="C445" s="34"/>
      <c r="D445" s="1817"/>
      <c r="E445" s="35" t="e">
        <f t="shared" si="239"/>
        <v>#DIV/0!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t="e">
        <f t="shared" si="246"/>
        <v>#DIV/0!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x14ac:dyDescent="0.2">
      <c r="A446" s="9"/>
      <c r="B446" s="34"/>
      <c r="C446" s="34"/>
      <c r="D446" s="1817"/>
      <c r="E446" s="35" t="e">
        <f t="shared" si="239"/>
        <v>#DIV/0!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t="e">
        <f t="shared" si="246"/>
        <v>#DIV/0!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x14ac:dyDescent="0.2">
      <c r="A447" s="9"/>
      <c r="B447" s="34"/>
      <c r="C447" s="34"/>
      <c r="D447" s="1817"/>
      <c r="E447" s="35" t="e">
        <f t="shared" si="239"/>
        <v>#DIV/0!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t="e">
        <f t="shared" si="246"/>
        <v>#DIV/0!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x14ac:dyDescent="0.2">
      <c r="A448" s="9"/>
      <c r="B448" s="34"/>
      <c r="C448" s="34"/>
      <c r="D448" s="1817"/>
      <c r="E448" s="35" t="e">
        <f t="shared" si="239"/>
        <v>#DIV/0!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t="e">
        <f t="shared" si="246"/>
        <v>#DIV/0!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x14ac:dyDescent="0.2">
      <c r="A449" s="9"/>
      <c r="B449" s="34"/>
      <c r="C449" s="34"/>
      <c r="D449" s="1817"/>
      <c r="E449" s="35" t="e">
        <f t="shared" si="239"/>
        <v>#DIV/0!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t="e">
        <f t="shared" si="246"/>
        <v>#DIV/0!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x14ac:dyDescent="0.2">
      <c r="A450" s="9"/>
      <c r="B450" s="34"/>
      <c r="C450" s="34"/>
      <c r="D450" s="1817"/>
      <c r="E450" s="35" t="e">
        <f t="shared" si="239"/>
        <v>#DIV/0!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t="e">
        <f t="shared" si="246"/>
        <v>#DIV/0!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x14ac:dyDescent="0.2">
      <c r="A451" s="9"/>
      <c r="B451" s="34"/>
      <c r="C451" s="34"/>
      <c r="D451" s="1817"/>
      <c r="E451" s="35" t="e">
        <f t="shared" si="239"/>
        <v>#DIV/0!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t="e">
        <f t="shared" si="246"/>
        <v>#DIV/0!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x14ac:dyDescent="0.2">
      <c r="A452" s="9"/>
      <c r="B452" s="34"/>
      <c r="C452" s="34"/>
      <c r="D452" s="1817"/>
      <c r="E452" s="35" t="e">
        <f t="shared" si="239"/>
        <v>#DIV/0!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t="e">
        <f t="shared" si="246"/>
        <v>#DIV/0!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x14ac:dyDescent="0.2">
      <c r="A453" s="9"/>
      <c r="B453" s="34"/>
      <c r="C453" s="34"/>
      <c r="D453" s="1817"/>
      <c r="E453" s="35" t="e">
        <f t="shared" si="239"/>
        <v>#DIV/0!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t="e">
        <f t="shared" si="246"/>
        <v>#DIV/0!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x14ac:dyDescent="0.2">
      <c r="A454" s="9"/>
      <c r="B454" s="34"/>
      <c r="C454" s="34"/>
      <c r="D454" s="1817"/>
      <c r="E454" s="35" t="e">
        <f t="shared" si="239"/>
        <v>#DIV/0!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t="e">
        <f t="shared" si="246"/>
        <v>#DIV/0!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x14ac:dyDescent="0.2">
      <c r="A455" s="9"/>
      <c r="B455" s="34"/>
      <c r="C455" s="34"/>
      <c r="D455" s="1817"/>
      <c r="E455" s="35" t="e">
        <f t="shared" si="239"/>
        <v>#DIV/0!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t="e">
        <f t="shared" si="246"/>
        <v>#DIV/0!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x14ac:dyDescent="0.2">
      <c r="A456" s="9"/>
      <c r="B456" s="34"/>
      <c r="C456" s="34"/>
      <c r="D456" s="1817"/>
      <c r="E456" s="35" t="e">
        <f t="shared" si="239"/>
        <v>#DIV/0!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t="e">
        <f t="shared" si="246"/>
        <v>#DIV/0!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x14ac:dyDescent="0.2">
      <c r="A457" s="9"/>
      <c r="B457" s="34"/>
      <c r="C457" s="34"/>
      <c r="D457" s="1817"/>
      <c r="E457" s="35" t="e">
        <f t="shared" si="239"/>
        <v>#DIV/0!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t="e">
        <f t="shared" si="246"/>
        <v>#DIV/0!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x14ac:dyDescent="0.2">
      <c r="A458" s="9"/>
      <c r="B458" s="34"/>
      <c r="C458" s="34"/>
      <c r="D458" s="1817"/>
      <c r="E458" s="35" t="e">
        <f t="shared" si="239"/>
        <v>#DIV/0!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t="e">
        <f t="shared" si="246"/>
        <v>#DIV/0!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x14ac:dyDescent="0.2">
      <c r="A459" s="9"/>
      <c r="B459" s="34"/>
      <c r="C459" s="34"/>
      <c r="D459" s="1817"/>
      <c r="E459" s="35" t="e">
        <f t="shared" si="239"/>
        <v>#DIV/0!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t="e">
        <f t="shared" si="246"/>
        <v>#DIV/0!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x14ac:dyDescent="0.2">
      <c r="A460" s="9"/>
      <c r="B460" s="34"/>
      <c r="C460" s="34"/>
      <c r="D460" s="1817"/>
      <c r="E460" s="35" t="e">
        <f t="shared" si="239"/>
        <v>#DIV/0!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t="e">
        <f t="shared" si="246"/>
        <v>#DIV/0!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x14ac:dyDescent="0.2">
      <c r="A461" s="9"/>
      <c r="B461" s="34"/>
      <c r="C461" s="34"/>
      <c r="D461" s="1817"/>
      <c r="E461" s="35" t="e">
        <f t="shared" si="239"/>
        <v>#DIV/0!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t="e">
        <f t="shared" si="246"/>
        <v>#DIV/0!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x14ac:dyDescent="0.2">
      <c r="A462" s="9"/>
      <c r="B462" s="34"/>
      <c r="C462" s="34"/>
      <c r="D462" s="1817"/>
      <c r="E462" s="35" t="e">
        <f t="shared" si="239"/>
        <v>#DIV/0!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t="e">
        <f t="shared" si="246"/>
        <v>#DIV/0!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x14ac:dyDescent="0.2">
      <c r="A463" s="9"/>
      <c r="B463" s="34"/>
      <c r="C463" s="34"/>
      <c r="D463" s="1817"/>
      <c r="E463" s="35" t="e">
        <f t="shared" si="239"/>
        <v>#DIV/0!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t="e">
        <f t="shared" si="246"/>
        <v>#DIV/0!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x14ac:dyDescent="0.2">
      <c r="A464" s="9"/>
      <c r="B464" s="34"/>
      <c r="C464" s="34"/>
      <c r="D464" s="1817"/>
      <c r="E464" s="35" t="e">
        <f t="shared" si="239"/>
        <v>#DIV/0!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t="e">
        <f t="shared" si="246"/>
        <v>#DIV/0!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x14ac:dyDescent="0.2">
      <c r="A465" s="9"/>
      <c r="B465" s="34"/>
      <c r="C465" s="34"/>
      <c r="D465" s="1817"/>
      <c r="E465" s="35" t="e">
        <f t="shared" si="239"/>
        <v>#DIV/0!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t="e">
        <f t="shared" si="246"/>
        <v>#DIV/0!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x14ac:dyDescent="0.2">
      <c r="A466" s="9"/>
      <c r="B466" s="34"/>
      <c r="C466" s="34"/>
      <c r="D466" s="1817"/>
      <c r="E466" s="35" t="e">
        <f t="shared" si="239"/>
        <v>#DIV/0!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t="e">
        <f t="shared" si="246"/>
        <v>#DIV/0!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x14ac:dyDescent="0.2">
      <c r="A467" s="9"/>
      <c r="B467" s="34"/>
      <c r="C467" s="34"/>
      <c r="D467" s="1817"/>
      <c r="E467" s="35" t="e">
        <f t="shared" si="239"/>
        <v>#DIV/0!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t="e">
        <f t="shared" si="246"/>
        <v>#DIV/0!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x14ac:dyDescent="0.2">
      <c r="A468" s="9"/>
      <c r="B468" s="34"/>
      <c r="C468" s="34"/>
      <c r="D468" s="1817"/>
      <c r="E468" s="35" t="e">
        <f t="shared" si="239"/>
        <v>#DIV/0!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t="e">
        <f t="shared" si="246"/>
        <v>#DIV/0!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x14ac:dyDescent="0.2">
      <c r="A469" s="9"/>
      <c r="B469" s="34"/>
      <c r="C469" s="34"/>
      <c r="D469" s="1817"/>
      <c r="E469" s="35" t="e">
        <f t="shared" si="239"/>
        <v>#DIV/0!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t="e">
        <f t="shared" si="246"/>
        <v>#DIV/0!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x14ac:dyDescent="0.2">
      <c r="A470" s="9"/>
      <c r="B470" s="34"/>
      <c r="C470" s="34"/>
      <c r="D470" s="1817"/>
      <c r="E470" s="35" t="e">
        <f t="shared" si="239"/>
        <v>#DIV/0!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t="e">
        <f t="shared" si="246"/>
        <v>#DIV/0!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x14ac:dyDescent="0.2">
      <c r="A471" s="9"/>
      <c r="B471" s="34"/>
      <c r="C471" s="34"/>
      <c r="D471" s="1817"/>
      <c r="E471" s="35" t="e">
        <f t="shared" si="239"/>
        <v>#DIV/0!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t="e">
        <f t="shared" si="246"/>
        <v>#DIV/0!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x14ac:dyDescent="0.2">
      <c r="A472" s="9"/>
      <c r="B472" s="34"/>
      <c r="C472" s="34"/>
      <c r="D472" s="1817"/>
      <c r="E472" s="35" t="e">
        <f t="shared" si="239"/>
        <v>#DIV/0!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t="e">
        <f t="shared" si="246"/>
        <v>#DIV/0!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x14ac:dyDescent="0.2">
      <c r="A473" s="9"/>
      <c r="B473" s="34"/>
      <c r="C473" s="34"/>
      <c r="D473" s="1817"/>
      <c r="E473" s="35" t="e">
        <f t="shared" si="239"/>
        <v>#DIV/0!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t="e">
        <f t="shared" si="246"/>
        <v>#DIV/0!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x14ac:dyDescent="0.2">
      <c r="A474" s="9"/>
      <c r="B474" s="34"/>
      <c r="C474" s="34"/>
      <c r="D474" s="1817"/>
      <c r="E474" s="35" t="e">
        <f t="shared" si="239"/>
        <v>#DIV/0!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t="e">
        <f t="shared" si="246"/>
        <v>#DIV/0!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x14ac:dyDescent="0.2">
      <c r="A475" s="9"/>
      <c r="B475" s="34"/>
      <c r="C475" s="34"/>
      <c r="D475" s="1817"/>
      <c r="E475" s="35" t="e">
        <f t="shared" si="239"/>
        <v>#DIV/0!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t="e">
        <f t="shared" si="246"/>
        <v>#DIV/0!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x14ac:dyDescent="0.2">
      <c r="A476" s="9"/>
      <c r="B476" s="34"/>
      <c r="C476" s="34"/>
      <c r="D476" s="1817"/>
      <c r="E476" s="35" t="e">
        <f t="shared" si="239"/>
        <v>#DIV/0!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t="e">
        <f t="shared" si="246"/>
        <v>#DIV/0!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x14ac:dyDescent="0.2">
      <c r="A477" s="9"/>
      <c r="B477" s="34"/>
      <c r="C477" s="34"/>
      <c r="D477" s="1817"/>
      <c r="E477" s="35" t="e">
        <f t="shared" si="239"/>
        <v>#DIV/0!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t="e">
        <f t="shared" si="246"/>
        <v>#DIV/0!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x14ac:dyDescent="0.2">
      <c r="A478" s="9"/>
      <c r="B478" s="34"/>
      <c r="C478" s="34"/>
      <c r="D478" s="1817"/>
      <c r="E478" s="35" t="e">
        <f t="shared" si="239"/>
        <v>#DIV/0!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t="e">
        <f t="shared" si="246"/>
        <v>#DIV/0!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x14ac:dyDescent="0.2">
      <c r="A479" s="9"/>
      <c r="B479" s="34"/>
      <c r="C479" s="34"/>
      <c r="D479" s="1817"/>
      <c r="E479" s="35" t="e">
        <f t="shared" si="239"/>
        <v>#DIV/0!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t="e">
        <f t="shared" si="246"/>
        <v>#DIV/0!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x14ac:dyDescent="0.2">
      <c r="A480" s="9"/>
      <c r="B480" s="34"/>
      <c r="C480" s="34"/>
      <c r="D480" s="1817"/>
      <c r="E480" s="35" t="e">
        <f t="shared" si="239"/>
        <v>#DIV/0!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t="e">
        <f t="shared" si="246"/>
        <v>#DIV/0!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x14ac:dyDescent="0.2">
      <c r="A481" s="9"/>
      <c r="B481" s="34"/>
      <c r="C481" s="34"/>
      <c r="D481" s="1817"/>
      <c r="E481" s="35" t="e">
        <f t="shared" si="239"/>
        <v>#DIV/0!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t="e">
        <f t="shared" si="246"/>
        <v>#DIV/0!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x14ac:dyDescent="0.2">
      <c r="A482" s="9"/>
      <c r="B482" s="34"/>
      <c r="C482" s="34"/>
      <c r="D482" s="1817"/>
      <c r="E482" s="35" t="e">
        <f t="shared" si="239"/>
        <v>#DIV/0!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t="e">
        <f t="shared" si="246"/>
        <v>#DIV/0!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x14ac:dyDescent="0.2">
      <c r="A483" s="9"/>
      <c r="B483" s="34"/>
      <c r="C483" s="34"/>
      <c r="D483" s="1817"/>
      <c r="E483" s="35" t="e">
        <f t="shared" si="239"/>
        <v>#DIV/0!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t="e">
        <f t="shared" si="246"/>
        <v>#DIV/0!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x14ac:dyDescent="0.2">
      <c r="A484" s="9"/>
      <c r="B484" s="34"/>
      <c r="C484" s="34"/>
      <c r="D484" s="1817"/>
      <c r="E484" s="35" t="e">
        <f t="shared" si="239"/>
        <v>#DIV/0!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t="e">
        <f t="shared" si="246"/>
        <v>#DIV/0!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x14ac:dyDescent="0.2">
      <c r="A485" s="9"/>
      <c r="B485" s="34"/>
      <c r="C485" s="34"/>
      <c r="D485" s="1817"/>
      <c r="E485" s="35" t="e">
        <f t="shared" si="239"/>
        <v>#DIV/0!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t="e">
        <f t="shared" si="246"/>
        <v>#DIV/0!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x14ac:dyDescent="0.2">
      <c r="A486" s="9"/>
      <c r="B486" s="34"/>
      <c r="C486" s="34"/>
      <c r="D486" s="1817"/>
      <c r="E486" s="35" t="e">
        <f t="shared" si="239"/>
        <v>#DIV/0!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t="e">
        <f t="shared" si="246"/>
        <v>#DIV/0!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x14ac:dyDescent="0.2">
      <c r="A487" s="9"/>
      <c r="B487" s="34"/>
      <c r="C487" s="34"/>
      <c r="D487" s="1817"/>
      <c r="E487" s="35" t="e">
        <f t="shared" si="239"/>
        <v>#DIV/0!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t="e">
        <f t="shared" si="246"/>
        <v>#DIV/0!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x14ac:dyDescent="0.2">
      <c r="A488" s="9"/>
      <c r="B488" s="34"/>
      <c r="C488" s="34"/>
      <c r="D488" s="1817"/>
      <c r="E488" s="35" t="e">
        <f t="shared" si="239"/>
        <v>#DIV/0!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t="e">
        <f t="shared" si="246"/>
        <v>#DIV/0!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x14ac:dyDescent="0.2">
      <c r="A489" s="9"/>
      <c r="B489" s="34"/>
      <c r="C489" s="34"/>
      <c r="D489" s="1817"/>
      <c r="E489" s="35" t="e">
        <f t="shared" si="239"/>
        <v>#DIV/0!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t="e">
        <f t="shared" si="246"/>
        <v>#DIV/0!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x14ac:dyDescent="0.2">
      <c r="A490" s="9"/>
      <c r="B490" s="9"/>
      <c r="C490" s="9"/>
      <c r="D490" s="1817"/>
      <c r="E490" s="35" t="e">
        <f t="shared" si="239"/>
        <v>#DIV/0!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t="e">
        <f t="shared" ref="AY490:AY521" si="271">ROUND($AY$6*AZ490/$AZ$5,2)</f>
        <v>#DIV/0!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x14ac:dyDescent="0.2">
      <c r="A491" s="9"/>
      <c r="B491" s="9"/>
      <c r="C491" s="9"/>
      <c r="D491" s="1817"/>
      <c r="E491" s="35" t="e">
        <f t="shared" si="239"/>
        <v>#DIV/0!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t="e">
        <f t="shared" si="271"/>
        <v>#DIV/0!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x14ac:dyDescent="0.2">
      <c r="A492" s="9"/>
      <c r="B492" s="9"/>
      <c r="C492" s="9"/>
      <c r="D492" s="1817"/>
      <c r="E492" s="35" t="e">
        <f t="shared" si="239"/>
        <v>#DIV/0!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t="e">
        <f t="shared" si="271"/>
        <v>#DIV/0!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x14ac:dyDescent="0.2">
      <c r="A493" s="9"/>
      <c r="B493" s="34"/>
      <c r="C493" s="34"/>
      <c r="D493" s="1817"/>
      <c r="E493" s="35" t="e">
        <f t="shared" ref="E493:E519" si="293">IF($C$3="是",ROUND($A$3*G493/$B$3,2),ROUND($A$3*(G493-AT493)/$B$3,2))</f>
        <v>#DIV/0!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t="e">
        <f t="shared" si="271"/>
        <v>#DIV/0!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x14ac:dyDescent="0.2">
      <c r="A494" s="9"/>
      <c r="B494" s="34"/>
      <c r="C494" s="34"/>
      <c r="D494" s="1817"/>
      <c r="E494" s="35" t="e">
        <f t="shared" si="293"/>
        <v>#DIV/0!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t="e">
        <f t="shared" si="271"/>
        <v>#DIV/0!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x14ac:dyDescent="0.2">
      <c r="A495" s="9"/>
      <c r="B495" s="34"/>
      <c r="C495" s="34"/>
      <c r="D495" s="1817"/>
      <c r="E495" s="35" t="e">
        <f t="shared" si="293"/>
        <v>#DIV/0!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t="e">
        <f t="shared" si="271"/>
        <v>#DIV/0!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x14ac:dyDescent="0.2">
      <c r="A496" s="9"/>
      <c r="B496" s="34"/>
      <c r="C496" s="34"/>
      <c r="D496" s="1817"/>
      <c r="E496" s="35" t="e">
        <f t="shared" si="293"/>
        <v>#DIV/0!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t="e">
        <f t="shared" si="271"/>
        <v>#DIV/0!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x14ac:dyDescent="0.2">
      <c r="A497" s="9"/>
      <c r="B497" s="34"/>
      <c r="C497" s="34"/>
      <c r="D497" s="1817"/>
      <c r="E497" s="35" t="e">
        <f t="shared" si="293"/>
        <v>#DIV/0!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t="e">
        <f t="shared" si="271"/>
        <v>#DIV/0!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x14ac:dyDescent="0.2">
      <c r="A498" s="9"/>
      <c r="B498" s="34"/>
      <c r="C498" s="34"/>
      <c r="D498" s="1817"/>
      <c r="E498" s="35" t="e">
        <f t="shared" si="293"/>
        <v>#DIV/0!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t="e">
        <f t="shared" si="271"/>
        <v>#DIV/0!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x14ac:dyDescent="0.2">
      <c r="A499" s="9"/>
      <c r="B499" s="34"/>
      <c r="C499" s="34"/>
      <c r="D499" s="1817"/>
      <c r="E499" s="35" t="e">
        <f t="shared" si="293"/>
        <v>#DIV/0!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t="e">
        <f t="shared" si="271"/>
        <v>#DIV/0!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x14ac:dyDescent="0.2">
      <c r="A500" s="9"/>
      <c r="B500" s="34"/>
      <c r="C500" s="34"/>
      <c r="D500" s="1817"/>
      <c r="E500" s="35" t="e">
        <f t="shared" si="293"/>
        <v>#DIV/0!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t="e">
        <f t="shared" si="271"/>
        <v>#DIV/0!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x14ac:dyDescent="0.2">
      <c r="A501" s="9"/>
      <c r="B501" s="34"/>
      <c r="C501" s="34"/>
      <c r="D501" s="1817"/>
      <c r="E501" s="35" t="e">
        <f t="shared" si="293"/>
        <v>#DIV/0!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t="e">
        <f t="shared" si="271"/>
        <v>#DIV/0!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x14ac:dyDescent="0.2">
      <c r="A502" s="9"/>
      <c r="B502" s="34"/>
      <c r="C502" s="34"/>
      <c r="D502" s="1817"/>
      <c r="E502" s="35" t="e">
        <f t="shared" si="293"/>
        <v>#DIV/0!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t="e">
        <f t="shared" si="271"/>
        <v>#DIV/0!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x14ac:dyDescent="0.2">
      <c r="A503" s="9"/>
      <c r="B503" s="34"/>
      <c r="C503" s="34"/>
      <c r="D503" s="1817"/>
      <c r="E503" s="35" t="e">
        <f t="shared" si="293"/>
        <v>#DIV/0!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t="e">
        <f t="shared" si="271"/>
        <v>#DIV/0!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x14ac:dyDescent="0.2">
      <c r="A504" s="9"/>
      <c r="B504" s="34"/>
      <c r="C504" s="34"/>
      <c r="D504" s="1817"/>
      <c r="E504" s="35" t="e">
        <f t="shared" si="293"/>
        <v>#DIV/0!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t="e">
        <f t="shared" si="271"/>
        <v>#DIV/0!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x14ac:dyDescent="0.2">
      <c r="A505" s="9"/>
      <c r="B505" s="34"/>
      <c r="C505" s="34"/>
      <c r="D505" s="1817"/>
      <c r="E505" s="35" t="e">
        <f t="shared" si="293"/>
        <v>#DIV/0!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t="e">
        <f t="shared" si="271"/>
        <v>#DIV/0!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x14ac:dyDescent="0.2">
      <c r="A506" s="9"/>
      <c r="B506" s="34"/>
      <c r="C506" s="34"/>
      <c r="D506" s="1817"/>
      <c r="E506" s="35" t="e">
        <f t="shared" si="293"/>
        <v>#DIV/0!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t="e">
        <f t="shared" si="271"/>
        <v>#DIV/0!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x14ac:dyDescent="0.2">
      <c r="A507" s="9"/>
      <c r="B507" s="34"/>
      <c r="C507" s="34"/>
      <c r="D507" s="1817"/>
      <c r="E507" s="35" t="e">
        <f t="shared" si="293"/>
        <v>#DIV/0!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t="e">
        <f t="shared" si="271"/>
        <v>#DIV/0!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x14ac:dyDescent="0.2">
      <c r="A508" s="9"/>
      <c r="B508" s="34"/>
      <c r="C508" s="34"/>
      <c r="D508" s="1817"/>
      <c r="E508" s="35" t="e">
        <f t="shared" si="293"/>
        <v>#DIV/0!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t="e">
        <f t="shared" si="271"/>
        <v>#DIV/0!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x14ac:dyDescent="0.2">
      <c r="A509" s="9"/>
      <c r="B509" s="34"/>
      <c r="C509" s="34"/>
      <c r="D509" s="1817"/>
      <c r="E509" s="35" t="e">
        <f t="shared" si="293"/>
        <v>#DIV/0!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t="e">
        <f t="shared" si="271"/>
        <v>#DIV/0!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x14ac:dyDescent="0.2">
      <c r="A510" s="9"/>
      <c r="B510" s="34"/>
      <c r="C510" s="34"/>
      <c r="D510" s="1817"/>
      <c r="E510" s="35" t="e">
        <f t="shared" si="293"/>
        <v>#DIV/0!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t="e">
        <f t="shared" si="271"/>
        <v>#DIV/0!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x14ac:dyDescent="0.2">
      <c r="A511" s="9"/>
      <c r="B511" s="34"/>
      <c r="C511" s="34"/>
      <c r="D511" s="1817"/>
      <c r="E511" s="35" t="e">
        <f t="shared" si="293"/>
        <v>#DIV/0!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t="e">
        <f t="shared" si="271"/>
        <v>#DIV/0!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x14ac:dyDescent="0.2">
      <c r="A512" s="9"/>
      <c r="B512" s="34"/>
      <c r="C512" s="34"/>
      <c r="D512" s="1817"/>
      <c r="E512" s="35" t="e">
        <f t="shared" si="293"/>
        <v>#DIV/0!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t="e">
        <f t="shared" si="271"/>
        <v>#DIV/0!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x14ac:dyDescent="0.2">
      <c r="A513" s="9"/>
      <c r="B513" s="34"/>
      <c r="C513" s="34"/>
      <c r="D513" s="1817"/>
      <c r="E513" s="35" t="e">
        <f t="shared" si="293"/>
        <v>#DIV/0!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t="e">
        <f t="shared" si="271"/>
        <v>#DIV/0!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x14ac:dyDescent="0.2">
      <c r="A514" s="9"/>
      <c r="B514" s="34"/>
      <c r="C514" s="34"/>
      <c r="D514" s="1817"/>
      <c r="E514" s="35" t="e">
        <f t="shared" si="293"/>
        <v>#DIV/0!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t="e">
        <f t="shared" si="271"/>
        <v>#DIV/0!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x14ac:dyDescent="0.2">
      <c r="A515" s="9"/>
      <c r="B515" s="34"/>
      <c r="C515" s="34"/>
      <c r="D515" s="1817"/>
      <c r="E515" s="35" t="e">
        <f t="shared" si="293"/>
        <v>#DIV/0!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t="e">
        <f t="shared" si="271"/>
        <v>#DIV/0!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x14ac:dyDescent="0.2">
      <c r="A516" s="9"/>
      <c r="B516" s="34"/>
      <c r="C516" s="34"/>
      <c r="D516" s="1817"/>
      <c r="E516" s="35" t="e">
        <f t="shared" si="293"/>
        <v>#DIV/0!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t="e">
        <f t="shared" si="271"/>
        <v>#DIV/0!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x14ac:dyDescent="0.2">
      <c r="A517" s="9"/>
      <c r="B517" s="34"/>
      <c r="C517" s="34"/>
      <c r="D517" s="1817"/>
      <c r="E517" s="35" t="e">
        <f t="shared" si="293"/>
        <v>#DIV/0!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t="e">
        <f t="shared" si="271"/>
        <v>#DIV/0!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x14ac:dyDescent="0.2">
      <c r="A518" s="9"/>
      <c r="B518" s="34"/>
      <c r="C518" s="34"/>
      <c r="D518" s="1817"/>
      <c r="E518" s="35" t="e">
        <f t="shared" si="293"/>
        <v>#DIV/0!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t="e">
        <f t="shared" si="271"/>
        <v>#DIV/0!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x14ac:dyDescent="0.2">
      <c r="A519" s="9"/>
      <c r="B519" s="34"/>
      <c r="C519" s="34"/>
      <c r="D519" s="1817"/>
      <c r="E519" s="35" t="e">
        <f t="shared" si="293"/>
        <v>#DIV/0!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t="e">
        <f t="shared" si="271"/>
        <v>#DIV/0!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x14ac:dyDescent="0.2">
      <c r="A520" s="9"/>
      <c r="B520" s="34"/>
      <c r="C520" s="34"/>
      <c r="D520" s="1817"/>
      <c r="E520" s="35" t="e">
        <f t="shared" ref="E520:E551" si="297">IF($C$3="是",ROUND($A$3*G520/$B$3,2),ROUND($A$3*(G520-AT520)/$B$3,2))</f>
        <v>#DIV/0!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t="e">
        <f t="shared" si="271"/>
        <v>#DIV/0!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x14ac:dyDescent="0.2">
      <c r="A521" s="9"/>
      <c r="B521" s="34"/>
      <c r="C521" s="34"/>
      <c r="D521" s="1817"/>
      <c r="E521" s="35" t="e">
        <f t="shared" si="297"/>
        <v>#DIV/0!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t="e">
        <f t="shared" si="271"/>
        <v>#DIV/0!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x14ac:dyDescent="0.2">
      <c r="A522" s="9"/>
      <c r="B522" s="34"/>
      <c r="C522" s="34"/>
      <c r="D522" s="1817"/>
      <c r="E522" s="35" t="e">
        <f t="shared" si="297"/>
        <v>#DIV/0!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t="e">
        <f t="shared" ref="AY522:AY552" si="304">ROUND($AY$6*AZ522/$AZ$5,2)</f>
        <v>#DIV/0!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x14ac:dyDescent="0.2">
      <c r="A523" s="9"/>
      <c r="B523" s="34"/>
      <c r="C523" s="34"/>
      <c r="D523" s="1817"/>
      <c r="E523" s="35" t="e">
        <f t="shared" si="297"/>
        <v>#DIV/0!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t="e">
        <f t="shared" si="304"/>
        <v>#DIV/0!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x14ac:dyDescent="0.2">
      <c r="A524" s="9"/>
      <c r="B524" s="34"/>
      <c r="C524" s="34"/>
      <c r="D524" s="1817"/>
      <c r="E524" s="35" t="e">
        <f t="shared" si="297"/>
        <v>#DIV/0!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t="e">
        <f t="shared" si="304"/>
        <v>#DIV/0!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x14ac:dyDescent="0.2">
      <c r="A525" s="9"/>
      <c r="B525" s="34"/>
      <c r="C525" s="34"/>
      <c r="D525" s="1817"/>
      <c r="E525" s="35" t="e">
        <f t="shared" si="297"/>
        <v>#DIV/0!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t="e">
        <f t="shared" si="304"/>
        <v>#DIV/0!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x14ac:dyDescent="0.2">
      <c r="A526" s="9"/>
      <c r="B526" s="34"/>
      <c r="C526" s="34"/>
      <c r="D526" s="1817"/>
      <c r="E526" s="35" t="e">
        <f t="shared" si="297"/>
        <v>#DIV/0!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t="e">
        <f t="shared" si="304"/>
        <v>#DIV/0!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x14ac:dyDescent="0.2">
      <c r="A527" s="9"/>
      <c r="B527" s="34"/>
      <c r="C527" s="34"/>
      <c r="D527" s="1817"/>
      <c r="E527" s="35" t="e">
        <f t="shared" si="297"/>
        <v>#DIV/0!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t="e">
        <f t="shared" si="304"/>
        <v>#DIV/0!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x14ac:dyDescent="0.2">
      <c r="A528" s="9"/>
      <c r="B528" s="34"/>
      <c r="C528" s="34"/>
      <c r="D528" s="1817"/>
      <c r="E528" s="35" t="e">
        <f t="shared" si="297"/>
        <v>#DIV/0!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t="e">
        <f t="shared" si="304"/>
        <v>#DIV/0!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x14ac:dyDescent="0.2">
      <c r="A529" s="9"/>
      <c r="B529" s="34"/>
      <c r="C529" s="34"/>
      <c r="D529" s="1817"/>
      <c r="E529" s="35" t="e">
        <f t="shared" si="297"/>
        <v>#DIV/0!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t="e">
        <f t="shared" si="304"/>
        <v>#DIV/0!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x14ac:dyDescent="0.2">
      <c r="A530" s="9"/>
      <c r="B530" s="34"/>
      <c r="C530" s="34"/>
      <c r="D530" s="1817"/>
      <c r="E530" s="35" t="e">
        <f t="shared" si="297"/>
        <v>#DIV/0!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t="e">
        <f t="shared" si="304"/>
        <v>#DIV/0!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x14ac:dyDescent="0.2">
      <c r="A531" s="9"/>
      <c r="B531" s="34"/>
      <c r="C531" s="34"/>
      <c r="D531" s="1817"/>
      <c r="E531" s="35" t="e">
        <f t="shared" si="297"/>
        <v>#DIV/0!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t="e">
        <f t="shared" si="304"/>
        <v>#DIV/0!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x14ac:dyDescent="0.2">
      <c r="A532" s="9"/>
      <c r="B532" s="34"/>
      <c r="C532" s="34"/>
      <c r="D532" s="1817"/>
      <c r="E532" s="35" t="e">
        <f t="shared" si="297"/>
        <v>#DIV/0!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t="e">
        <f t="shared" si="304"/>
        <v>#DIV/0!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x14ac:dyDescent="0.2">
      <c r="A533" s="9"/>
      <c r="B533" s="34"/>
      <c r="C533" s="34"/>
      <c r="D533" s="1817"/>
      <c r="E533" s="35" t="e">
        <f t="shared" si="297"/>
        <v>#DIV/0!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t="e">
        <f t="shared" si="304"/>
        <v>#DIV/0!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x14ac:dyDescent="0.2">
      <c r="A534" s="9"/>
      <c r="B534" s="34"/>
      <c r="C534" s="34"/>
      <c r="D534" s="1817"/>
      <c r="E534" s="35" t="e">
        <f t="shared" si="297"/>
        <v>#DIV/0!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t="e">
        <f t="shared" si="304"/>
        <v>#DIV/0!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x14ac:dyDescent="0.2">
      <c r="A535" s="9"/>
      <c r="B535" s="34"/>
      <c r="C535" s="34"/>
      <c r="D535" s="1817"/>
      <c r="E535" s="35" t="e">
        <f t="shared" si="297"/>
        <v>#DIV/0!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t="e">
        <f t="shared" si="304"/>
        <v>#DIV/0!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x14ac:dyDescent="0.2">
      <c r="A536" s="9"/>
      <c r="B536" s="34"/>
      <c r="C536" s="34"/>
      <c r="D536" s="1817"/>
      <c r="E536" s="35" t="e">
        <f t="shared" si="297"/>
        <v>#DIV/0!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t="e">
        <f t="shared" si="304"/>
        <v>#DIV/0!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x14ac:dyDescent="0.2">
      <c r="A537" s="9"/>
      <c r="B537" s="34"/>
      <c r="C537" s="34"/>
      <c r="D537" s="1817"/>
      <c r="E537" s="35" t="e">
        <f t="shared" si="297"/>
        <v>#DIV/0!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t="e">
        <f t="shared" si="304"/>
        <v>#DIV/0!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x14ac:dyDescent="0.2">
      <c r="A538" s="9"/>
      <c r="B538" s="34"/>
      <c r="C538" s="34"/>
      <c r="D538" s="1817"/>
      <c r="E538" s="35" t="e">
        <f t="shared" si="297"/>
        <v>#DIV/0!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t="e">
        <f t="shared" si="304"/>
        <v>#DIV/0!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x14ac:dyDescent="0.2">
      <c r="A539" s="9"/>
      <c r="B539" s="34"/>
      <c r="C539" s="34"/>
      <c r="D539" s="1817"/>
      <c r="E539" s="35" t="e">
        <f t="shared" si="297"/>
        <v>#DIV/0!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t="e">
        <f t="shared" si="304"/>
        <v>#DIV/0!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x14ac:dyDescent="0.2">
      <c r="A540" s="9"/>
      <c r="B540" s="34"/>
      <c r="C540" s="34"/>
      <c r="D540" s="1817"/>
      <c r="E540" s="35" t="e">
        <f t="shared" si="297"/>
        <v>#DIV/0!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t="e">
        <f t="shared" si="304"/>
        <v>#DIV/0!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x14ac:dyDescent="0.2">
      <c r="A541" s="9"/>
      <c r="B541" s="34"/>
      <c r="C541" s="34"/>
      <c r="D541" s="1817"/>
      <c r="E541" s="35" t="e">
        <f t="shared" si="297"/>
        <v>#DIV/0!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t="e">
        <f t="shared" si="304"/>
        <v>#DIV/0!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x14ac:dyDescent="0.2">
      <c r="A542" s="9"/>
      <c r="B542" s="34"/>
      <c r="C542" s="34"/>
      <c r="D542" s="1817"/>
      <c r="E542" s="35" t="e">
        <f t="shared" si="297"/>
        <v>#DIV/0!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t="e">
        <f t="shared" si="304"/>
        <v>#DIV/0!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x14ac:dyDescent="0.2">
      <c r="A543" s="9"/>
      <c r="B543" s="34"/>
      <c r="C543" s="34"/>
      <c r="D543" s="1817"/>
      <c r="E543" s="35" t="e">
        <f t="shared" si="297"/>
        <v>#DIV/0!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t="e">
        <f t="shared" si="304"/>
        <v>#DIV/0!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x14ac:dyDescent="0.2">
      <c r="A544" s="9"/>
      <c r="B544" s="34"/>
      <c r="C544" s="34"/>
      <c r="D544" s="1817"/>
      <c r="E544" s="35" t="e">
        <f t="shared" si="297"/>
        <v>#DIV/0!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t="e">
        <f t="shared" si="304"/>
        <v>#DIV/0!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x14ac:dyDescent="0.2">
      <c r="A545" s="9"/>
      <c r="B545" s="34"/>
      <c r="C545" s="34"/>
      <c r="D545" s="1817"/>
      <c r="E545" s="35" t="e">
        <f t="shared" si="297"/>
        <v>#DIV/0!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t="e">
        <f t="shared" si="304"/>
        <v>#DIV/0!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x14ac:dyDescent="0.2">
      <c r="A546" s="9"/>
      <c r="B546" s="34"/>
      <c r="C546" s="34"/>
      <c r="D546" s="1817"/>
      <c r="E546" s="35" t="e">
        <f t="shared" si="297"/>
        <v>#DIV/0!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t="e">
        <f t="shared" si="304"/>
        <v>#DIV/0!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x14ac:dyDescent="0.2">
      <c r="A547" s="9"/>
      <c r="B547" s="34"/>
      <c r="C547" s="34"/>
      <c r="D547" s="1817"/>
      <c r="E547" s="35" t="e">
        <f t="shared" si="297"/>
        <v>#DIV/0!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t="e">
        <f t="shared" si="304"/>
        <v>#DIV/0!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x14ac:dyDescent="0.2">
      <c r="A548" s="9"/>
      <c r="B548" s="34"/>
      <c r="C548" s="34"/>
      <c r="D548" s="1817"/>
      <c r="E548" s="35" t="e">
        <f t="shared" si="297"/>
        <v>#DIV/0!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t="e">
        <f t="shared" si="304"/>
        <v>#DIV/0!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x14ac:dyDescent="0.2">
      <c r="A549" s="9"/>
      <c r="B549" s="34"/>
      <c r="C549" s="34"/>
      <c r="D549" s="1817"/>
      <c r="E549" s="35" t="e">
        <f t="shared" si="297"/>
        <v>#DIV/0!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t="e">
        <f t="shared" si="304"/>
        <v>#DIV/0!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x14ac:dyDescent="0.2">
      <c r="A550" s="9"/>
      <c r="B550" s="34"/>
      <c r="C550" s="34"/>
      <c r="D550" s="1817"/>
      <c r="E550" s="35" t="e">
        <f t="shared" si="297"/>
        <v>#DIV/0!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t="e">
        <f t="shared" si="304"/>
        <v>#DIV/0!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x14ac:dyDescent="0.2">
      <c r="A551" s="9"/>
      <c r="B551" s="34"/>
      <c r="C551" s="34"/>
      <c r="D551" s="1817"/>
      <c r="E551" s="35" t="e">
        <f t="shared" si="297"/>
        <v>#DIV/0!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t="e">
        <f t="shared" si="304"/>
        <v>#DIV/0!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x14ac:dyDescent="0.2">
      <c r="A552" s="9"/>
      <c r="B552" s="34"/>
      <c r="C552" s="34"/>
      <c r="D552" s="1817"/>
      <c r="E552" s="35" t="e">
        <f t="shared" ref="E552:E587" si="326">IF($C$3="是",ROUND($A$3*G552/$B$3,2),ROUND($A$3*(G552-AT552)/$B$3,2))</f>
        <v>#DIV/0!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t="e">
        <f t="shared" si="304"/>
        <v>#DIV/0!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x14ac:dyDescent="0.2">
      <c r="A553" s="9"/>
      <c r="B553" s="34"/>
      <c r="C553" s="34"/>
      <c r="D553" s="1817"/>
      <c r="E553" s="35" t="e">
        <f t="shared" si="326"/>
        <v>#DIV/0!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t="e">
        <f t="shared" ref="AY553:AY584" si="333">ROUND($AY$6*AZ553/$AZ$5,2)</f>
        <v>#DIV/0!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x14ac:dyDescent="0.2">
      <c r="A554" s="9"/>
      <c r="B554" s="34"/>
      <c r="C554" s="34"/>
      <c r="D554" s="1817"/>
      <c r="E554" s="35" t="e">
        <f t="shared" si="326"/>
        <v>#DIV/0!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t="e">
        <f t="shared" si="333"/>
        <v>#DIV/0!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x14ac:dyDescent="0.2">
      <c r="A555" s="9"/>
      <c r="B555" s="34"/>
      <c r="C555" s="34"/>
      <c r="D555" s="1817"/>
      <c r="E555" s="35" t="e">
        <f t="shared" si="326"/>
        <v>#DIV/0!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t="e">
        <f t="shared" si="333"/>
        <v>#DIV/0!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x14ac:dyDescent="0.2">
      <c r="A556" s="9"/>
      <c r="B556" s="34"/>
      <c r="C556" s="34"/>
      <c r="D556" s="1817"/>
      <c r="E556" s="35" t="e">
        <f t="shared" si="326"/>
        <v>#DIV/0!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t="e">
        <f t="shared" si="333"/>
        <v>#DIV/0!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x14ac:dyDescent="0.2">
      <c r="A557" s="9"/>
      <c r="B557" s="34"/>
      <c r="C557" s="34"/>
      <c r="D557" s="1817"/>
      <c r="E557" s="35" t="e">
        <f t="shared" si="326"/>
        <v>#DIV/0!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t="e">
        <f t="shared" si="333"/>
        <v>#DIV/0!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x14ac:dyDescent="0.2">
      <c r="A558" s="9"/>
      <c r="B558" s="34"/>
      <c r="C558" s="34"/>
      <c r="D558" s="1817"/>
      <c r="E558" s="35" t="e">
        <f t="shared" si="326"/>
        <v>#DIV/0!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t="e">
        <f t="shared" si="333"/>
        <v>#DIV/0!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x14ac:dyDescent="0.2">
      <c r="A559" s="9"/>
      <c r="B559" s="34"/>
      <c r="C559" s="34"/>
      <c r="D559" s="1817"/>
      <c r="E559" s="35" t="e">
        <f t="shared" si="326"/>
        <v>#DIV/0!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t="e">
        <f t="shared" si="333"/>
        <v>#DIV/0!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x14ac:dyDescent="0.2">
      <c r="A560" s="9"/>
      <c r="B560" s="34"/>
      <c r="C560" s="34"/>
      <c r="D560" s="1817"/>
      <c r="E560" s="35" t="e">
        <f t="shared" si="326"/>
        <v>#DIV/0!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t="e">
        <f t="shared" si="333"/>
        <v>#DIV/0!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x14ac:dyDescent="0.2">
      <c r="A561" s="9"/>
      <c r="B561" s="34"/>
      <c r="C561" s="34"/>
      <c r="D561" s="1817"/>
      <c r="E561" s="35" t="e">
        <f t="shared" si="326"/>
        <v>#DIV/0!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t="e">
        <f t="shared" si="333"/>
        <v>#DIV/0!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x14ac:dyDescent="0.2">
      <c r="A562" s="9"/>
      <c r="B562" s="34"/>
      <c r="C562" s="34"/>
      <c r="D562" s="1817"/>
      <c r="E562" s="35" t="e">
        <f t="shared" si="326"/>
        <v>#DIV/0!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t="e">
        <f t="shared" si="333"/>
        <v>#DIV/0!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x14ac:dyDescent="0.2">
      <c r="A563" s="9"/>
      <c r="B563" s="34"/>
      <c r="C563" s="34"/>
      <c r="D563" s="1817"/>
      <c r="E563" s="35" t="e">
        <f t="shared" si="326"/>
        <v>#DIV/0!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t="e">
        <f t="shared" si="333"/>
        <v>#DIV/0!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x14ac:dyDescent="0.2">
      <c r="A564" s="9"/>
      <c r="B564" s="34"/>
      <c r="C564" s="34"/>
      <c r="D564" s="1817"/>
      <c r="E564" s="35" t="e">
        <f t="shared" si="326"/>
        <v>#DIV/0!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t="e">
        <f t="shared" si="333"/>
        <v>#DIV/0!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x14ac:dyDescent="0.2">
      <c r="A565" s="9"/>
      <c r="B565" s="34"/>
      <c r="C565" s="34"/>
      <c r="D565" s="1817"/>
      <c r="E565" s="35" t="e">
        <f t="shared" si="326"/>
        <v>#DIV/0!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t="e">
        <f t="shared" si="333"/>
        <v>#DIV/0!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x14ac:dyDescent="0.2">
      <c r="A566" s="9"/>
      <c r="B566" s="34"/>
      <c r="C566" s="34"/>
      <c r="D566" s="1817"/>
      <c r="E566" s="35" t="e">
        <f t="shared" si="326"/>
        <v>#DIV/0!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t="e">
        <f t="shared" si="333"/>
        <v>#DIV/0!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x14ac:dyDescent="0.2">
      <c r="A567" s="9"/>
      <c r="B567" s="34"/>
      <c r="C567" s="34"/>
      <c r="D567" s="1817"/>
      <c r="E567" s="35" t="e">
        <f t="shared" si="326"/>
        <v>#DIV/0!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t="e">
        <f t="shared" si="333"/>
        <v>#DIV/0!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x14ac:dyDescent="0.2">
      <c r="A568" s="9"/>
      <c r="B568" s="34"/>
      <c r="C568" s="34"/>
      <c r="D568" s="1817"/>
      <c r="E568" s="35" t="e">
        <f t="shared" si="326"/>
        <v>#DIV/0!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t="e">
        <f t="shared" si="333"/>
        <v>#DIV/0!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x14ac:dyDescent="0.2">
      <c r="A569" s="9"/>
      <c r="B569" s="34"/>
      <c r="C569" s="34"/>
      <c r="D569" s="1817"/>
      <c r="E569" s="35" t="e">
        <f t="shared" si="326"/>
        <v>#DIV/0!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t="e">
        <f t="shared" si="333"/>
        <v>#DIV/0!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x14ac:dyDescent="0.2">
      <c r="A570" s="9"/>
      <c r="B570" s="34"/>
      <c r="C570" s="34"/>
      <c r="D570" s="1817"/>
      <c r="E570" s="35" t="e">
        <f t="shared" si="326"/>
        <v>#DIV/0!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t="e">
        <f t="shared" si="333"/>
        <v>#DIV/0!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x14ac:dyDescent="0.2">
      <c r="A571" s="9"/>
      <c r="B571" s="34"/>
      <c r="C571" s="34"/>
      <c r="D571" s="1817"/>
      <c r="E571" s="35" t="e">
        <f t="shared" si="326"/>
        <v>#DIV/0!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t="e">
        <f t="shared" si="333"/>
        <v>#DIV/0!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x14ac:dyDescent="0.2">
      <c r="A572" s="9"/>
      <c r="B572" s="34"/>
      <c r="C572" s="34"/>
      <c r="D572" s="1817"/>
      <c r="E572" s="35" t="e">
        <f t="shared" si="326"/>
        <v>#DIV/0!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t="e">
        <f t="shared" si="333"/>
        <v>#DIV/0!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x14ac:dyDescent="0.2">
      <c r="A573" s="9"/>
      <c r="B573" s="34"/>
      <c r="C573" s="34"/>
      <c r="D573" s="1817"/>
      <c r="E573" s="35" t="e">
        <f t="shared" si="326"/>
        <v>#DIV/0!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t="e">
        <f t="shared" si="333"/>
        <v>#DIV/0!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x14ac:dyDescent="0.2">
      <c r="A574" s="9"/>
      <c r="B574" s="34"/>
      <c r="C574" s="34"/>
      <c r="D574" s="1817"/>
      <c r="E574" s="35" t="e">
        <f t="shared" si="326"/>
        <v>#DIV/0!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t="e">
        <f t="shared" si="333"/>
        <v>#DIV/0!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x14ac:dyDescent="0.2">
      <c r="A575" s="9"/>
      <c r="B575" s="34"/>
      <c r="C575" s="34"/>
      <c r="D575" s="1817"/>
      <c r="E575" s="35" t="e">
        <f t="shared" si="326"/>
        <v>#DIV/0!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t="e">
        <f t="shared" si="333"/>
        <v>#DIV/0!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x14ac:dyDescent="0.2">
      <c r="A576" s="9"/>
      <c r="B576" s="34"/>
      <c r="C576" s="34"/>
      <c r="D576" s="1817"/>
      <c r="E576" s="35" t="e">
        <f t="shared" si="326"/>
        <v>#DIV/0!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t="e">
        <f t="shared" si="333"/>
        <v>#DIV/0!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x14ac:dyDescent="0.2">
      <c r="A577" s="9"/>
      <c r="B577" s="34"/>
      <c r="C577" s="34"/>
      <c r="D577" s="1817"/>
      <c r="E577" s="35" t="e">
        <f t="shared" si="326"/>
        <v>#DIV/0!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t="e">
        <f t="shared" si="333"/>
        <v>#DIV/0!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x14ac:dyDescent="0.2">
      <c r="A578" s="9"/>
      <c r="B578" s="34"/>
      <c r="C578" s="34"/>
      <c r="D578" s="1817"/>
      <c r="E578" s="35" t="e">
        <f t="shared" si="326"/>
        <v>#DIV/0!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t="e">
        <f t="shared" si="333"/>
        <v>#DIV/0!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x14ac:dyDescent="0.2">
      <c r="A579" s="9"/>
      <c r="B579" s="34"/>
      <c r="C579" s="34"/>
      <c r="D579" s="1817"/>
      <c r="E579" s="35" t="e">
        <f t="shared" si="326"/>
        <v>#DIV/0!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t="e">
        <f t="shared" si="333"/>
        <v>#DIV/0!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x14ac:dyDescent="0.2">
      <c r="A580" s="9"/>
      <c r="B580" s="34"/>
      <c r="C580" s="34"/>
      <c r="D580" s="1817"/>
      <c r="E580" s="35" t="e">
        <f t="shared" si="326"/>
        <v>#DIV/0!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t="e">
        <f t="shared" si="333"/>
        <v>#DIV/0!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x14ac:dyDescent="0.2">
      <c r="A581" s="9"/>
      <c r="B581" s="34"/>
      <c r="C581" s="34"/>
      <c r="D581" s="1817"/>
      <c r="E581" s="35" t="e">
        <f t="shared" si="326"/>
        <v>#DIV/0!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t="e">
        <f t="shared" si="333"/>
        <v>#DIV/0!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x14ac:dyDescent="0.2">
      <c r="A582" s="9"/>
      <c r="B582" s="34"/>
      <c r="C582" s="34"/>
      <c r="D582" s="1817"/>
      <c r="E582" s="35" t="e">
        <f t="shared" si="326"/>
        <v>#DIV/0!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t="e">
        <f t="shared" si="333"/>
        <v>#DIV/0!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x14ac:dyDescent="0.2">
      <c r="A583" s="9"/>
      <c r="B583" s="34"/>
      <c r="C583" s="34"/>
      <c r="D583" s="1817"/>
      <c r="E583" s="35" t="e">
        <f t="shared" si="326"/>
        <v>#DIV/0!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t="e">
        <f t="shared" si="333"/>
        <v>#DIV/0!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x14ac:dyDescent="0.2">
      <c r="A584" s="9"/>
      <c r="B584" s="34"/>
      <c r="C584" s="34"/>
      <c r="D584" s="1817"/>
      <c r="E584" s="35" t="e">
        <f t="shared" si="326"/>
        <v>#DIV/0!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t="e">
        <f t="shared" si="333"/>
        <v>#DIV/0!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x14ac:dyDescent="0.2">
      <c r="A585" s="9"/>
      <c r="B585" s="9"/>
      <c r="C585" s="9"/>
      <c r="D585" s="1817"/>
      <c r="E585" s="35" t="e">
        <f t="shared" si="326"/>
        <v>#DIV/0!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t="e">
        <f>ROUND($AY$6*AZ585/$AZ$5,2)</f>
        <v>#DIV/0!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x14ac:dyDescent="0.2">
      <c r="A586" s="9"/>
      <c r="B586" s="9"/>
      <c r="C586" s="9"/>
      <c r="D586" s="1817"/>
      <c r="E586" s="35" t="e">
        <f t="shared" si="326"/>
        <v>#DIV/0!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t="e">
        <f>ROUND($AY$6*AZ586/$AZ$5,2)</f>
        <v>#DIV/0!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x14ac:dyDescent="0.2">
      <c r="A587" s="9"/>
      <c r="B587" s="9"/>
      <c r="C587" s="9"/>
      <c r="D587" s="1817"/>
      <c r="E587" s="35" t="e">
        <f t="shared" si="326"/>
        <v>#DIV/0!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t="e">
        <f>ROUND($AY$6*AZ587/$AZ$5,2)</f>
        <v>#DIV/0!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x14ac:dyDescent="0.2">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x14ac:dyDescent="0.2">
      <c r="C589" s="1823"/>
      <c r="D589" s="1823"/>
    </row>
    <row r="590" spans="1:72" s="1822" customFormat="1" x14ac:dyDescent="0.2">
      <c r="C590" s="1823"/>
      <c r="D590" s="1823"/>
    </row>
    <row r="593" spans="2:2" x14ac:dyDescent="0.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dimension ref="A1:M9"/>
  <sheetViews>
    <sheetView workbookViewId="0">
      <selection activeCell="F18" sqref="F18"/>
    </sheetView>
  </sheetViews>
  <sheetFormatPr baseColWidth="10" defaultColWidth="9" defaultRowHeight="15" x14ac:dyDescent="0.2"/>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x14ac:dyDescent="0.2">
      <c r="A1" s="3291" t="s">
        <v>0</v>
      </c>
      <c r="B1" s="3291" t="s">
        <v>4</v>
      </c>
      <c r="C1" s="3291" t="s">
        <v>5</v>
      </c>
      <c r="D1" s="3292" t="s">
        <v>53</v>
      </c>
      <c r="E1" s="3292" t="s">
        <v>54</v>
      </c>
      <c r="F1" s="3292"/>
      <c r="G1" s="3292"/>
      <c r="H1" s="3292"/>
      <c r="I1" s="3292"/>
      <c r="J1" s="3292"/>
      <c r="K1" s="3292"/>
      <c r="L1" s="3292"/>
      <c r="M1" s="3292"/>
    </row>
    <row r="2" spans="1:13" ht="27" customHeight="1" x14ac:dyDescent="0.2">
      <c r="A2" s="3291"/>
      <c r="B2" s="3291"/>
      <c r="C2" s="3291"/>
      <c r="D2" s="3292"/>
      <c r="E2" s="3292" t="s">
        <v>37</v>
      </c>
      <c r="F2" s="3292" t="s">
        <v>38</v>
      </c>
      <c r="G2" s="3292"/>
      <c r="H2" s="3292"/>
      <c r="I2" s="3292"/>
      <c r="J2" s="3292" t="s">
        <v>39</v>
      </c>
      <c r="K2" s="3292"/>
      <c r="L2" s="3292"/>
      <c r="M2" s="3292"/>
    </row>
    <row r="3" spans="1:13" ht="30" x14ac:dyDescent="0.2">
      <c r="A3" s="3291"/>
      <c r="B3" s="3291"/>
      <c r="C3" s="3291"/>
      <c r="D3" s="3292"/>
      <c r="E3" s="3292"/>
      <c r="F3" s="4" t="s">
        <v>40</v>
      </c>
      <c r="G3" s="4" t="s">
        <v>35</v>
      </c>
      <c r="H3" s="4" t="s">
        <v>36</v>
      </c>
      <c r="I3" s="4" t="s">
        <v>49</v>
      </c>
      <c r="J3" s="4" t="s">
        <v>40</v>
      </c>
      <c r="K3" s="4" t="s">
        <v>51</v>
      </c>
      <c r="L3" s="4" t="s">
        <v>50</v>
      </c>
      <c r="M3" s="4" t="s">
        <v>52</v>
      </c>
    </row>
    <row r="4" spans="1:13" ht="45" x14ac:dyDescent="0.2">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x14ac:dyDescent="0.2">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x14ac:dyDescent="0.2">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x14ac:dyDescent="0.2">
      <c r="A7" s="4" t="s">
        <v>41</v>
      </c>
      <c r="B7" s="4" t="s">
        <v>44</v>
      </c>
      <c r="C7" s="4" t="s">
        <v>47</v>
      </c>
      <c r="D7" s="5">
        <v>8.18</v>
      </c>
      <c r="E7" s="5">
        <v>44.41</v>
      </c>
      <c r="F7" s="5">
        <v>0</v>
      </c>
      <c r="G7" s="5">
        <v>0</v>
      </c>
      <c r="H7" s="5">
        <v>0</v>
      </c>
      <c r="I7" s="5">
        <v>0</v>
      </c>
      <c r="J7" s="5">
        <v>44.41</v>
      </c>
      <c r="K7" s="5">
        <v>44.41</v>
      </c>
      <c r="L7" s="5">
        <v>0</v>
      </c>
      <c r="M7" s="5">
        <v>0</v>
      </c>
    </row>
    <row r="8" spans="1:13" ht="45" x14ac:dyDescent="0.2">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x14ac:dyDescent="0.2">
      <c r="A9" s="3292" t="s">
        <v>55</v>
      </c>
      <c r="B9" s="3292"/>
      <c r="C9" s="32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80" zoomScaleSheetLayoutView="80" workbookViewId="0">
      <selection activeCell="K13" sqref="K13"/>
    </sheetView>
  </sheetViews>
  <sheetFormatPr baseColWidth="10" defaultColWidth="9.1640625" defaultRowHeight="14" x14ac:dyDescent="0.2"/>
  <cols>
    <col min="1" max="1" width="12.1640625" style="1825" customWidth="1"/>
    <col min="2" max="2" width="10.1640625" style="1825" customWidth="1"/>
    <col min="3" max="3" width="18.5" style="1825" customWidth="1"/>
    <col min="4" max="4" width="11.6640625" style="1825" customWidth="1"/>
    <col min="5" max="5" width="13.33203125" style="1825" customWidth="1"/>
    <col min="6" max="8" width="11.5" style="1825" customWidth="1"/>
    <col min="9" max="9" width="11.1640625" style="1825" customWidth="1"/>
    <col min="10" max="10" width="5.1640625" style="2876" customWidth="1"/>
    <col min="11" max="16" width="10" style="1825" customWidth="1"/>
    <col min="17" max="17" width="2.6640625" style="1825" customWidth="1"/>
    <col min="18" max="18" width="9.33203125" style="1825" bestFit="1" customWidth="1"/>
    <col min="19" max="19" width="10.5" style="1825" bestFit="1" customWidth="1"/>
    <col min="20" max="16384" width="9.1640625" style="1825"/>
  </cols>
  <sheetData>
    <row r="1" spans="1:16" ht="19" thickBot="1" x14ac:dyDescent="0.25">
      <c r="A1" s="1824" t="s">
        <v>1815</v>
      </c>
      <c r="B1" s="1301"/>
      <c r="C1" s="1301"/>
      <c r="D1" s="1301"/>
      <c r="E1" s="1301"/>
      <c r="F1" s="1301"/>
      <c r="G1" s="1301"/>
      <c r="H1" s="1301"/>
      <c r="I1" s="1301"/>
      <c r="J1" s="1301"/>
      <c r="K1" s="1301"/>
      <c r="L1" s="1301"/>
      <c r="M1" s="1301"/>
      <c r="N1" s="1301"/>
      <c r="O1" s="1301"/>
      <c r="P1" s="1301"/>
    </row>
    <row r="2" spans="1:16" x14ac:dyDescent="0.2">
      <c r="A2" s="3302" t="s">
        <v>1816</v>
      </c>
      <c r="B2" s="3302"/>
      <c r="C2" s="3302"/>
      <c r="D2" s="904" t="s">
        <v>1792</v>
      </c>
      <c r="E2" s="1826" t="s">
        <v>1793</v>
      </c>
      <c r="F2" s="2886"/>
      <c r="G2" s="2877"/>
      <c r="H2" s="2878"/>
      <c r="I2" s="2550" t="s">
        <v>1817</v>
      </c>
      <c r="J2" s="2886"/>
      <c r="K2" s="2886"/>
      <c r="L2" s="2886"/>
      <c r="M2" s="2886"/>
      <c r="N2" s="2888"/>
      <c r="O2" s="2886"/>
      <c r="P2" s="2886"/>
    </row>
    <row r="3" spans="1:16" ht="15" thickBot="1" x14ac:dyDescent="0.25">
      <c r="A3" s="3303" t="s">
        <v>1790</v>
      </c>
      <c r="B3" s="3303"/>
      <c r="C3" s="3303"/>
      <c r="D3" s="46" t="e">
        <f>'数据-基础表'!AY6</f>
        <v>#DIV/0!</v>
      </c>
      <c r="E3" s="46">
        <f>'数据-基础表'!AZ5</f>
        <v>547.29</v>
      </c>
      <c r="F3" s="2886"/>
      <c r="G3" s="1307"/>
      <c r="H3" s="1157" t="s">
        <v>1791</v>
      </c>
      <c r="I3" s="964" t="e">
        <f>ROUND('数据-基础表'!B3/'数据-基础表'!A3,2)</f>
        <v>#DIV/0!</v>
      </c>
      <c r="J3" s="2886"/>
      <c r="K3" s="2886"/>
      <c r="L3" s="2886"/>
      <c r="M3" s="2886"/>
      <c r="N3" s="2888"/>
      <c r="O3" s="2886"/>
      <c r="P3" s="2886"/>
    </row>
    <row r="4" spans="1:16" x14ac:dyDescent="0.2">
      <c r="A4" s="3304"/>
      <c r="B4" s="3305"/>
      <c r="C4" s="3306"/>
      <c r="D4" s="1828" t="s">
        <v>1792</v>
      </c>
      <c r="E4" s="1829" t="s">
        <v>1793</v>
      </c>
      <c r="F4" s="2886"/>
      <c r="G4" s="2879" t="s">
        <v>1818</v>
      </c>
      <c r="H4" s="1157" t="s">
        <v>1798</v>
      </c>
      <c r="I4" s="964" t="e">
        <f>ROUND(SUMIF('数据-基础表'!I9:AS9,"地上",'数据-基础表'!I5:AS5)/'数据-基础表'!A3,2)</f>
        <v>#DIV/0!</v>
      </c>
      <c r="J4" s="3209"/>
      <c r="K4" s="3210" t="s">
        <v>3283</v>
      </c>
      <c r="L4" s="2886"/>
      <c r="M4" s="2886"/>
      <c r="N4" s="2888"/>
      <c r="O4" s="2886"/>
      <c r="P4" s="2886"/>
    </row>
    <row r="5" spans="1:16" x14ac:dyDescent="0.2">
      <c r="A5" s="47" t="s">
        <v>1794</v>
      </c>
      <c r="B5" s="3307" t="s">
        <v>1795</v>
      </c>
      <c r="C5" s="3307"/>
      <c r="D5" s="48" t="e">
        <f>ROUND($D$3*E5/$E$3,2)</f>
        <v>#DIV/0!</v>
      </c>
      <c r="E5" s="49">
        <f>SUMIF('数据-基础表'!$11:$11,"住宅",'数据-基础表'!$5:$5)</f>
        <v>0</v>
      </c>
      <c r="F5" s="2886"/>
      <c r="G5" s="1307"/>
      <c r="H5" s="1157" t="s">
        <v>1791</v>
      </c>
      <c r="I5" s="964" t="e">
        <f>ROUND(E31/D31,2)</f>
        <v>#DIV/0!</v>
      </c>
      <c r="J5" s="3209">
        <v>201</v>
      </c>
      <c r="K5" s="3209">
        <v>65.22</v>
      </c>
      <c r="L5" s="2886"/>
      <c r="M5" s="2886"/>
      <c r="N5" s="2886"/>
      <c r="O5" s="2886"/>
      <c r="P5" s="2886"/>
    </row>
    <row r="6" spans="1:16" ht="15" thickBot="1" x14ac:dyDescent="0.25">
      <c r="A6" s="1831"/>
      <c r="B6" s="3307" t="s">
        <v>1796</v>
      </c>
      <c r="C6" s="3307"/>
      <c r="D6" s="48" t="e">
        <f>ROUND($D$3*E6/$E$3,2)</f>
        <v>#DIV/0!</v>
      </c>
      <c r="E6" s="49">
        <f>E3-E5</f>
        <v>547.29</v>
      </c>
      <c r="F6" s="2886"/>
      <c r="G6" s="2880" t="s">
        <v>1797</v>
      </c>
      <c r="H6" s="1308" t="s">
        <v>1798</v>
      </c>
      <c r="I6" s="2881" t="e">
        <f>ROUND(F31/D31,2)</f>
        <v>#DIV/0!</v>
      </c>
      <c r="J6" s="3209">
        <v>202</v>
      </c>
      <c r="K6" s="3209">
        <v>108.25</v>
      </c>
      <c r="L6" s="2886"/>
      <c r="M6" s="2886"/>
      <c r="N6" s="2886"/>
      <c r="O6" s="2886"/>
      <c r="P6" s="2886"/>
    </row>
    <row r="7" spans="1:16" ht="15" thickBot="1" x14ac:dyDescent="0.25">
      <c r="A7" s="3299"/>
      <c r="B7" s="3300"/>
      <c r="C7" s="3301"/>
      <c r="D7" s="1828" t="s">
        <v>1792</v>
      </c>
      <c r="E7" s="1832" t="s">
        <v>1799</v>
      </c>
      <c r="F7" s="2886"/>
      <c r="G7" s="2882" t="s">
        <v>1800</v>
      </c>
      <c r="H7" s="2883"/>
      <c r="I7" s="2884" t="e">
        <f>I6</f>
        <v>#DIV/0!</v>
      </c>
      <c r="J7" s="3209">
        <v>203</v>
      </c>
      <c r="K7" s="3209">
        <v>11.01</v>
      </c>
      <c r="L7" s="2886"/>
      <c r="M7" s="2886"/>
      <c r="N7" s="2886"/>
      <c r="O7" s="2886"/>
      <c r="P7" s="2886"/>
    </row>
    <row r="8" spans="1:16" x14ac:dyDescent="0.2">
      <c r="A8" s="47" t="s">
        <v>1801</v>
      </c>
      <c r="B8" s="50" t="s">
        <v>1802</v>
      </c>
      <c r="C8" s="48" t="s">
        <v>1803</v>
      </c>
      <c r="D8" s="48" t="e">
        <f t="shared" ref="D8:D15" si="0">ROUND($D$3*E8/$E$3,2)</f>
        <v>#DIV/0!</v>
      </c>
      <c r="E8" s="51">
        <f>SUMIF('数据-基础表'!BB10:BK10,"地上",'数据-基础表'!BB5:BK5)</f>
        <v>547.29</v>
      </c>
      <c r="F8" s="2886"/>
      <c r="G8" s="2887"/>
      <c r="H8" s="2887"/>
      <c r="I8" s="2886"/>
      <c r="J8" s="3209">
        <v>204</v>
      </c>
      <c r="K8" s="3209">
        <v>239.74</v>
      </c>
      <c r="L8" s="2886"/>
      <c r="M8" s="2886"/>
      <c r="N8" s="2886"/>
      <c r="O8" s="2886"/>
      <c r="P8" s="2886"/>
    </row>
    <row r="9" spans="1:16" x14ac:dyDescent="0.2">
      <c r="A9" s="1833"/>
      <c r="B9" s="1834"/>
      <c r="C9" s="48" t="s">
        <v>1804</v>
      </c>
      <c r="D9" s="48" t="e">
        <f t="shared" si="0"/>
        <v>#DIV/0!</v>
      </c>
      <c r="E9" s="52">
        <v>0</v>
      </c>
      <c r="F9" s="2886"/>
      <c r="G9" s="2887"/>
      <c r="H9" s="2887"/>
      <c r="I9" s="2886"/>
      <c r="J9" s="3210" t="s">
        <v>3284</v>
      </c>
      <c r="K9" s="3209">
        <f>K5+K6+K7+K8</f>
        <v>424.22</v>
      </c>
      <c r="L9" s="2886"/>
      <c r="M9" s="2886"/>
      <c r="N9" s="2886"/>
      <c r="O9" s="2886"/>
      <c r="P9" s="2886"/>
    </row>
    <row r="10" spans="1:16" x14ac:dyDescent="0.2">
      <c r="A10" s="1833"/>
      <c r="B10" s="1834"/>
      <c r="C10" s="48" t="s">
        <v>1813</v>
      </c>
      <c r="D10" s="48" t="e">
        <f t="shared" si="0"/>
        <v>#DIV/0!</v>
      </c>
      <c r="E10" s="51">
        <f>SUMPRODUCT(('数据-基础表'!BB10:BK10="地下")*('数据-基础表'!BB11:BK11="商业")*('数据-基础表'!BB5:BK5))</f>
        <v>0</v>
      </c>
      <c r="F10" s="2886"/>
      <c r="G10" s="2887"/>
      <c r="H10" s="2887"/>
      <c r="I10" s="2886"/>
      <c r="J10" s="2886"/>
      <c r="K10" s="2886"/>
      <c r="L10" s="2886"/>
      <c r="M10" s="2886"/>
      <c r="N10" s="2886"/>
      <c r="O10" s="2886"/>
      <c r="P10" s="2886"/>
    </row>
    <row r="11" spans="1:16" x14ac:dyDescent="0.2">
      <c r="A11" s="1833"/>
      <c r="B11" s="1834"/>
      <c r="C11" s="48" t="s">
        <v>1805</v>
      </c>
      <c r="D11" s="48" t="e">
        <f t="shared" si="0"/>
        <v>#DIV/0!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x14ac:dyDescent="0.2">
      <c r="A12" s="1833"/>
      <c r="B12" s="1834"/>
      <c r="C12" s="48" t="s">
        <v>1806</v>
      </c>
      <c r="D12" s="48" t="e">
        <f t="shared" si="0"/>
        <v>#DIV/0!</v>
      </c>
      <c r="E12" s="51">
        <f>SUMPRODUCT(('数据-基础表'!BB10:BK10="地下")*('数据-基础表'!BB11:BK11="仓储")*('数据-基础表'!BB5:BK5))</f>
        <v>0</v>
      </c>
      <c r="F12" s="2886"/>
      <c r="G12" s="2887"/>
      <c r="H12" s="2887"/>
      <c r="I12" s="2886"/>
      <c r="J12" s="2886"/>
      <c r="K12" s="2886"/>
      <c r="L12" s="2886"/>
      <c r="M12" s="2886"/>
      <c r="N12" s="2886"/>
      <c r="O12" s="2886"/>
      <c r="P12" s="2886"/>
    </row>
    <row r="13" spans="1:16" x14ac:dyDescent="0.2">
      <c r="A13" s="1833"/>
      <c r="B13" s="1834"/>
      <c r="C13" s="48" t="s">
        <v>1807</v>
      </c>
      <c r="D13" s="48" t="e">
        <f t="shared" si="0"/>
        <v>#DIV/0!</v>
      </c>
      <c r="E13" s="51">
        <f>SUMPRODUCT(('数据-基础表'!BB10:BK10="地下")*('数据-基础表'!BB11:BK11="车库")*('数据-基础表'!BB5:BK5))</f>
        <v>0</v>
      </c>
      <c r="F13" s="2886"/>
      <c r="G13" s="2887"/>
      <c r="H13" s="2887"/>
      <c r="I13" s="2886"/>
      <c r="J13" s="2886"/>
      <c r="K13" s="2886"/>
      <c r="L13" s="2886"/>
      <c r="M13" s="2886"/>
      <c r="N13" s="2886"/>
      <c r="O13" s="2886"/>
      <c r="P13" s="2886"/>
    </row>
    <row r="14" spans="1:16" x14ac:dyDescent="0.2">
      <c r="A14" s="1833"/>
      <c r="B14" s="1834"/>
      <c r="C14" s="48" t="s">
        <v>1819</v>
      </c>
      <c r="D14" s="48" t="e">
        <f t="shared" si="0"/>
        <v>#DIV/0!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x14ac:dyDescent="0.25">
      <c r="A15" s="1833"/>
      <c r="B15" s="1834"/>
      <c r="C15" s="48" t="s">
        <v>1814</v>
      </c>
      <c r="D15" s="48" t="e">
        <f t="shared" si="0"/>
        <v>#DIV/0!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 thickBot="1" x14ac:dyDescent="0.25">
      <c r="A16" s="1831"/>
      <c r="B16" s="1834"/>
      <c r="C16" s="50" t="s">
        <v>1808</v>
      </c>
      <c r="D16" s="50" t="e">
        <f>SUM(D8:D15)</f>
        <v>#DIV/0!</v>
      </c>
      <c r="E16" s="53">
        <f>SUM(E8:E15)</f>
        <v>547.29</v>
      </c>
      <c r="F16" s="2886"/>
      <c r="G16" s="2887"/>
      <c r="H16" s="1835" t="s">
        <v>1820</v>
      </c>
      <c r="I16" s="1836"/>
      <c r="J16" s="1301"/>
      <c r="K16" s="3296" t="s">
        <v>1820</v>
      </c>
      <c r="L16" s="3297"/>
      <c r="M16" s="3297"/>
      <c r="N16" s="3297"/>
      <c r="O16" s="3297"/>
      <c r="P16" s="3298"/>
    </row>
    <row r="17" spans="1:19" x14ac:dyDescent="0.2">
      <c r="A17" s="1837" t="s">
        <v>1821</v>
      </c>
      <c r="B17" s="1838" t="s">
        <v>1822</v>
      </c>
      <c r="C17" s="1839" t="s">
        <v>1823</v>
      </c>
      <c r="D17" s="1840" t="s">
        <v>1811</v>
      </c>
      <c r="E17" s="1841" t="s">
        <v>1812</v>
      </c>
      <c r="F17" s="1842"/>
      <c r="G17" s="1843"/>
      <c r="H17" s="1844" t="s">
        <v>1824</v>
      </c>
      <c r="I17" s="1845" t="s">
        <v>1809</v>
      </c>
      <c r="J17" s="1301"/>
      <c r="K17" s="3293" t="s">
        <v>1825</v>
      </c>
      <c r="L17" s="3294"/>
      <c r="M17" s="3295"/>
      <c r="N17" s="3293" t="s">
        <v>1826</v>
      </c>
      <c r="O17" s="3294"/>
      <c r="P17" s="3295"/>
      <c r="R17" s="1827" t="s">
        <v>1827</v>
      </c>
      <c r="S17" s="60"/>
    </row>
    <row r="18" spans="1:19" x14ac:dyDescent="0.2">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x14ac:dyDescent="0.2">
      <c r="A19" s="1854"/>
      <c r="B19" s="50" t="s">
        <v>1810</v>
      </c>
      <c r="C19" s="3120" t="s">
        <v>3275</v>
      </c>
      <c r="D19" s="48" t="e">
        <f>ROUND($D$3*E19/$E$3,2)</f>
        <v>#DIV/0!</v>
      </c>
      <c r="E19" s="56">
        <f t="shared" ref="E19:E26" si="1">SUM(F19:G19)</f>
        <v>547.29</v>
      </c>
      <c r="F19" s="3026">
        <f>'数据-基础表'!I5</f>
        <v>547.29</v>
      </c>
      <c r="G19" s="3027"/>
      <c r="H19" s="679" t="e">
        <f>ROUND($D$3*I19/$E$3,2)</f>
        <v>#DIV/0!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t="e">
        <f t="shared" ref="R19:S26" si="5">D19+H19</f>
        <v>#DIV/0!</v>
      </c>
      <c r="S19" s="1158">
        <f t="shared" si="5"/>
        <v>547.29</v>
      </c>
    </row>
    <row r="20" spans="1:19" x14ac:dyDescent="0.2">
      <c r="A20" s="1858"/>
      <c r="B20" s="50" t="s">
        <v>1838</v>
      </c>
      <c r="C20" s="1855"/>
      <c r="D20" s="48" t="e">
        <f t="shared" ref="D20:D26" si="6">ROUND($D$3*E20/$E$3,2)</f>
        <v>#DIV/0!</v>
      </c>
      <c r="E20" s="56">
        <f t="shared" si="1"/>
        <v>0</v>
      </c>
      <c r="F20" s="3026"/>
      <c r="G20" s="3027"/>
      <c r="H20" s="679" t="e">
        <f t="shared" ref="H20:H26" si="7">ROUND($D$3*I20/$E$3,2)</f>
        <v>#DIV/0!</v>
      </c>
      <c r="I20" s="51">
        <f t="shared" si="2"/>
        <v>0</v>
      </c>
      <c r="J20" s="1301"/>
      <c r="K20" s="1300">
        <f t="shared" si="3"/>
        <v>0</v>
      </c>
      <c r="L20" s="1157">
        <f t="shared" si="4"/>
        <v>0</v>
      </c>
      <c r="M20" s="1312">
        <f t="shared" ref="M20:M26" si="8">K20+L20</f>
        <v>0</v>
      </c>
      <c r="N20" s="1856"/>
      <c r="O20" s="1857"/>
      <c r="P20" s="1312">
        <f t="shared" ref="P20:P26" si="9">N20+O20</f>
        <v>0</v>
      </c>
      <c r="R20" s="1157" t="e">
        <f t="shared" si="5"/>
        <v>#DIV/0!</v>
      </c>
      <c r="S20" s="1158">
        <f t="shared" si="5"/>
        <v>0</v>
      </c>
    </row>
    <row r="21" spans="1:19" x14ac:dyDescent="0.2">
      <c r="A21" s="1858"/>
      <c r="B21" s="50" t="s">
        <v>1838</v>
      </c>
      <c r="C21" s="1855"/>
      <c r="D21" s="48" t="e">
        <f t="shared" si="6"/>
        <v>#DIV/0!</v>
      </c>
      <c r="E21" s="56">
        <f t="shared" si="1"/>
        <v>0</v>
      </c>
      <c r="F21" s="3026"/>
      <c r="G21" s="3027"/>
      <c r="H21" s="679" t="e">
        <f t="shared" si="7"/>
        <v>#DIV/0!</v>
      </c>
      <c r="I21" s="51">
        <f t="shared" si="2"/>
        <v>0</v>
      </c>
      <c r="J21" s="1301"/>
      <c r="K21" s="1300">
        <f t="shared" si="3"/>
        <v>0</v>
      </c>
      <c r="L21" s="1157">
        <f t="shared" si="4"/>
        <v>0</v>
      </c>
      <c r="M21" s="1312">
        <f t="shared" si="8"/>
        <v>0</v>
      </c>
      <c r="N21" s="1856"/>
      <c r="O21" s="1857"/>
      <c r="P21" s="1312">
        <f t="shared" si="9"/>
        <v>0</v>
      </c>
      <c r="R21" s="1157" t="e">
        <f t="shared" si="5"/>
        <v>#DIV/0!</v>
      </c>
      <c r="S21" s="1158">
        <f t="shared" si="5"/>
        <v>0</v>
      </c>
    </row>
    <row r="22" spans="1:19" x14ac:dyDescent="0.2">
      <c r="A22" s="1858"/>
      <c r="B22" s="50" t="s">
        <v>1838</v>
      </c>
      <c r="C22" s="58"/>
      <c r="D22" s="48" t="e">
        <f t="shared" si="6"/>
        <v>#DIV/0!</v>
      </c>
      <c r="E22" s="56">
        <f t="shared" si="1"/>
        <v>0</v>
      </c>
      <c r="F22" s="3028"/>
      <c r="G22" s="3029"/>
      <c r="H22" s="679" t="e">
        <f t="shared" si="7"/>
        <v>#DIV/0!</v>
      </c>
      <c r="I22" s="51">
        <f t="shared" si="2"/>
        <v>0</v>
      </c>
      <c r="J22" s="1301"/>
      <c r="K22" s="1300">
        <f t="shared" si="3"/>
        <v>0</v>
      </c>
      <c r="L22" s="1157">
        <f t="shared" si="4"/>
        <v>0</v>
      </c>
      <c r="M22" s="1312">
        <f t="shared" si="8"/>
        <v>0</v>
      </c>
      <c r="N22" s="1856"/>
      <c r="O22" s="1857"/>
      <c r="P22" s="1312">
        <f t="shared" si="9"/>
        <v>0</v>
      </c>
      <c r="R22" s="1157" t="e">
        <f t="shared" si="5"/>
        <v>#DIV/0!</v>
      </c>
      <c r="S22" s="1158">
        <f t="shared" si="5"/>
        <v>0</v>
      </c>
    </row>
    <row r="23" spans="1:19" x14ac:dyDescent="0.2">
      <c r="A23" s="1858"/>
      <c r="B23" s="50" t="s">
        <v>1838</v>
      </c>
      <c r="C23" s="58"/>
      <c r="D23" s="48" t="e">
        <f>ROUND($D$3*E23/$E$3,2)</f>
        <v>#DIV/0!</v>
      </c>
      <c r="E23" s="56">
        <f>SUM(F23:G23)</f>
        <v>0</v>
      </c>
      <c r="F23" s="3028"/>
      <c r="G23" s="3029"/>
      <c r="H23" s="679" t="e">
        <f>ROUND($D$3*I23/$E$3,2)</f>
        <v>#DIV/0!</v>
      </c>
      <c r="I23" s="51">
        <f t="shared" si="2"/>
        <v>0</v>
      </c>
      <c r="J23" s="1301"/>
      <c r="K23" s="1300">
        <f t="shared" si="3"/>
        <v>0</v>
      </c>
      <c r="L23" s="1157">
        <f t="shared" si="4"/>
        <v>0</v>
      </c>
      <c r="M23" s="1312">
        <f t="shared" si="8"/>
        <v>0</v>
      </c>
      <c r="N23" s="1856"/>
      <c r="O23" s="1857"/>
      <c r="P23" s="1312">
        <f t="shared" si="9"/>
        <v>0</v>
      </c>
      <c r="R23" s="1157" t="e">
        <f t="shared" si="5"/>
        <v>#DIV/0!</v>
      </c>
      <c r="S23" s="1158">
        <f t="shared" si="5"/>
        <v>0</v>
      </c>
    </row>
    <row r="24" spans="1:19" x14ac:dyDescent="0.2">
      <c r="A24" s="1858"/>
      <c r="B24" s="50" t="s">
        <v>1838</v>
      </c>
      <c r="C24" s="58"/>
      <c r="D24" s="48" t="e">
        <f>ROUND($D$3*E24/$E$3,2)</f>
        <v>#DIV/0!</v>
      </c>
      <c r="E24" s="56">
        <f>SUM(F24:G24)</f>
        <v>0</v>
      </c>
      <c r="F24" s="3028"/>
      <c r="G24" s="3029"/>
      <c r="H24" s="679" t="e">
        <f>ROUND($D$3*I24/$E$3,2)</f>
        <v>#DIV/0!</v>
      </c>
      <c r="I24" s="51">
        <f t="shared" si="2"/>
        <v>0</v>
      </c>
      <c r="J24" s="1301"/>
      <c r="K24" s="1300">
        <f t="shared" si="3"/>
        <v>0</v>
      </c>
      <c r="L24" s="1157">
        <f t="shared" si="4"/>
        <v>0</v>
      </c>
      <c r="M24" s="1312">
        <f t="shared" si="8"/>
        <v>0</v>
      </c>
      <c r="N24" s="1856"/>
      <c r="O24" s="1857"/>
      <c r="P24" s="1312">
        <f t="shared" si="9"/>
        <v>0</v>
      </c>
      <c r="R24" s="1157" t="e">
        <f t="shared" si="5"/>
        <v>#DIV/0!</v>
      </c>
      <c r="S24" s="1158">
        <f t="shared" si="5"/>
        <v>0</v>
      </c>
    </row>
    <row r="25" spans="1:19" x14ac:dyDescent="0.2">
      <c r="A25" s="1858"/>
      <c r="B25" s="50" t="s">
        <v>1838</v>
      </c>
      <c r="C25" s="58"/>
      <c r="D25" s="48" t="e">
        <f t="shared" si="6"/>
        <v>#DIV/0!</v>
      </c>
      <c r="E25" s="56">
        <f t="shared" si="1"/>
        <v>0</v>
      </c>
      <c r="F25" s="3028"/>
      <c r="G25" s="3029"/>
      <c r="H25" s="47" t="e">
        <f t="shared" si="7"/>
        <v>#DIV/0!</v>
      </c>
      <c r="I25" s="51">
        <f t="shared" si="2"/>
        <v>0</v>
      </c>
      <c r="J25" s="1301"/>
      <c r="K25" s="1300">
        <f t="shared" si="3"/>
        <v>0</v>
      </c>
      <c r="L25" s="1157">
        <f t="shared" si="4"/>
        <v>0</v>
      </c>
      <c r="M25" s="1312">
        <f t="shared" si="8"/>
        <v>0</v>
      </c>
      <c r="N25" s="1856"/>
      <c r="O25" s="1857"/>
      <c r="P25" s="1312">
        <f t="shared" si="9"/>
        <v>0</v>
      </c>
      <c r="R25" s="1157" t="e">
        <f t="shared" si="5"/>
        <v>#DIV/0!</v>
      </c>
      <c r="S25" s="1158">
        <f t="shared" si="5"/>
        <v>0</v>
      </c>
    </row>
    <row r="26" spans="1:19" x14ac:dyDescent="0.2">
      <c r="A26" s="1858"/>
      <c r="B26" s="50" t="s">
        <v>1838</v>
      </c>
      <c r="C26" s="59"/>
      <c r="D26" s="48" t="e">
        <f t="shared" si="6"/>
        <v>#DIV/0!</v>
      </c>
      <c r="E26" s="56">
        <f t="shared" si="1"/>
        <v>0</v>
      </c>
      <c r="F26" s="3028"/>
      <c r="G26" s="3029"/>
      <c r="H26" s="47" t="e">
        <f t="shared" si="7"/>
        <v>#DIV/0!</v>
      </c>
      <c r="I26" s="51">
        <f t="shared" si="2"/>
        <v>0</v>
      </c>
      <c r="J26" s="1301"/>
      <c r="K26" s="1307">
        <f t="shared" si="3"/>
        <v>0</v>
      </c>
      <c r="L26" s="1308">
        <f t="shared" si="4"/>
        <v>0</v>
      </c>
      <c r="M26" s="63">
        <f t="shared" si="8"/>
        <v>0</v>
      </c>
      <c r="N26" s="1859"/>
      <c r="O26" s="1860"/>
      <c r="P26" s="63">
        <f t="shared" si="9"/>
        <v>0</v>
      </c>
      <c r="R26" s="1157" t="e">
        <f t="shared" si="5"/>
        <v>#DIV/0!</v>
      </c>
      <c r="S26" s="1158">
        <f t="shared" si="5"/>
        <v>0</v>
      </c>
    </row>
    <row r="27" spans="1:19" ht="15" thickBot="1" x14ac:dyDescent="0.25">
      <c r="A27" s="1858"/>
      <c r="B27" s="48"/>
      <c r="C27" s="1861" t="s">
        <v>1839</v>
      </c>
      <c r="D27" s="1302" t="e">
        <f>SUM(D19:D26)</f>
        <v>#DIV/0!</v>
      </c>
      <c r="E27" s="1303">
        <f>IF(SUM(E19:E26)='数据-基础表'!BA5,SUM(E19:E26),IF(F27="地上面积有误","面积有误","地下面积有误"))</f>
        <v>547.29</v>
      </c>
      <c r="F27" s="1302">
        <f>IF(SUM(F19:F26)=E8,SUM(F19:F26),"地上面积有误")</f>
        <v>547.29</v>
      </c>
      <c r="G27" s="1304">
        <f>SUM(G19:G26)</f>
        <v>0</v>
      </c>
      <c r="H27" s="1305" t="e">
        <f>SUM(H19:H26)</f>
        <v>#DIV/0!</v>
      </c>
      <c r="I27" s="1306">
        <f>SUM(I19:I26)</f>
        <v>0</v>
      </c>
      <c r="J27" s="1301"/>
      <c r="K27" s="1309">
        <f>SUM(K19:K26)</f>
        <v>0</v>
      </c>
      <c r="L27" s="1310">
        <f>SUM(L19:L26)</f>
        <v>0</v>
      </c>
      <c r="M27" s="1313">
        <f>SUM(M19:M26)</f>
        <v>0</v>
      </c>
      <c r="N27" s="1309">
        <f t="shared" ref="N27:O27" si="10">SUM(N19:N26)</f>
        <v>0</v>
      </c>
      <c r="O27" s="1310">
        <f t="shared" si="10"/>
        <v>0</v>
      </c>
      <c r="P27" s="1311">
        <f>SUM(P19:P26)</f>
        <v>0</v>
      </c>
      <c r="R27" s="1159" t="e">
        <f>IF(SUM(R19:R26)=$D$3,SUM(R19:R26),SUM(R19:R26)&amp;"误差"&amp;ROUND(SUM(R19:R26)-$D$3,2))</f>
        <v>#DIV/0!</v>
      </c>
      <c r="S27" s="1157">
        <f>IF(SUM(S19:S26)=$E$3,SUM(S19:S26),SUM(S19:S26)&amp;"误差"&amp;ROUND(SUM(S19:S26)-E3,2))</f>
        <v>547.29</v>
      </c>
    </row>
    <row r="28" spans="1:19" x14ac:dyDescent="0.2">
      <c r="A28" s="1858"/>
      <c r="B28" s="50" t="s">
        <v>1840</v>
      </c>
      <c r="C28" s="1169" t="s">
        <v>1841</v>
      </c>
      <c r="D28" s="48" t="e">
        <f>ROUND($D$3*E28/$E$3,2)</f>
        <v>#DIV/0!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x14ac:dyDescent="0.2">
      <c r="A29" s="1858"/>
      <c r="B29" s="50" t="s">
        <v>1840</v>
      </c>
      <c r="C29" s="1862" t="s">
        <v>1842</v>
      </c>
      <c r="D29" s="48" t="e">
        <f>ROUND($D$3*E29/$E$3,2)</f>
        <v>#DIV/0!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x14ac:dyDescent="0.2">
      <c r="A30" s="1858"/>
      <c r="B30" s="50"/>
      <c r="C30" s="1863" t="s">
        <v>1839</v>
      </c>
      <c r="D30" s="1302" t="e">
        <f>SUM(D28:D29)</f>
        <v>#DIV/0!</v>
      </c>
      <c r="E30" s="1302">
        <f>SUM(E28:E29)</f>
        <v>0</v>
      </c>
      <c r="F30" s="1302">
        <f>SUM(F28:F29)</f>
        <v>0</v>
      </c>
      <c r="G30" s="1304">
        <f>SUM(G28:G29)</f>
        <v>0</v>
      </c>
      <c r="H30" s="2886"/>
      <c r="I30" s="2886"/>
      <c r="J30" s="2886"/>
      <c r="K30" s="2886"/>
      <c r="L30" s="2886"/>
      <c r="M30" s="2886"/>
      <c r="N30" s="2886"/>
      <c r="O30" s="2886"/>
      <c r="P30" s="2886"/>
    </row>
    <row r="31" spans="1:19" ht="15" thickBot="1" x14ac:dyDescent="0.25">
      <c r="A31" s="1864"/>
      <c r="B31" s="1865"/>
      <c r="C31" s="944" t="s">
        <v>1843</v>
      </c>
      <c r="D31" s="685" t="e">
        <f>D27+D30</f>
        <v>#DIV/0!</v>
      </c>
      <c r="E31" s="685">
        <f>E27+E30</f>
        <v>547.29</v>
      </c>
      <c r="F31" s="686">
        <f>F27+F30</f>
        <v>547.29</v>
      </c>
      <c r="G31" s="687">
        <f>G27+G30</f>
        <v>0</v>
      </c>
      <c r="H31" s="2886"/>
      <c r="I31" s="2886"/>
      <c r="J31" s="2886"/>
      <c r="K31" s="2886"/>
      <c r="L31" s="2886"/>
      <c r="M31" s="2886"/>
      <c r="N31" s="2886"/>
      <c r="O31" s="2886"/>
      <c r="P31" s="2886"/>
    </row>
    <row r="32" spans="1:19" x14ac:dyDescent="0.2">
      <c r="A32" s="1830"/>
      <c r="B32" s="1830" t="s">
        <v>1844</v>
      </c>
      <c r="C32" s="1830"/>
      <c r="D32" s="1830"/>
      <c r="E32" s="1184">
        <f>SUMIF(C19:C26,"*住宅*",E19:E26)</f>
        <v>0</v>
      </c>
      <c r="F32" s="1830"/>
      <c r="G32" s="1830"/>
      <c r="H32" s="2886"/>
      <c r="I32" s="2886"/>
      <c r="J32" s="2886"/>
      <c r="K32" s="2886"/>
      <c r="L32" s="2886"/>
      <c r="M32" s="2886"/>
      <c r="N32" s="2886"/>
      <c r="O32" s="2886"/>
      <c r="P32" s="2886"/>
    </row>
    <row r="33" spans="4:4" x14ac:dyDescent="0.2">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80" zoomScaleNormal="80" zoomScaleSheetLayoutView="90" workbookViewId="0">
      <pane xSplit="3" ySplit="5" topLeftCell="F24" activePane="bottomRight" state="frozen"/>
      <selection activeCell="C50" sqref="C50"/>
      <selection pane="topRight" activeCell="C50" sqref="C50"/>
      <selection pane="bottomLeft" activeCell="C50" sqref="C50"/>
      <selection pane="bottomRight" activeCell="J11" sqref="J11"/>
    </sheetView>
  </sheetViews>
  <sheetFormatPr baseColWidth="10" defaultColWidth="13.6640625" defaultRowHeight="13" x14ac:dyDescent="0.2"/>
  <cols>
    <col min="1" max="1" width="20.83203125" style="1933" customWidth="1"/>
    <col min="2" max="2" width="12" style="1870" customWidth="1"/>
    <col min="3" max="3" width="12.6640625" style="1870" customWidth="1"/>
    <col min="4" max="4" width="9.1640625" style="1934" customWidth="1"/>
    <col min="5" max="5" width="15" style="1870" bestFit="1" customWidth="1"/>
    <col min="6" max="10" width="8.83203125" style="1870" customWidth="1"/>
    <col min="11" max="12" width="12.33203125" style="1788" customWidth="1"/>
    <col min="13" max="13" width="8.6640625" style="1870" customWidth="1"/>
    <col min="14" max="14" width="11.83203125" style="1870" customWidth="1"/>
    <col min="15" max="15" width="8.5" style="1870" customWidth="1"/>
    <col min="16" max="17" width="10.83203125" style="1870" customWidth="1"/>
    <col min="18" max="19" width="12.5" style="1870" customWidth="1"/>
    <col min="20" max="20" width="12.1640625" style="1870" customWidth="1"/>
    <col min="21" max="21" width="7.5" style="1870" customWidth="1"/>
    <col min="22" max="22" width="6.33203125" style="1870" customWidth="1"/>
    <col min="23" max="30" width="6.6640625" style="1870" customWidth="1"/>
    <col min="31" max="31" width="8" style="1870" customWidth="1"/>
    <col min="32" max="33" width="7.1640625" style="1870" customWidth="1"/>
    <col min="34" max="34" width="13.5" style="1870" customWidth="1"/>
    <col min="35" max="39" width="8" style="1870" customWidth="1"/>
    <col min="40" max="40" width="13.6640625" style="1869"/>
    <col min="41" max="41" width="11.6640625" style="1869" customWidth="1"/>
    <col min="42" max="42" width="9.6640625" style="1869" customWidth="1"/>
    <col min="43" max="67" width="13.6640625" style="1869"/>
    <col min="68" max="16384" width="13.6640625" style="1870"/>
  </cols>
  <sheetData>
    <row r="1" spans="1:67" ht="18" thickBot="1" x14ac:dyDescent="0.25">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6" customFormat="1" ht="15" thickBot="1" x14ac:dyDescent="0.25">
      <c r="A2" s="1871" t="s">
        <v>1846</v>
      </c>
      <c r="B2" s="1176">
        <f>项目基本情况!D3</f>
        <v>44606</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2"/>
      <c r="AO2" s="2902"/>
      <c r="AP2" s="2902"/>
      <c r="AQ2" s="2902"/>
      <c r="AR2" s="2902"/>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x14ac:dyDescent="0.25">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2"/>
      <c r="AO3" s="2902"/>
      <c r="AP3" s="2902"/>
      <c r="AQ3" s="2902"/>
      <c r="AR3" s="2902"/>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x14ac:dyDescent="0.25">
      <c r="A4" s="64" t="s">
        <v>1847</v>
      </c>
      <c r="B4" s="1876"/>
      <c r="C4" s="1877"/>
      <c r="D4" s="1878"/>
      <c r="E4" s="1877" t="s">
        <v>1848</v>
      </c>
      <c r="F4" s="1877"/>
      <c r="G4" s="1877"/>
      <c r="H4" s="1877"/>
      <c r="I4" s="1877"/>
      <c r="J4" s="1879"/>
      <c r="K4" s="1880"/>
      <c r="L4" s="1881"/>
      <c r="M4" s="1877"/>
      <c r="N4" s="1877" t="s">
        <v>1849</v>
      </c>
      <c r="O4" s="1877"/>
      <c r="P4" s="1877"/>
      <c r="Q4" s="1877"/>
      <c r="R4" s="1877"/>
      <c r="S4" s="1879"/>
      <c r="T4" s="2885"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2"/>
      <c r="AO4" s="2902"/>
      <c r="AP4" s="2902"/>
      <c r="AQ4" s="2902"/>
      <c r="AR4" s="2902"/>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x14ac:dyDescent="0.2">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3201</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 x14ac:dyDescent="0.2">
      <c r="A6" s="1900" t="str">
        <f>'数据-汇总表'!C19</f>
        <v>地上二层商业</v>
      </c>
      <c r="B6" s="1901" t="str">
        <f>IF(A6=0,"","经营性")</f>
        <v>经营性</v>
      </c>
      <c r="C6" s="1902" t="s">
        <v>27</v>
      </c>
      <c r="D6" s="967">
        <f>SUMIF(项目基本情况!D$12:I$12,C6,项目基本情况!D$14:I$14)</f>
        <v>50</v>
      </c>
      <c r="E6" s="966">
        <f>IF(B6="","",SUMIF(项目基本情况!D$12:I$12,C6,项目基本情况!D$13:I$13))</f>
        <v>54960</v>
      </c>
      <c r="F6" s="68">
        <f>SUMIF(项目基本情况!D$12:I$12,C6,项目基本情况!D$15:I$15)</f>
        <v>28.36</v>
      </c>
      <c r="G6" s="69">
        <f>IF(ISERROR(ROUND(POWER(1+H6,D6-F6)*(POWER(1+H6,F6)-1)/(POWER(1+H6,D6)-1),3)),0,ROUND(POWER(1+H6,D6-F6)*(POWER(1+H6,F6)-1)/(POWER(1+H6,D6)-1),3))</f>
        <v>0.78100000000000003</v>
      </c>
      <c r="H6" s="741">
        <v>0.04</v>
      </c>
      <c r="I6" s="741">
        <v>0.04</v>
      </c>
      <c r="J6" s="70">
        <v>6.5000000000000002E-2</v>
      </c>
      <c r="K6" s="1161">
        <f>SUMIF('数据-汇总表'!C$19:C$33,A6,'数据-汇总表'!E$19:E$33)</f>
        <v>547.29</v>
      </c>
      <c r="L6" s="742">
        <v>5000</v>
      </c>
      <c r="M6" s="71">
        <f t="shared" ref="M6:M14" si="0">ROUND(K6*L6/10000,0)</f>
        <v>274</v>
      </c>
      <c r="N6" s="740">
        <v>0.8</v>
      </c>
      <c r="O6" s="71" t="str">
        <f>IF($N$5="成新度","——",ROUND(M6*N6,0))</f>
        <v>——</v>
      </c>
      <c r="P6" s="72" t="str">
        <f>IF($N$5="成新度","——",M6-O6)</f>
        <v>——</v>
      </c>
      <c r="Q6" s="743">
        <v>0.25</v>
      </c>
      <c r="R6" s="73" t="e">
        <f ca="1">SUMIF('数据-汇总表'!C$19:C$33,A6,'数据-汇总表'!R$19:R$27)</f>
        <v>#DIV/0!</v>
      </c>
      <c r="S6" s="54">
        <f>IF('数据-汇总表'!$I$17="按面积比例",SUMIF('数据-汇总表'!C$19:C$33,A6,'数据-汇总表'!K$19:K$33),SUMIF('数据-汇总表'!C$19:C$33,A6,'数据-汇总表'!N$19:N$33))</f>
        <v>0</v>
      </c>
      <c r="T6" s="1334">
        <f>ROUND($L$14*S6/10000,0)</f>
        <v>0</v>
      </c>
      <c r="U6" s="74"/>
      <c r="V6" s="75">
        <v>0.02</v>
      </c>
      <c r="W6" s="75">
        <v>0.05</v>
      </c>
      <c r="X6" s="1171"/>
      <c r="Y6" s="76">
        <f>N6</f>
        <v>0.8</v>
      </c>
      <c r="Z6" s="77"/>
      <c r="AA6" s="70"/>
      <c r="AB6" s="70"/>
      <c r="AC6" s="1171"/>
      <c r="AD6" s="78">
        <f>Y6</f>
        <v>0.8</v>
      </c>
      <c r="AE6" s="1172">
        <f ca="1">IF(AN6="",0,SUMIF(INDIRECT("'"&amp;AN6&amp;"'"&amp;"!E:E"),$AE$5,INDIRECT("'"&amp;AN6&amp;"'"&amp;"!F:F")))</f>
        <v>0</v>
      </c>
      <c r="AF6" s="1534"/>
      <c r="AG6" s="143">
        <f>IF(AF6="",0,AE6-AF6)</f>
        <v>0</v>
      </c>
      <c r="AH6" s="79">
        <f>'数据-汇总表'!F19</f>
        <v>547.29</v>
      </c>
      <c r="AI6" s="81">
        <v>365</v>
      </c>
      <c r="AJ6" s="82"/>
      <c r="AK6" s="83">
        <v>0.02</v>
      </c>
      <c r="AL6" s="84">
        <v>2E-3</v>
      </c>
      <c r="AM6" s="85">
        <v>0.02</v>
      </c>
      <c r="AN6" s="1903" t="s">
        <v>3254</v>
      </c>
      <c r="AO6" s="55">
        <f ca="1">SUMIF(INDIRECT("'"&amp;AN6&amp;"'"&amp;"!A:A"),"总价",INDIRECT("'"&amp;AN6&amp;"'"&amp;"!B:B"))</f>
        <v>0</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 x14ac:dyDescent="0.2">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 x14ac:dyDescent="0.2">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 x14ac:dyDescent="0.2">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 x14ac:dyDescent="0.2">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 x14ac:dyDescent="0.2">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 x14ac:dyDescent="0.2">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 x14ac:dyDescent="0.2">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 x14ac:dyDescent="0.2">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0"/>
      <c r="AO14" s="2902"/>
      <c r="AP14" s="2902"/>
      <c r="AQ14" s="2902"/>
      <c r="AR14" s="2902"/>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8" x14ac:dyDescent="0.2">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0"/>
      <c r="AO15" s="2902"/>
      <c r="AP15" s="2902"/>
      <c r="AQ15" s="2902"/>
      <c r="AR15" s="2902"/>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 thickBot="1" x14ac:dyDescent="0.25">
      <c r="A16" s="1907" t="s">
        <v>1894</v>
      </c>
      <c r="B16" s="93"/>
      <c r="C16" s="942"/>
      <c r="D16" s="1908"/>
      <c r="E16" s="93"/>
      <c r="F16" s="93"/>
      <c r="G16" s="94">
        <f>ROUND(SUMPRODUCT(G6:G13,K6:K13)/SUMPRODUCT((G6:G13&gt;0)*(K6:K13)),3)</f>
        <v>0.78100000000000003</v>
      </c>
      <c r="H16" s="95">
        <f>ROUND(SUMPRODUCT(H6:H13,K6:K13)/SUMPRODUCT((H6:H13&gt;0)*(K6:K13)),3)</f>
        <v>0.04</v>
      </c>
      <c r="I16" s="96"/>
      <c r="J16" s="96"/>
      <c r="K16" s="97">
        <f>SUM(K6:K15)</f>
        <v>547.29</v>
      </c>
      <c r="L16" s="98">
        <f>ROUND(M16*10000/SUM(K6:K14),0)</f>
        <v>5006</v>
      </c>
      <c r="M16" s="98">
        <f>SUM(M6:M14)</f>
        <v>274</v>
      </c>
      <c r="N16" s="99">
        <f>ROUND(SUMPRODUCT(M6:M14,N6:N14)/M16,3)</f>
        <v>0.8</v>
      </c>
      <c r="O16" s="98">
        <f>SUM(O6:O14)</f>
        <v>0</v>
      </c>
      <c r="P16" s="98">
        <f>SUM(P6:P14)</f>
        <v>0</v>
      </c>
      <c r="Q16" s="100">
        <f>ROUND(SUMPRODUCT(Q6:Q13,K6:K13)/SUMPRODUCT((Q6:Q13&gt;0)*(K6:K13)),2)</f>
        <v>0.25</v>
      </c>
      <c r="R16" s="1165" t="e">
        <f ca="1">SUM(R6:R13)</f>
        <v>#DIV/0!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4" thickBot="1" x14ac:dyDescent="0.25">
      <c r="A17" s="1909"/>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x14ac:dyDescent="0.25">
      <c r="A18" s="64" t="s">
        <v>1895</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 x14ac:dyDescent="0.2">
      <c r="A19" s="1910" t="s">
        <v>1896</v>
      </c>
      <c r="B19" s="108">
        <v>0</v>
      </c>
      <c r="C19" s="3030" t="s">
        <v>3049</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 x14ac:dyDescent="0.2">
      <c r="A20" s="1911" t="s">
        <v>1897</v>
      </c>
      <c r="B20" s="109">
        <v>2</v>
      </c>
      <c r="C20" s="3031" t="s">
        <v>3047</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 x14ac:dyDescent="0.2">
      <c r="A21" s="1912" t="s">
        <v>1898</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 x14ac:dyDescent="0.2">
      <c r="A22" s="1911" t="s">
        <v>1899</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 x14ac:dyDescent="0.2">
      <c r="A23" s="1912" t="s">
        <v>1900</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x14ac:dyDescent="0.25">
      <c r="A24" s="1913" t="s">
        <v>1901</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x14ac:dyDescent="0.25">
      <c r="A25" s="1744"/>
      <c r="B25" s="1875"/>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x14ac:dyDescent="0.25">
      <c r="A26" s="1871" t="s">
        <v>1902</v>
      </c>
      <c r="B26" s="1914" t="s">
        <v>1903</v>
      </c>
      <c r="C26" s="2906" t="s">
        <v>1904</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6" customFormat="1" ht="28" x14ac:dyDescent="0.2">
      <c r="A27" s="1915" t="s">
        <v>1905</v>
      </c>
      <c r="B27" s="112">
        <v>160</v>
      </c>
      <c r="C27" s="3032" t="s">
        <v>3051</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8" x14ac:dyDescent="0.2">
      <c r="A28" s="1917" t="s">
        <v>1906</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9" thickBot="1" x14ac:dyDescent="0.25">
      <c r="A29" s="1918" t="s">
        <v>1907</v>
      </c>
      <c r="B29" s="117">
        <v>200</v>
      </c>
      <c r="C29" s="3033" t="s">
        <v>3037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8" x14ac:dyDescent="0.2">
      <c r="A30" s="1919" t="s">
        <v>1908</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8" x14ac:dyDescent="0.2">
      <c r="A31" s="1917" t="s">
        <v>1909</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9" thickBot="1" x14ac:dyDescent="0.25">
      <c r="A32" s="1920" t="s">
        <v>1910</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 x14ac:dyDescent="0.2">
      <c r="A33" s="1915" t="s">
        <v>1911</v>
      </c>
      <c r="B33" s="682">
        <v>0.03</v>
      </c>
      <c r="C33" s="3034" t="s">
        <v>3038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 x14ac:dyDescent="0.2">
      <c r="A34" s="1917" t="s">
        <v>1912</v>
      </c>
      <c r="B34" s="118">
        <v>0.1</v>
      </c>
      <c r="C34" s="3034" t="s">
        <v>3039</v>
      </c>
      <c r="D34" s="2913" t="s">
        <v>3048</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 x14ac:dyDescent="0.2">
      <c r="A35" s="1917" t="s">
        <v>1913</v>
      </c>
      <c r="B35" s="115">
        <v>200</v>
      </c>
      <c r="C35" s="3034" t="s">
        <v>3040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x14ac:dyDescent="0.25">
      <c r="A36" s="1918" t="s">
        <v>1914</v>
      </c>
      <c r="B36" s="119">
        <v>1.4999999999999999E-2</v>
      </c>
      <c r="C36" s="3034" t="s">
        <v>3041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 x14ac:dyDescent="0.2">
      <c r="A37" s="1919" t="s">
        <v>1915</v>
      </c>
      <c r="B37" s="120">
        <v>0.02</v>
      </c>
      <c r="C37" s="3034" t="s">
        <v>3042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 x14ac:dyDescent="0.2">
      <c r="A38" s="1917" t="s">
        <v>1916</v>
      </c>
      <c r="B38" s="118">
        <v>0.02</v>
      </c>
      <c r="C38" s="3034" t="s">
        <v>3042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 x14ac:dyDescent="0.2">
      <c r="A39" s="1920" t="s">
        <v>1917</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x14ac:dyDescent="0.25">
      <c r="A40" s="1920" t="s">
        <v>1918</v>
      </c>
      <c r="B40" s="1210">
        <f ca="1">存贷款利率!G1</f>
        <v>4.7500000000000001E-2</v>
      </c>
      <c r="C40" s="3034" t="s">
        <v>3043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 x14ac:dyDescent="0.2">
      <c r="A41" s="1915"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 x14ac:dyDescent="0.2">
      <c r="A42" s="1921"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 x14ac:dyDescent="0.2">
      <c r="A43" s="1921"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 x14ac:dyDescent="0.2">
      <c r="A44" s="1922" t="s">
        <v>1922</v>
      </c>
      <c r="B44" s="124">
        <v>7.0000000000000007E-2</v>
      </c>
      <c r="C44" s="3034" t="s">
        <v>3052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 x14ac:dyDescent="0.2">
      <c r="A45" s="1922" t="s">
        <v>1923</v>
      </c>
      <c r="B45" s="122">
        <v>0.03</v>
      </c>
      <c r="C45" s="3033" t="s">
        <v>3044</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 x14ac:dyDescent="0.2">
      <c r="A46" s="1922" t="s">
        <v>1924</v>
      </c>
      <c r="B46" s="122">
        <v>0.02</v>
      </c>
      <c r="C46" s="3033" t="s">
        <v>3045</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x14ac:dyDescent="0.25">
      <c r="A47" s="1923" t="s">
        <v>1925</v>
      </c>
      <c r="B47" s="125"/>
      <c r="C47" s="3036" t="s">
        <v>3053</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 x14ac:dyDescent="0.2">
      <c r="A48" s="1924" t="s">
        <v>1926</v>
      </c>
      <c r="B48" s="126">
        <v>0.03</v>
      </c>
      <c r="C48" s="3033" t="s">
        <v>3044</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x14ac:dyDescent="0.25">
      <c r="A49" s="1920" t="s">
        <v>1927</v>
      </c>
      <c r="B49" s="122">
        <v>5.0000000000000001E-4</v>
      </c>
      <c r="C49" s="3033" t="s">
        <v>3046</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 x14ac:dyDescent="0.2">
      <c r="A50" s="1925"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x14ac:dyDescent="0.25">
      <c r="A51" s="1918"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 x14ac:dyDescent="0.2">
      <c r="A52" s="1925" t="s">
        <v>1930</v>
      </c>
      <c r="B52" s="129">
        <f>SUMIF(A54:A63,B53,B54:B63)</f>
        <v>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8" x14ac:dyDescent="0.2">
      <c r="A53" s="1917" t="s">
        <v>1931</v>
      </c>
      <c r="B53" s="1926" t="s">
        <v>137</v>
      </c>
      <c r="C53" s="2888" t="s">
        <v>1932</v>
      </c>
      <c r="D53" s="3035" t="s">
        <v>3050</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 x14ac:dyDescent="0.2">
      <c r="A54" s="1927" t="s">
        <v>1933</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 x14ac:dyDescent="0.2">
      <c r="A55" s="1927" t="s">
        <v>1934</v>
      </c>
      <c r="B55" s="80">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 x14ac:dyDescent="0.2">
      <c r="A56" s="1927" t="s">
        <v>1935</v>
      </c>
      <c r="B56" s="80">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 x14ac:dyDescent="0.2">
      <c r="A57" s="1927" t="s">
        <v>1936</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 x14ac:dyDescent="0.2">
      <c r="A58" s="1927"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 x14ac:dyDescent="0.2">
      <c r="A59" s="1927"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 x14ac:dyDescent="0.2">
      <c r="A60" s="1927"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 x14ac:dyDescent="0.2">
      <c r="A61" s="1927"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 x14ac:dyDescent="0.2">
      <c r="A62" s="1927"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x14ac:dyDescent="0.25">
      <c r="A63" s="1928"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x14ac:dyDescent="0.2">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x14ac:dyDescent="0.2">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x14ac:dyDescent="0.2">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x14ac:dyDescent="0.2">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x14ac:dyDescent="0.2">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x14ac:dyDescent="0.2">
      <c r="A69" s="1929"/>
      <c r="D69" s="1930"/>
      <c r="K69" s="737"/>
      <c r="L69" s="737"/>
    </row>
    <row r="70" spans="1:44" s="901" customFormat="1" x14ac:dyDescent="0.2">
      <c r="A70" s="1929"/>
      <c r="D70" s="1930"/>
      <c r="K70" s="737"/>
      <c r="L70" s="737"/>
    </row>
    <row r="71" spans="1:44" s="901" customFormat="1" x14ac:dyDescent="0.2">
      <c r="A71" s="1929"/>
      <c r="D71" s="1930"/>
      <c r="K71" s="737"/>
      <c r="L71" s="737"/>
    </row>
    <row r="72" spans="1:44" s="901" customFormat="1" x14ac:dyDescent="0.2">
      <c r="A72" s="1929"/>
      <c r="D72" s="1930"/>
      <c r="K72" s="737"/>
      <c r="L72" s="737"/>
    </row>
    <row r="73" spans="1:44" s="901" customFormat="1" x14ac:dyDescent="0.2">
      <c r="A73" s="1929"/>
      <c r="D73" s="1930"/>
      <c r="K73" s="737"/>
      <c r="L73" s="737"/>
    </row>
    <row r="74" spans="1:44" s="901" customFormat="1" x14ac:dyDescent="0.2">
      <c r="A74" s="1929"/>
      <c r="D74" s="1930"/>
      <c r="K74" s="737"/>
      <c r="L74" s="737"/>
    </row>
    <row r="75" spans="1:44" s="901" customFormat="1" x14ac:dyDescent="0.2">
      <c r="A75" s="1929"/>
      <c r="D75" s="1930"/>
      <c r="K75" s="737"/>
      <c r="L75" s="737"/>
    </row>
    <row r="76" spans="1:44" s="901" customFormat="1" x14ac:dyDescent="0.2">
      <c r="A76" s="1929"/>
      <c r="D76" s="1930"/>
      <c r="K76" s="737"/>
      <c r="L76" s="737"/>
    </row>
    <row r="77" spans="1:44" s="901" customFormat="1" x14ac:dyDescent="0.2">
      <c r="A77" s="1929"/>
      <c r="D77" s="1930"/>
      <c r="K77" s="737"/>
      <c r="L77" s="737"/>
    </row>
    <row r="78" spans="1:44" s="901" customFormat="1" x14ac:dyDescent="0.2">
      <c r="A78" s="1929"/>
      <c r="D78" s="1930"/>
      <c r="K78" s="737"/>
      <c r="L78" s="737"/>
    </row>
    <row r="79" spans="1:44" s="901" customFormat="1" x14ac:dyDescent="0.2">
      <c r="A79" s="1929"/>
      <c r="D79" s="1930"/>
      <c r="K79" s="737"/>
      <c r="L79" s="737"/>
    </row>
    <row r="80" spans="1:44" s="901" customFormat="1" x14ac:dyDescent="0.2">
      <c r="A80" s="1929"/>
      <c r="D80" s="1930"/>
      <c r="K80" s="737"/>
      <c r="L80" s="737"/>
    </row>
    <row r="81" spans="1:12" s="901" customFormat="1" x14ac:dyDescent="0.2">
      <c r="A81" s="1929"/>
      <c r="D81" s="1930"/>
      <c r="K81" s="737"/>
      <c r="L81" s="737"/>
    </row>
    <row r="82" spans="1:12" s="901" customFormat="1" x14ac:dyDescent="0.2">
      <c r="A82" s="1929"/>
      <c r="D82" s="1930"/>
      <c r="K82" s="737"/>
      <c r="L82" s="737"/>
    </row>
    <row r="83" spans="1:12" s="901" customFormat="1" x14ac:dyDescent="0.2">
      <c r="A83" s="1929"/>
      <c r="D83" s="1930"/>
      <c r="K83" s="737"/>
      <c r="L83" s="737"/>
    </row>
    <row r="84" spans="1:12" s="901" customFormat="1" x14ac:dyDescent="0.2">
      <c r="A84" s="1929"/>
      <c r="D84" s="1930"/>
      <c r="K84" s="737"/>
      <c r="L84" s="737"/>
    </row>
    <row r="85" spans="1:12" s="901" customFormat="1" x14ac:dyDescent="0.2">
      <c r="A85" s="1929"/>
      <c r="D85" s="1930"/>
      <c r="K85" s="737"/>
      <c r="L85" s="737"/>
    </row>
    <row r="86" spans="1:12" s="901" customFormat="1" x14ac:dyDescent="0.2">
      <c r="A86" s="1929"/>
      <c r="D86" s="1930"/>
      <c r="K86" s="737"/>
      <c r="L86" s="737"/>
    </row>
    <row r="87" spans="1:12" s="901" customFormat="1" x14ac:dyDescent="0.2">
      <c r="A87" s="1929"/>
      <c r="D87" s="1930"/>
      <c r="K87" s="737"/>
      <c r="L87" s="737"/>
    </row>
    <row r="88" spans="1:12" s="901" customFormat="1" x14ac:dyDescent="0.2">
      <c r="A88" s="1929"/>
      <c r="D88" s="1930"/>
      <c r="K88" s="737"/>
      <c r="L88" s="737"/>
    </row>
    <row r="89" spans="1:12" s="901" customFormat="1" x14ac:dyDescent="0.2">
      <c r="A89" s="1929"/>
      <c r="D89" s="1930"/>
      <c r="K89" s="737"/>
      <c r="L89" s="737"/>
    </row>
    <row r="90" spans="1:12" s="901" customFormat="1" x14ac:dyDescent="0.2">
      <c r="A90" s="1929"/>
      <c r="D90" s="1930"/>
      <c r="K90" s="737"/>
      <c r="L90" s="737"/>
    </row>
    <row r="91" spans="1:12" s="901" customFormat="1" x14ac:dyDescent="0.2">
      <c r="A91" s="1929"/>
      <c r="D91" s="1930"/>
      <c r="K91" s="737"/>
      <c r="L91" s="737"/>
    </row>
    <row r="92" spans="1:12" s="901" customFormat="1" x14ac:dyDescent="0.2">
      <c r="A92" s="1929"/>
      <c r="D92" s="1930"/>
      <c r="K92" s="737"/>
      <c r="L92" s="737"/>
    </row>
    <row r="93" spans="1:12" s="901" customFormat="1" x14ac:dyDescent="0.2">
      <c r="A93" s="1929"/>
      <c r="D93" s="1930"/>
      <c r="K93" s="737"/>
      <c r="L93" s="737"/>
    </row>
    <row r="94" spans="1:12" s="901" customFormat="1" x14ac:dyDescent="0.2">
      <c r="A94" s="1929"/>
      <c r="D94" s="1930"/>
      <c r="K94" s="737"/>
      <c r="L94" s="737"/>
    </row>
    <row r="95" spans="1:12" s="901" customFormat="1" x14ac:dyDescent="0.2">
      <c r="A95" s="1929"/>
      <c r="D95" s="1930"/>
      <c r="K95" s="737"/>
      <c r="L95" s="737"/>
    </row>
    <row r="96" spans="1:12" s="901" customFormat="1" x14ac:dyDescent="0.2">
      <c r="A96" s="1929"/>
      <c r="D96" s="1930"/>
      <c r="K96" s="737"/>
      <c r="L96" s="737"/>
    </row>
    <row r="97" spans="1:12" s="901" customFormat="1" x14ac:dyDescent="0.2">
      <c r="A97" s="1929"/>
      <c r="D97" s="1930"/>
      <c r="K97" s="737"/>
      <c r="L97" s="737"/>
    </row>
    <row r="98" spans="1:12" s="901" customFormat="1" x14ac:dyDescent="0.2">
      <c r="A98" s="1929"/>
      <c r="D98" s="1930"/>
      <c r="K98" s="737"/>
      <c r="L98" s="737"/>
    </row>
    <row r="99" spans="1:12" s="901" customFormat="1" x14ac:dyDescent="0.2">
      <c r="A99" s="1929"/>
      <c r="D99" s="1930"/>
      <c r="K99" s="737"/>
      <c r="L99" s="737"/>
    </row>
    <row r="100" spans="1:12" s="901" customFormat="1" x14ac:dyDescent="0.2">
      <c r="A100" s="1929"/>
      <c r="D100" s="1930"/>
      <c r="K100" s="737"/>
      <c r="L100" s="737"/>
    </row>
    <row r="101" spans="1:12" s="901" customFormat="1" x14ac:dyDescent="0.2">
      <c r="A101" s="1929"/>
      <c r="D101" s="1930"/>
      <c r="K101" s="737"/>
      <c r="L101" s="737"/>
    </row>
    <row r="102" spans="1:12" s="901" customFormat="1" x14ac:dyDescent="0.2">
      <c r="A102" s="1929"/>
      <c r="D102" s="1930"/>
      <c r="K102" s="737"/>
      <c r="L102" s="737"/>
    </row>
    <row r="103" spans="1:12" s="901" customFormat="1" x14ac:dyDescent="0.2">
      <c r="A103" s="1929"/>
      <c r="D103" s="1930"/>
      <c r="K103" s="737"/>
      <c r="L103" s="737"/>
    </row>
    <row r="104" spans="1:12" s="901" customFormat="1" x14ac:dyDescent="0.2">
      <c r="A104" s="1929"/>
      <c r="D104" s="1930"/>
      <c r="K104" s="737"/>
      <c r="L104" s="737"/>
    </row>
    <row r="105" spans="1:12" s="901" customFormat="1" x14ac:dyDescent="0.2">
      <c r="A105" s="1929"/>
      <c r="D105" s="1930"/>
      <c r="K105" s="737"/>
      <c r="L105" s="737"/>
    </row>
    <row r="106" spans="1:12" s="901" customFormat="1" x14ac:dyDescent="0.2">
      <c r="A106" s="1929"/>
      <c r="D106" s="1930"/>
      <c r="K106" s="737"/>
      <c r="L106" s="737"/>
    </row>
    <row r="107" spans="1:12" s="901" customFormat="1" x14ac:dyDescent="0.2">
      <c r="A107" s="1929"/>
      <c r="D107" s="1930"/>
      <c r="K107" s="737"/>
      <c r="L107" s="737"/>
    </row>
    <row r="108" spans="1:12" s="901" customFormat="1" x14ac:dyDescent="0.2">
      <c r="A108" s="1929"/>
      <c r="D108" s="1930"/>
      <c r="K108" s="737"/>
      <c r="L108" s="737"/>
    </row>
    <row r="109" spans="1:12" s="901" customFormat="1" x14ac:dyDescent="0.2">
      <c r="A109" s="1929"/>
      <c r="D109" s="1930"/>
      <c r="K109" s="737"/>
      <c r="L109" s="737"/>
    </row>
    <row r="110" spans="1:12" s="901" customFormat="1" x14ac:dyDescent="0.2">
      <c r="A110" s="1929"/>
      <c r="D110" s="1930"/>
      <c r="K110" s="737"/>
      <c r="L110" s="737"/>
    </row>
    <row r="111" spans="1:12" s="901" customFormat="1" x14ac:dyDescent="0.2">
      <c r="A111" s="1929"/>
      <c r="D111" s="1930"/>
      <c r="K111" s="737"/>
      <c r="L111" s="737"/>
    </row>
    <row r="112" spans="1:12" s="901" customFormat="1" x14ac:dyDescent="0.2">
      <c r="A112" s="1929"/>
      <c r="D112" s="1930"/>
      <c r="K112" s="737"/>
      <c r="L112" s="737"/>
    </row>
    <row r="113" spans="1:12" s="901" customFormat="1" x14ac:dyDescent="0.2">
      <c r="A113" s="1929"/>
      <c r="D113" s="1930"/>
      <c r="K113" s="737"/>
      <c r="L113" s="737"/>
    </row>
    <row r="114" spans="1:12" s="901" customFormat="1" x14ac:dyDescent="0.2">
      <c r="A114" s="1929"/>
      <c r="D114" s="1930"/>
      <c r="K114" s="737"/>
      <c r="L114" s="737"/>
    </row>
    <row r="115" spans="1:12" s="901" customFormat="1" x14ac:dyDescent="0.2">
      <c r="A115" s="1929"/>
      <c r="D115" s="1930"/>
      <c r="K115" s="737"/>
      <c r="L115" s="737"/>
    </row>
    <row r="116" spans="1:12" s="901" customFormat="1" x14ac:dyDescent="0.2">
      <c r="A116" s="1929"/>
      <c r="D116" s="1930"/>
      <c r="K116" s="737"/>
      <c r="L116" s="737"/>
    </row>
    <row r="117" spans="1:12" s="901" customFormat="1" x14ac:dyDescent="0.2">
      <c r="A117" s="1929"/>
      <c r="D117" s="1930"/>
      <c r="K117" s="737"/>
      <c r="L117" s="737"/>
    </row>
    <row r="118" spans="1:12" s="901" customFormat="1" x14ac:dyDescent="0.2">
      <c r="A118" s="1929"/>
      <c r="D118" s="1930"/>
      <c r="K118" s="737"/>
      <c r="L118" s="737"/>
    </row>
    <row r="119" spans="1:12" s="901" customFormat="1" x14ac:dyDescent="0.2">
      <c r="A119" s="1929"/>
      <c r="D119" s="1930"/>
      <c r="K119" s="737"/>
      <c r="L119" s="737"/>
    </row>
    <row r="120" spans="1:12" s="901" customFormat="1" x14ac:dyDescent="0.2">
      <c r="A120" s="1929"/>
      <c r="D120" s="1930"/>
      <c r="K120" s="737"/>
      <c r="L120" s="737"/>
    </row>
    <row r="121" spans="1:12" s="901" customFormat="1" x14ac:dyDescent="0.2">
      <c r="A121" s="1929"/>
      <c r="D121" s="1930"/>
      <c r="K121" s="737"/>
      <c r="L121" s="737"/>
    </row>
    <row r="122" spans="1:12" s="901" customFormat="1" x14ac:dyDescent="0.2">
      <c r="A122" s="1929"/>
      <c r="D122" s="1930"/>
      <c r="K122" s="737"/>
      <c r="L122" s="737"/>
    </row>
    <row r="123" spans="1:12" s="901" customFormat="1" x14ac:dyDescent="0.2">
      <c r="A123" s="1929"/>
      <c r="D123" s="1930"/>
      <c r="K123" s="737"/>
      <c r="L123" s="737"/>
    </row>
    <row r="124" spans="1:12" s="901" customFormat="1" x14ac:dyDescent="0.2">
      <c r="A124" s="1929"/>
      <c r="D124" s="1930"/>
      <c r="K124" s="737"/>
      <c r="L124" s="737"/>
    </row>
    <row r="125" spans="1:12" s="901" customFormat="1" x14ac:dyDescent="0.2">
      <c r="A125" s="1929"/>
      <c r="D125" s="1930"/>
      <c r="K125" s="737"/>
      <c r="L125" s="737"/>
    </row>
    <row r="126" spans="1:12" s="901" customFormat="1" x14ac:dyDescent="0.2">
      <c r="A126" s="1929"/>
      <c r="D126" s="1930"/>
      <c r="K126" s="737"/>
      <c r="L126" s="737"/>
    </row>
    <row r="127" spans="1:12" s="901" customFormat="1" x14ac:dyDescent="0.2">
      <c r="A127" s="1929"/>
      <c r="D127" s="1930"/>
      <c r="K127" s="737"/>
      <c r="L127" s="737"/>
    </row>
    <row r="128" spans="1:12" s="901" customFormat="1" x14ac:dyDescent="0.2">
      <c r="A128" s="1929"/>
      <c r="D128" s="1930"/>
      <c r="K128" s="737"/>
      <c r="L128" s="737"/>
    </row>
    <row r="129" spans="1:12" s="901" customFormat="1" x14ac:dyDescent="0.2">
      <c r="A129" s="1929"/>
      <c r="D129" s="1930"/>
      <c r="K129" s="737"/>
      <c r="L129" s="737"/>
    </row>
    <row r="130" spans="1:12" s="901" customFormat="1" x14ac:dyDescent="0.2">
      <c r="A130" s="1929"/>
      <c r="D130" s="1930"/>
      <c r="K130" s="737"/>
      <c r="L130" s="737"/>
    </row>
    <row r="131" spans="1:12" s="901" customFormat="1" x14ac:dyDescent="0.2">
      <c r="A131" s="1929"/>
      <c r="D131" s="1930"/>
      <c r="K131" s="737"/>
      <c r="L131" s="737"/>
    </row>
    <row r="132" spans="1:12" s="901" customFormat="1" x14ac:dyDescent="0.2">
      <c r="A132" s="1929"/>
      <c r="D132" s="1930"/>
      <c r="K132" s="737"/>
      <c r="L132" s="737"/>
    </row>
    <row r="133" spans="1:12" s="901" customFormat="1" x14ac:dyDescent="0.2">
      <c r="A133" s="1929"/>
      <c r="D133" s="1930"/>
      <c r="K133" s="737"/>
      <c r="L133" s="737"/>
    </row>
    <row r="134" spans="1:12" s="1869" customFormat="1" x14ac:dyDescent="0.2">
      <c r="A134" s="1931"/>
      <c r="D134" s="1932"/>
      <c r="K134" s="27"/>
      <c r="L134" s="27"/>
    </row>
    <row r="135" spans="1:12" s="1869" customFormat="1" x14ac:dyDescent="0.2">
      <c r="A135" s="1931"/>
      <c r="D135" s="1932"/>
      <c r="K135" s="27"/>
      <c r="L135" s="27"/>
    </row>
    <row r="136" spans="1:12" s="1869" customFormat="1" x14ac:dyDescent="0.2">
      <c r="A136" s="1931"/>
      <c r="D136" s="1932"/>
      <c r="K136" s="27"/>
      <c r="L136" s="27"/>
    </row>
    <row r="137" spans="1:12" s="1869" customFormat="1" x14ac:dyDescent="0.2">
      <c r="A137" s="1931"/>
      <c r="D137" s="1932"/>
      <c r="K137" s="27"/>
      <c r="L137" s="27"/>
    </row>
    <row r="138" spans="1:12" s="1869" customFormat="1" x14ac:dyDescent="0.2">
      <c r="A138" s="1931"/>
      <c r="D138" s="1932"/>
      <c r="K138" s="27"/>
      <c r="L138" s="27"/>
    </row>
    <row r="139" spans="1:12" s="1869" customFormat="1" x14ac:dyDescent="0.2">
      <c r="A139" s="1931"/>
      <c r="D139" s="1932"/>
      <c r="K139" s="27"/>
      <c r="L139" s="27"/>
    </row>
    <row r="140" spans="1:12" s="1869" customFormat="1" x14ac:dyDescent="0.2">
      <c r="A140" s="1931"/>
      <c r="D140" s="1932"/>
      <c r="K140" s="27"/>
      <c r="L140" s="27"/>
    </row>
    <row r="141" spans="1:12" s="1869" customFormat="1" x14ac:dyDescent="0.2">
      <c r="A141" s="1931"/>
      <c r="D141" s="1932"/>
      <c r="K141" s="27"/>
      <c r="L141" s="27"/>
    </row>
    <row r="142" spans="1:12" s="1869" customFormat="1" x14ac:dyDescent="0.2">
      <c r="A142" s="1931"/>
      <c r="D142" s="1932"/>
      <c r="K142" s="27"/>
      <c r="L142" s="27"/>
    </row>
    <row r="143" spans="1:12" s="1869" customFormat="1" x14ac:dyDescent="0.2">
      <c r="A143" s="1931"/>
      <c r="D143" s="1932"/>
      <c r="K143" s="27"/>
      <c r="L143" s="27"/>
    </row>
    <row r="144" spans="1:12" s="1869" customFormat="1" x14ac:dyDescent="0.2">
      <c r="A144" s="1931"/>
      <c r="D144" s="1932"/>
      <c r="K144" s="27"/>
      <c r="L144" s="27"/>
    </row>
    <row r="145" spans="1:12" s="1869" customFormat="1" x14ac:dyDescent="0.2">
      <c r="A145" s="1931"/>
      <c r="D145" s="1932"/>
      <c r="K145" s="27"/>
      <c r="L145" s="27"/>
    </row>
    <row r="146" spans="1:12" s="1869" customFormat="1" x14ac:dyDescent="0.2">
      <c r="A146" s="1931"/>
      <c r="D146" s="1932"/>
      <c r="K146" s="27"/>
      <c r="L146" s="27"/>
    </row>
    <row r="147" spans="1:12" s="1869" customFormat="1" x14ac:dyDescent="0.2">
      <c r="A147" s="1931"/>
      <c r="D147" s="1932"/>
      <c r="K147" s="27"/>
      <c r="L147" s="27"/>
    </row>
    <row r="148" spans="1:12" s="1869" customFormat="1" x14ac:dyDescent="0.2">
      <c r="A148" s="1931"/>
      <c r="D148" s="1932"/>
      <c r="K148" s="27"/>
      <c r="L148" s="27"/>
    </row>
    <row r="149" spans="1:12" s="1869" customFormat="1" x14ac:dyDescent="0.2">
      <c r="A149" s="1931"/>
      <c r="D149" s="1932"/>
      <c r="K149" s="27"/>
      <c r="L149" s="27"/>
    </row>
    <row r="150" spans="1:12" s="1869" customFormat="1" x14ac:dyDescent="0.2">
      <c r="A150" s="1931"/>
      <c r="D150" s="1932"/>
      <c r="K150" s="27"/>
      <c r="L150" s="27"/>
    </row>
    <row r="151" spans="1:12" s="1869" customFormat="1" x14ac:dyDescent="0.2">
      <c r="A151" s="1931"/>
      <c r="D151" s="1932"/>
      <c r="K151" s="27"/>
      <c r="L151" s="27"/>
    </row>
    <row r="152" spans="1:12" s="1869" customFormat="1" x14ac:dyDescent="0.2">
      <c r="A152" s="1931"/>
      <c r="D152" s="1932"/>
      <c r="K152" s="27"/>
      <c r="L152" s="27"/>
    </row>
    <row r="153" spans="1:12" s="1869" customFormat="1" x14ac:dyDescent="0.2">
      <c r="A153" s="1931"/>
      <c r="D153" s="1932"/>
      <c r="K153" s="27"/>
      <c r="L153" s="27"/>
    </row>
    <row r="154" spans="1:12" s="1869" customFormat="1" x14ac:dyDescent="0.2">
      <c r="A154" s="1931"/>
      <c r="D154" s="1932"/>
      <c r="K154" s="27"/>
      <c r="L154" s="27"/>
    </row>
    <row r="155" spans="1:12" s="1869" customFormat="1" x14ac:dyDescent="0.2">
      <c r="A155" s="1931"/>
      <c r="D155" s="1932"/>
      <c r="K155" s="27"/>
      <c r="L155" s="27"/>
    </row>
    <row r="156" spans="1:12" s="1869" customFormat="1" x14ac:dyDescent="0.2">
      <c r="A156" s="1931"/>
      <c r="D156" s="1932"/>
      <c r="K156" s="27"/>
      <c r="L156" s="27"/>
    </row>
    <row r="157" spans="1:12" s="1869" customFormat="1" x14ac:dyDescent="0.2">
      <c r="A157" s="1931"/>
      <c r="D157" s="1932"/>
      <c r="K157" s="27"/>
      <c r="L157" s="27"/>
    </row>
    <row r="158" spans="1:12" s="1869" customFormat="1" x14ac:dyDescent="0.2">
      <c r="A158" s="1931"/>
      <c r="D158" s="1932"/>
      <c r="K158" s="27"/>
      <c r="L158" s="27"/>
    </row>
    <row r="159" spans="1:12" s="1869" customFormat="1" x14ac:dyDescent="0.2">
      <c r="A159" s="1931"/>
      <c r="D159" s="1932"/>
      <c r="K159" s="27"/>
      <c r="L159" s="27"/>
    </row>
    <row r="160" spans="1:12" s="1869" customFormat="1" x14ac:dyDescent="0.2">
      <c r="A160" s="1931"/>
      <c r="D160" s="1932"/>
      <c r="K160" s="27"/>
      <c r="L160" s="27"/>
    </row>
    <row r="161" spans="1:12" s="1869" customFormat="1" x14ac:dyDescent="0.2">
      <c r="A161" s="1931"/>
      <c r="D161" s="1932"/>
      <c r="K161" s="27"/>
      <c r="L161" s="27"/>
    </row>
    <row r="162" spans="1:12" s="1869" customFormat="1" x14ac:dyDescent="0.2">
      <c r="A162" s="1931"/>
      <c r="D162" s="1932"/>
      <c r="K162" s="27"/>
      <c r="L162" s="27"/>
    </row>
    <row r="163" spans="1:12" s="1869" customFormat="1" x14ac:dyDescent="0.2">
      <c r="A163" s="1931"/>
      <c r="D163" s="1932"/>
      <c r="K163" s="27"/>
      <c r="L163" s="27"/>
    </row>
    <row r="164" spans="1:12" s="1869" customFormat="1" x14ac:dyDescent="0.2">
      <c r="A164" s="1931"/>
      <c r="D164" s="1932"/>
      <c r="K164" s="27"/>
      <c r="L164" s="27"/>
    </row>
    <row r="165" spans="1:12" s="1869" customFormat="1" x14ac:dyDescent="0.2">
      <c r="A165" s="1931"/>
      <c r="D165" s="1932"/>
      <c r="K165" s="27"/>
      <c r="L165" s="27"/>
    </row>
    <row r="166" spans="1:12" s="1869" customFormat="1" x14ac:dyDescent="0.2">
      <c r="A166" s="1931"/>
      <c r="D166" s="1932"/>
      <c r="K166" s="27"/>
      <c r="L166" s="27"/>
    </row>
    <row r="167" spans="1:12" s="1869" customFormat="1" x14ac:dyDescent="0.2">
      <c r="A167" s="1931"/>
      <c r="D167" s="1932"/>
      <c r="K167" s="27"/>
      <c r="L167" s="27"/>
    </row>
    <row r="168" spans="1:12" s="1869" customFormat="1" x14ac:dyDescent="0.2">
      <c r="A168" s="1931"/>
      <c r="D168" s="1932"/>
      <c r="K168" s="27"/>
      <c r="L168" s="27"/>
    </row>
    <row r="169" spans="1:12" s="1869" customFormat="1" x14ac:dyDescent="0.2">
      <c r="A169" s="1931"/>
      <c r="D169" s="1932"/>
      <c r="K169" s="27"/>
      <c r="L169" s="27"/>
    </row>
    <row r="170" spans="1:12" s="1869" customFormat="1" x14ac:dyDescent="0.2">
      <c r="A170" s="1931"/>
      <c r="D170" s="1932"/>
      <c r="K170" s="27"/>
      <c r="L170" s="27"/>
    </row>
    <row r="171" spans="1:12" s="1869" customFormat="1" x14ac:dyDescent="0.2">
      <c r="A171" s="1931"/>
      <c r="D171" s="1932"/>
      <c r="K171" s="27"/>
      <c r="L171" s="27"/>
    </row>
    <row r="172" spans="1:12" s="1869" customFormat="1" x14ac:dyDescent="0.2">
      <c r="A172" s="1931"/>
      <c r="D172" s="1932"/>
      <c r="K172" s="27"/>
      <c r="L172" s="27"/>
    </row>
    <row r="173" spans="1:12" s="1869" customFormat="1" x14ac:dyDescent="0.2">
      <c r="A173" s="1931"/>
      <c r="D173" s="1932"/>
      <c r="K173" s="27"/>
      <c r="L173" s="27"/>
    </row>
    <row r="174" spans="1:12" s="1869" customFormat="1" x14ac:dyDescent="0.2">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3" sqref="F23"/>
    </sheetView>
  </sheetViews>
  <sheetFormatPr baseColWidth="10" defaultColWidth="9" defaultRowHeight="14" x14ac:dyDescent="0.2"/>
  <cols>
    <col min="1" max="1" width="9.5" style="1874" customWidth="1"/>
    <col min="2" max="2" width="24.5" style="1759" customWidth="1"/>
    <col min="3" max="3" width="24.5" style="2736" customWidth="1"/>
    <col min="4" max="4" width="2.6640625" style="2736" customWidth="1"/>
    <col min="5" max="5" width="5.83203125" style="2736" customWidth="1"/>
    <col min="6" max="6" width="27" style="1759" customWidth="1"/>
    <col min="7" max="7" width="27" style="2737" customWidth="1"/>
    <col min="8" max="8" width="11.83203125" style="2717" customWidth="1"/>
    <col min="9" max="9" width="16.6640625" style="2718" customWidth="1"/>
    <col min="10" max="10" width="2.6640625" style="2717" customWidth="1"/>
    <col min="11" max="11" width="11.83203125" style="2717" customWidth="1"/>
    <col min="12" max="12" width="16.6640625" style="2718" customWidth="1"/>
    <col min="13" max="13" width="2.6640625" style="2717" customWidth="1"/>
    <col min="14" max="14" width="11.83203125" style="2717" customWidth="1"/>
    <col min="15" max="15" width="16.6640625" style="2718" customWidth="1"/>
    <col min="16" max="16" width="2.6640625" style="2717" customWidth="1"/>
    <col min="17" max="17" width="11.83203125" style="2717" customWidth="1"/>
    <col min="18" max="18" width="16.6640625" style="2719" customWidth="1"/>
    <col min="19" max="29" width="9" style="907"/>
    <col min="30" max="16384" width="9" style="1874"/>
  </cols>
  <sheetData>
    <row r="1" spans="1:29" s="2683" customFormat="1" ht="19" thickBot="1" x14ac:dyDescent="0.25">
      <c r="A1" s="3308" t="s">
        <v>3029</v>
      </c>
      <c r="B1" s="3309"/>
      <c r="C1" s="3309"/>
      <c r="D1" s="3309"/>
      <c r="E1" s="3309"/>
      <c r="F1" s="3309"/>
      <c r="G1" s="330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x14ac:dyDescent="0.25">
      <c r="A2" s="2684"/>
      <c r="B2" s="2685"/>
      <c r="C2" s="2686" t="s">
        <v>3024</v>
      </c>
      <c r="D2" s="2687"/>
      <c r="E2" s="2684"/>
      <c r="F2" s="2688"/>
      <c r="G2" s="2686" t="s">
        <v>3025</v>
      </c>
      <c r="H2" s="907"/>
      <c r="I2" s="907"/>
      <c r="J2" s="907"/>
      <c r="K2" s="907"/>
      <c r="L2" s="907"/>
      <c r="M2" s="907"/>
      <c r="N2" s="907"/>
      <c r="O2" s="907"/>
      <c r="P2" s="907"/>
      <c r="Q2" s="907"/>
      <c r="R2" s="907"/>
    </row>
    <row r="3" spans="1:29" ht="56" x14ac:dyDescent="0.2">
      <c r="A3" s="2667" t="s">
        <v>3026</v>
      </c>
      <c r="B3" s="2689" t="s">
        <v>2995</v>
      </c>
      <c r="C3" s="2690" t="s">
        <v>3027</v>
      </c>
      <c r="D3" s="2691"/>
      <c r="E3" s="2668" t="s">
        <v>3026</v>
      </c>
      <c r="F3" s="2692" t="s">
        <v>2996</v>
      </c>
      <c r="G3" s="2693" t="s">
        <v>3028</v>
      </c>
      <c r="H3" s="907"/>
      <c r="I3" s="907"/>
      <c r="J3" s="907"/>
      <c r="K3" s="907"/>
      <c r="L3" s="907"/>
      <c r="M3" s="907"/>
      <c r="N3" s="907"/>
      <c r="O3" s="907"/>
      <c r="P3" s="907"/>
      <c r="Q3" s="907"/>
      <c r="R3" s="907"/>
    </row>
    <row r="4" spans="1:29" ht="42" x14ac:dyDescent="0.2">
      <c r="A4" s="2668"/>
      <c r="B4" s="329" t="s">
        <v>2997</v>
      </c>
      <c r="C4" s="2694" t="s">
        <v>2998</v>
      </c>
      <c r="D4" s="2691"/>
      <c r="E4" s="2695"/>
      <c r="F4" s="1559" t="s">
        <v>2999</v>
      </c>
      <c r="G4" s="2696" t="s">
        <v>3000</v>
      </c>
      <c r="H4" s="907"/>
      <c r="I4" s="907"/>
      <c r="J4" s="907"/>
      <c r="K4" s="907"/>
      <c r="L4" s="907"/>
      <c r="M4" s="907"/>
      <c r="N4" s="907"/>
      <c r="O4" s="907"/>
      <c r="P4" s="907"/>
      <c r="Q4" s="907"/>
      <c r="R4" s="907"/>
    </row>
    <row r="5" spans="1:29" ht="42" x14ac:dyDescent="0.2">
      <c r="A5" s="2668"/>
      <c r="B5" s="329" t="s">
        <v>3001</v>
      </c>
      <c r="C5" s="2694" t="s">
        <v>3002</v>
      </c>
      <c r="D5" s="2691"/>
      <c r="E5" s="2695"/>
      <c r="F5" s="329" t="s">
        <v>3003</v>
      </c>
      <c r="G5" s="2696" t="s">
        <v>3004</v>
      </c>
      <c r="H5" s="907"/>
      <c r="I5" s="907"/>
      <c r="J5" s="907"/>
      <c r="K5" s="907"/>
      <c r="L5" s="907"/>
      <c r="M5" s="907"/>
      <c r="N5" s="907"/>
      <c r="O5" s="907"/>
      <c r="P5" s="907"/>
      <c r="Q5" s="907"/>
      <c r="R5" s="907"/>
    </row>
    <row r="6" spans="1:29" ht="42" x14ac:dyDescent="0.2">
      <c r="A6" s="2668"/>
      <c r="B6" s="329" t="s">
        <v>3005</v>
      </c>
      <c r="C6" s="2696" t="s">
        <v>3000</v>
      </c>
      <c r="D6" s="2691"/>
      <c r="E6" s="2695"/>
      <c r="F6" s="329" t="s">
        <v>3006</v>
      </c>
      <c r="G6" s="2696" t="s">
        <v>3007</v>
      </c>
      <c r="H6" s="907"/>
      <c r="I6" s="907"/>
      <c r="J6" s="907"/>
      <c r="K6" s="907"/>
      <c r="L6" s="907"/>
      <c r="M6" s="907"/>
      <c r="N6" s="907"/>
      <c r="O6" s="907"/>
      <c r="P6" s="907"/>
      <c r="Q6" s="907"/>
      <c r="R6" s="907"/>
    </row>
    <row r="7" spans="1:29" ht="43" thickBot="1" x14ac:dyDescent="0.25">
      <c r="A7" s="2668"/>
      <c r="B7" s="329" t="s">
        <v>3003</v>
      </c>
      <c r="C7" s="2696" t="s">
        <v>3004</v>
      </c>
      <c r="D7" s="2697"/>
      <c r="E7" s="2698"/>
      <c r="F7" s="2699" t="s">
        <v>3008</v>
      </c>
      <c r="G7" s="2700" t="s">
        <v>3009</v>
      </c>
      <c r="H7" s="907"/>
      <c r="I7" s="907"/>
      <c r="J7" s="907"/>
      <c r="K7" s="907"/>
      <c r="L7" s="907"/>
      <c r="M7" s="907"/>
      <c r="N7" s="907"/>
      <c r="O7" s="907"/>
      <c r="P7" s="907"/>
      <c r="Q7" s="907"/>
      <c r="R7" s="907"/>
    </row>
    <row r="8" spans="1:29" x14ac:dyDescent="0.2">
      <c r="A8" s="2668"/>
      <c r="B8" s="329" t="s">
        <v>3006</v>
      </c>
      <c r="C8" s="2696" t="s">
        <v>3007</v>
      </c>
      <c r="D8" s="2697"/>
      <c r="E8" s="2697"/>
      <c r="F8" s="2701"/>
      <c r="G8" s="2701"/>
      <c r="H8" s="907"/>
      <c r="I8" s="907"/>
      <c r="J8" s="907"/>
      <c r="K8" s="907"/>
      <c r="L8" s="907"/>
      <c r="M8" s="907"/>
      <c r="N8" s="907"/>
      <c r="O8" s="907"/>
      <c r="P8" s="907"/>
      <c r="Q8" s="907"/>
      <c r="R8" s="907"/>
    </row>
    <row r="9" spans="1:29" ht="28" x14ac:dyDescent="0.2">
      <c r="A9" s="2668"/>
      <c r="B9" s="329" t="s">
        <v>3010</v>
      </c>
      <c r="C9" s="2694" t="s">
        <v>3011</v>
      </c>
      <c r="D9" s="2691"/>
      <c r="E9" s="2697"/>
      <c r="F9" s="2701"/>
      <c r="G9" s="2701"/>
      <c r="H9" s="907"/>
      <c r="I9" s="907"/>
      <c r="J9" s="907"/>
      <c r="K9" s="907"/>
      <c r="L9" s="907"/>
      <c r="M9" s="907"/>
      <c r="N9" s="907"/>
      <c r="O9" s="907"/>
      <c r="P9" s="907"/>
      <c r="Q9" s="907"/>
      <c r="R9" s="907"/>
    </row>
    <row r="10" spans="1:29" s="2707" customFormat="1" ht="15" thickBot="1" x14ac:dyDescent="0.25">
      <c r="A10" s="2669"/>
      <c r="B10" s="2702" t="s">
        <v>3012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x14ac:dyDescent="0.2">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x14ac:dyDescent="0.2">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 thickBot="1" x14ac:dyDescent="0.25">
      <c r="A13" s="2716" t="s">
        <v>3030</v>
      </c>
      <c r="B13" s="2710"/>
      <c r="C13" s="2710"/>
      <c r="D13" s="2708"/>
      <c r="E13" s="2710"/>
      <c r="F13" s="2710"/>
      <c r="G13" s="2710"/>
    </row>
    <row r="14" spans="1:29" ht="15" thickBot="1" x14ac:dyDescent="0.25">
      <c r="A14" s="2720"/>
      <c r="B14" s="2720"/>
      <c r="C14" s="2721" t="s">
        <v>3013</v>
      </c>
      <c r="D14" s="2691"/>
      <c r="E14" s="2722"/>
      <c r="F14" s="2722"/>
      <c r="G14" s="2686" t="s">
        <v>3014</v>
      </c>
    </row>
    <row r="15" spans="1:29" ht="52" x14ac:dyDescent="0.2">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9" x14ac:dyDescent="0.2">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9" x14ac:dyDescent="0.2">
      <c r="A17" s="2672"/>
      <c r="B17" s="2726" t="s">
        <v>3001</v>
      </c>
      <c r="C17" s="2727" t="str">
        <f>C5</f>
        <v>估价对象位于XX商圈，周边办公楼项目较多，入驻率高，办公集聚程度较好</v>
      </c>
      <c r="D17" s="2697"/>
      <c r="E17" s="2673"/>
      <c r="F17" s="2728" t="s">
        <v>3018</v>
      </c>
      <c r="G17" s="2730"/>
    </row>
    <row r="18" spans="1:18" ht="39" x14ac:dyDescent="0.2">
      <c r="A18" s="2672"/>
      <c r="B18" s="2728" t="s">
        <v>3005</v>
      </c>
      <c r="C18" s="2729" t="str">
        <f>C6</f>
        <v>估价对象周边道路状况、公共交通通达情况、停车便捷程度，综合评价交通便捷度较好</v>
      </c>
      <c r="D18" s="2697"/>
      <c r="E18" s="2673"/>
      <c r="F18" s="2728" t="s">
        <v>3008</v>
      </c>
      <c r="G18" s="2729" t="str">
        <f>G7</f>
        <v>该园区内是否有污染型企业，绿化情况，卫生条件，整体环境状况判断</v>
      </c>
    </row>
    <row r="19" spans="1:18" ht="26" x14ac:dyDescent="0.2">
      <c r="A19" s="2672"/>
      <c r="B19" s="2728" t="s">
        <v>3019</v>
      </c>
      <c r="C19" s="2730"/>
      <c r="D19" s="2691"/>
      <c r="E19" s="2673"/>
      <c r="F19" s="329" t="s">
        <v>3003</v>
      </c>
      <c r="G19" s="2729" t="str">
        <f>G5</f>
        <v>估价对象所在区域公共配套设施齐备情况</v>
      </c>
    </row>
    <row r="20" spans="1:18" ht="26" x14ac:dyDescent="0.2">
      <c r="A20" s="2672"/>
      <c r="B20" s="2728" t="s">
        <v>3020</v>
      </c>
      <c r="C20" s="2727" t="str">
        <f>C9</f>
        <v>区域自然环境：；人文环境；综合评价环境状况一般</v>
      </c>
      <c r="D20" s="2697"/>
      <c r="E20" s="2673"/>
      <c r="F20" s="329" t="s">
        <v>3006</v>
      </c>
      <c r="G20" s="2729" t="str">
        <f>G6</f>
        <v>估价对象所在区域基础设施水平</v>
      </c>
    </row>
    <row r="21" spans="1:18" ht="26" x14ac:dyDescent="0.2">
      <c r="A21" s="2672"/>
      <c r="B21" s="329" t="s">
        <v>3003</v>
      </c>
      <c r="C21" s="2729" t="str">
        <f>C7</f>
        <v>估价对象所在区域公共配套设施齐备情况</v>
      </c>
      <c r="D21" s="2691"/>
      <c r="E21" s="2673"/>
      <c r="F21" s="2728" t="s">
        <v>3021</v>
      </c>
      <c r="G21" s="2731"/>
    </row>
    <row r="22" spans="1:18" ht="13.5" customHeight="1" x14ac:dyDescent="0.2">
      <c r="A22" s="2672"/>
      <c r="B22" s="329" t="s">
        <v>3006</v>
      </c>
      <c r="C22" s="2729" t="str">
        <f>C8</f>
        <v>估价对象所在区域基础设施水平</v>
      </c>
      <c r="D22" s="2691"/>
      <c r="E22" s="2673"/>
      <c r="F22" s="2728" t="s">
        <v>3012</v>
      </c>
      <c r="G22" s="2730"/>
    </row>
    <row r="23" spans="1:18" s="907" customFormat="1" ht="15" thickBot="1" x14ac:dyDescent="0.25">
      <c r="A23" s="2672"/>
      <c r="B23" s="2728" t="s">
        <v>3021</v>
      </c>
      <c r="C23" s="2731"/>
      <c r="D23" s="1929"/>
      <c r="E23" s="2674"/>
      <c r="F23" s="2732" t="s">
        <v>3022</v>
      </c>
      <c r="G23" s="2733"/>
      <c r="H23" s="2717"/>
      <c r="I23" s="2718"/>
      <c r="J23" s="2717"/>
      <c r="K23" s="2717"/>
      <c r="L23" s="2718"/>
      <c r="M23" s="2717"/>
      <c r="N23" s="2717"/>
      <c r="O23" s="2718"/>
      <c r="P23" s="2717"/>
      <c r="Q23" s="2717"/>
      <c r="R23" s="2719"/>
    </row>
    <row r="24" spans="1:18" s="907" customFormat="1" ht="15" thickBot="1" x14ac:dyDescent="0.25">
      <c r="A24" s="2675"/>
      <c r="B24" s="2732" t="s">
        <v>3023</v>
      </c>
      <c r="C24" s="2734">
        <f>C10</f>
        <v>0</v>
      </c>
      <c r="D24" s="1929"/>
      <c r="E24" s="2665"/>
      <c r="F24" s="2665"/>
      <c r="G24" s="2735"/>
      <c r="H24" s="2717"/>
      <c r="I24" s="2718"/>
      <c r="J24" s="2717"/>
      <c r="K24" s="2717"/>
      <c r="L24" s="2718"/>
      <c r="M24" s="2717"/>
      <c r="N24" s="2717"/>
      <c r="O24" s="2718"/>
      <c r="P24" s="2717"/>
      <c r="Q24" s="2717"/>
      <c r="R24" s="2719"/>
    </row>
    <row r="25" spans="1:18" s="907" customFormat="1" x14ac:dyDescent="0.2">
      <c r="B25" s="2717"/>
      <c r="C25" s="2717"/>
      <c r="D25" s="2717"/>
      <c r="H25" s="2717"/>
      <c r="I25" s="2718"/>
      <c r="J25" s="2717"/>
      <c r="K25" s="2717"/>
      <c r="L25" s="2718"/>
      <c r="M25" s="2717"/>
      <c r="N25" s="2717"/>
      <c r="O25" s="2718"/>
      <c r="P25" s="2717"/>
      <c r="Q25" s="2717"/>
      <c r="R25" s="2719"/>
    </row>
    <row r="26" spans="1:18" s="907" customFormat="1" x14ac:dyDescent="0.2">
      <c r="B26" s="2717"/>
      <c r="C26" s="2717"/>
      <c r="D26" s="2717"/>
      <c r="H26" s="2717"/>
      <c r="I26" s="2718"/>
      <c r="J26" s="2717"/>
      <c r="K26" s="2717"/>
      <c r="L26" s="2718"/>
      <c r="M26" s="2717"/>
      <c r="N26" s="2717"/>
      <c r="O26" s="2718"/>
      <c r="P26" s="2717"/>
      <c r="Q26" s="2717"/>
      <c r="R26" s="2719"/>
    </row>
    <row r="27" spans="1:18" s="907" customFormat="1" x14ac:dyDescent="0.2">
      <c r="B27" s="2717"/>
      <c r="C27" s="2717"/>
      <c r="D27" s="2717"/>
      <c r="H27" s="2717"/>
      <c r="I27" s="2718"/>
      <c r="J27" s="2717"/>
      <c r="K27" s="2717"/>
      <c r="L27" s="2718"/>
      <c r="M27" s="2717"/>
      <c r="N27" s="2717"/>
      <c r="O27" s="2718"/>
      <c r="P27" s="2717"/>
      <c r="Q27" s="2717"/>
      <c r="R27" s="2719"/>
    </row>
    <row r="28" spans="1:18" s="907" customFormat="1" x14ac:dyDescent="0.2">
      <c r="B28" s="2717"/>
      <c r="C28" s="2717"/>
      <c r="D28" s="2717"/>
      <c r="H28" s="2717"/>
      <c r="I28" s="2718"/>
      <c r="J28" s="2717"/>
      <c r="K28" s="2717"/>
      <c r="L28" s="2718"/>
      <c r="M28" s="2717"/>
      <c r="N28" s="2717"/>
      <c r="O28" s="2718"/>
      <c r="P28" s="2717"/>
      <c r="Q28" s="2717"/>
      <c r="R28" s="2719"/>
    </row>
    <row r="29" spans="1:18" s="907" customFormat="1" x14ac:dyDescent="0.2">
      <c r="B29" s="2717"/>
      <c r="C29" s="2717"/>
      <c r="D29" s="2717"/>
      <c r="H29" s="2717"/>
      <c r="I29" s="2718"/>
      <c r="J29" s="2717"/>
      <c r="K29" s="2717"/>
      <c r="L29" s="2718"/>
      <c r="M29" s="2717"/>
      <c r="N29" s="2717"/>
      <c r="O29" s="2718"/>
      <c r="P29" s="2717"/>
      <c r="Q29" s="2717"/>
      <c r="R29" s="2719"/>
    </row>
    <row r="30" spans="1:18" s="907" customFormat="1" x14ac:dyDescent="0.2">
      <c r="B30" s="2717"/>
      <c r="C30" s="2717"/>
      <c r="D30" s="2717"/>
      <c r="H30" s="2717"/>
      <c r="I30" s="2718"/>
      <c r="J30" s="2717"/>
      <c r="K30" s="2717"/>
      <c r="L30" s="2718"/>
      <c r="M30" s="2717"/>
      <c r="N30" s="2717"/>
      <c r="O30" s="2718"/>
      <c r="P30" s="2717"/>
      <c r="Q30" s="2717"/>
      <c r="R30" s="2719"/>
    </row>
    <row r="31" spans="1:18" s="907" customFormat="1" x14ac:dyDescent="0.2">
      <c r="B31" s="2717"/>
      <c r="C31" s="2717"/>
      <c r="D31" s="2717"/>
      <c r="H31" s="2717"/>
      <c r="I31" s="2718"/>
      <c r="J31" s="2717"/>
      <c r="K31" s="2717"/>
      <c r="L31" s="2718"/>
      <c r="M31" s="2717"/>
      <c r="N31" s="2717"/>
      <c r="O31" s="2718"/>
      <c r="P31" s="2717"/>
      <c r="Q31" s="2717"/>
      <c r="R31" s="2719"/>
    </row>
    <row r="32" spans="1:18" s="907" customFormat="1" x14ac:dyDescent="0.2">
      <c r="B32" s="2717"/>
      <c r="C32" s="2717"/>
      <c r="D32" s="2717"/>
      <c r="H32" s="2717"/>
      <c r="I32" s="2718"/>
      <c r="J32" s="2717"/>
      <c r="K32" s="2717"/>
      <c r="L32" s="2718"/>
      <c r="M32" s="2717"/>
      <c r="N32" s="2717"/>
      <c r="O32" s="2718"/>
      <c r="P32" s="2717"/>
      <c r="Q32" s="2717"/>
      <c r="R32" s="2719"/>
    </row>
    <row r="33" spans="2:18" s="907" customFormat="1" x14ac:dyDescent="0.2">
      <c r="B33" s="2717"/>
      <c r="C33" s="2717"/>
      <c r="D33" s="2717"/>
      <c r="H33" s="2717"/>
      <c r="I33" s="2718"/>
      <c r="J33" s="2717"/>
      <c r="K33" s="2717"/>
      <c r="L33" s="2718"/>
      <c r="M33" s="2717"/>
      <c r="N33" s="2717"/>
      <c r="O33" s="2718"/>
      <c r="P33" s="2717"/>
      <c r="Q33" s="2717"/>
      <c r="R33" s="2719"/>
    </row>
    <row r="34" spans="2:18" s="907" customFormat="1" x14ac:dyDescent="0.2">
      <c r="B34" s="2717"/>
      <c r="C34" s="2717"/>
      <c r="D34" s="2717"/>
      <c r="H34" s="2717"/>
      <c r="I34" s="2718"/>
      <c r="J34" s="2717"/>
      <c r="K34" s="2717"/>
      <c r="L34" s="2718"/>
      <c r="M34" s="2717"/>
      <c r="N34" s="2717"/>
      <c r="O34" s="2718"/>
      <c r="P34" s="2717"/>
      <c r="Q34" s="2717"/>
      <c r="R34" s="2719"/>
    </row>
    <row r="35" spans="2:18" s="907" customFormat="1" x14ac:dyDescent="0.2">
      <c r="B35" s="2717"/>
      <c r="C35" s="2717"/>
      <c r="D35" s="2717"/>
      <c r="H35" s="2717"/>
      <c r="I35" s="2718"/>
      <c r="J35" s="2717"/>
      <c r="K35" s="2717"/>
      <c r="L35" s="2718"/>
      <c r="M35" s="2717"/>
      <c r="N35" s="2717"/>
      <c r="O35" s="2718"/>
      <c r="P35" s="2717"/>
      <c r="Q35" s="2717"/>
      <c r="R35" s="2719"/>
    </row>
    <row r="36" spans="2:18" s="907" customFormat="1" x14ac:dyDescent="0.2">
      <c r="B36" s="2717"/>
      <c r="C36" s="2717"/>
      <c r="D36" s="2717"/>
      <c r="H36" s="2717"/>
      <c r="I36" s="2718"/>
      <c r="J36" s="2717"/>
      <c r="K36" s="2717"/>
      <c r="L36" s="2718"/>
      <c r="M36" s="2717"/>
      <c r="N36" s="2717"/>
      <c r="O36" s="2718"/>
      <c r="P36" s="2717"/>
      <c r="Q36" s="2717"/>
      <c r="R36" s="2719"/>
    </row>
    <row r="37" spans="2:18" s="907" customFormat="1" x14ac:dyDescent="0.2">
      <c r="B37" s="2717"/>
      <c r="C37" s="2717"/>
      <c r="D37" s="2717"/>
      <c r="H37" s="2717"/>
      <c r="I37" s="2718"/>
      <c r="J37" s="2717"/>
      <c r="K37" s="2717"/>
      <c r="L37" s="2718"/>
      <c r="M37" s="2717"/>
      <c r="N37" s="2717"/>
      <c r="O37" s="2718"/>
      <c r="P37" s="2717"/>
      <c r="Q37" s="2717"/>
      <c r="R37" s="2719"/>
    </row>
    <row r="38" spans="2:18" s="907" customFormat="1" x14ac:dyDescent="0.2">
      <c r="B38" s="2717"/>
      <c r="C38" s="2717"/>
      <c r="D38" s="2717"/>
      <c r="E38" s="2717"/>
      <c r="F38" s="2717"/>
      <c r="G38" s="2718"/>
      <c r="H38" s="2717"/>
      <c r="I38" s="2718"/>
      <c r="J38" s="2717"/>
      <c r="K38" s="2717"/>
      <c r="L38" s="2718"/>
      <c r="M38" s="2717"/>
      <c r="N38" s="2717"/>
      <c r="O38" s="2718"/>
      <c r="P38" s="2717"/>
      <c r="Q38" s="2717"/>
      <c r="R38" s="2719"/>
    </row>
    <row r="39" spans="2:18" s="907" customFormat="1" x14ac:dyDescent="0.2">
      <c r="B39" s="2717"/>
      <c r="C39" s="2717"/>
      <c r="D39" s="2717"/>
      <c r="E39" s="2717"/>
      <c r="F39" s="2717"/>
      <c r="G39" s="2718"/>
      <c r="H39" s="2717"/>
      <c r="I39" s="2718"/>
      <c r="J39" s="2717"/>
      <c r="K39" s="2717"/>
      <c r="L39" s="2718"/>
      <c r="M39" s="2717"/>
      <c r="N39" s="2717"/>
      <c r="O39" s="2718"/>
      <c r="P39" s="2717"/>
      <c r="Q39" s="2717"/>
      <c r="R39" s="2719"/>
    </row>
    <row r="40" spans="2:18" s="907" customFormat="1" x14ac:dyDescent="0.2">
      <c r="B40" s="2717"/>
      <c r="C40" s="2717"/>
      <c r="D40" s="2717"/>
      <c r="E40" s="2717"/>
      <c r="F40" s="2717"/>
      <c r="G40" s="2718"/>
      <c r="H40" s="2717"/>
      <c r="I40" s="2718"/>
      <c r="J40" s="2717"/>
      <c r="K40" s="2717"/>
      <c r="L40" s="2718"/>
      <c r="M40" s="2717"/>
      <c r="N40" s="2717"/>
      <c r="O40" s="2718"/>
      <c r="P40" s="2717"/>
      <c r="Q40" s="2717"/>
      <c r="R40" s="2719"/>
    </row>
    <row r="41" spans="2:18" s="907" customFormat="1" x14ac:dyDescent="0.2">
      <c r="B41" s="2717"/>
      <c r="C41" s="2717"/>
      <c r="D41" s="2717"/>
      <c r="E41" s="2717"/>
      <c r="F41" s="2717"/>
      <c r="G41" s="2718"/>
      <c r="H41" s="2717"/>
      <c r="I41" s="2718"/>
      <c r="J41" s="2717"/>
      <c r="K41" s="2717"/>
      <c r="L41" s="2718"/>
      <c r="M41" s="2717"/>
      <c r="N41" s="2717"/>
      <c r="O41" s="2718"/>
      <c r="P41" s="2717"/>
      <c r="Q41" s="2717"/>
      <c r="R41" s="2719"/>
    </row>
    <row r="42" spans="2:18" s="907" customFormat="1" x14ac:dyDescent="0.2">
      <c r="B42" s="2717"/>
      <c r="C42" s="2717"/>
      <c r="D42" s="2717"/>
      <c r="E42" s="2717"/>
      <c r="F42" s="2717"/>
      <c r="G42" s="2718"/>
      <c r="H42" s="2717"/>
      <c r="I42" s="2718"/>
      <c r="J42" s="2717"/>
      <c r="K42" s="2717"/>
      <c r="L42" s="2718"/>
      <c r="M42" s="2717"/>
      <c r="N42" s="2717"/>
      <c r="O42" s="2718"/>
      <c r="P42" s="2717"/>
      <c r="Q42" s="2717"/>
      <c r="R42" s="2719"/>
    </row>
    <row r="43" spans="2:18" s="907" customFormat="1" x14ac:dyDescent="0.2">
      <c r="B43" s="2717"/>
      <c r="C43" s="2717"/>
      <c r="D43" s="2717"/>
      <c r="E43" s="2717"/>
      <c r="F43" s="2717"/>
      <c r="G43" s="2718"/>
      <c r="H43" s="2717"/>
      <c r="I43" s="2718"/>
      <c r="J43" s="2717"/>
      <c r="K43" s="2717"/>
      <c r="L43" s="2718"/>
      <c r="M43" s="2717"/>
      <c r="N43" s="2717"/>
      <c r="O43" s="2718"/>
      <c r="P43" s="2717"/>
      <c r="Q43" s="2717"/>
      <c r="R43" s="2719"/>
    </row>
    <row r="44" spans="2:18" s="907" customFormat="1" x14ac:dyDescent="0.2">
      <c r="B44" s="2717"/>
      <c r="C44" s="2717"/>
      <c r="D44" s="2717"/>
      <c r="E44" s="2717"/>
      <c r="F44" s="2717"/>
      <c r="G44" s="2718"/>
      <c r="H44" s="2717"/>
      <c r="I44" s="2718"/>
      <c r="J44" s="2717"/>
      <c r="K44" s="2717"/>
      <c r="L44" s="2718"/>
      <c r="M44" s="2717"/>
      <c r="N44" s="2717"/>
      <c r="O44" s="2718"/>
      <c r="P44" s="2717"/>
      <c r="Q44" s="2717"/>
      <c r="R44" s="2719"/>
    </row>
    <row r="45" spans="2:18" s="907" customFormat="1" x14ac:dyDescent="0.2">
      <c r="B45" s="2717"/>
      <c r="C45" s="2717"/>
      <c r="D45" s="2717"/>
      <c r="E45" s="2717"/>
      <c r="F45" s="2717"/>
      <c r="G45" s="2718"/>
      <c r="H45" s="2717"/>
      <c r="I45" s="2718"/>
      <c r="J45" s="2717"/>
      <c r="K45" s="2717"/>
      <c r="L45" s="2718"/>
      <c r="M45" s="2717"/>
      <c r="N45" s="2717"/>
      <c r="O45" s="2718"/>
      <c r="P45" s="2717"/>
      <c r="Q45" s="2717"/>
      <c r="R45" s="2719"/>
    </row>
    <row r="46" spans="2:18" s="907" customFormat="1" x14ac:dyDescent="0.2">
      <c r="B46" s="2717"/>
      <c r="C46" s="2717"/>
      <c r="D46" s="2717"/>
      <c r="E46" s="2717"/>
      <c r="F46" s="2717"/>
      <c r="G46" s="2718"/>
      <c r="H46" s="2717"/>
      <c r="I46" s="2718"/>
      <c r="J46" s="2717"/>
      <c r="K46" s="2717"/>
      <c r="L46" s="2718"/>
      <c r="M46" s="2717"/>
      <c r="N46" s="2717"/>
      <c r="O46" s="2718"/>
      <c r="P46" s="2717"/>
      <c r="Q46" s="2717"/>
      <c r="R46" s="2719"/>
    </row>
    <row r="47" spans="2:18" s="907" customFormat="1" x14ac:dyDescent="0.2">
      <c r="B47" s="2717"/>
      <c r="C47" s="2717"/>
      <c r="D47" s="2717"/>
      <c r="E47" s="2717"/>
      <c r="F47" s="2717"/>
      <c r="G47" s="2718"/>
      <c r="H47" s="2717"/>
      <c r="I47" s="2718"/>
      <c r="J47" s="2717"/>
      <c r="K47" s="2717"/>
      <c r="L47" s="2718"/>
      <c r="M47" s="2717"/>
      <c r="N47" s="2717"/>
      <c r="O47" s="2718"/>
      <c r="P47" s="2717"/>
      <c r="Q47" s="2717"/>
      <c r="R47" s="2719"/>
    </row>
    <row r="48" spans="2:18" s="907" customFormat="1" x14ac:dyDescent="0.2">
      <c r="B48" s="2717"/>
      <c r="C48" s="2717"/>
      <c r="D48" s="2717"/>
      <c r="E48" s="2717"/>
      <c r="F48" s="2717"/>
      <c r="G48" s="2718"/>
      <c r="H48" s="2717"/>
      <c r="I48" s="2718"/>
      <c r="J48" s="2717"/>
      <c r="K48" s="2717"/>
      <c r="L48" s="2718"/>
      <c r="M48" s="2717"/>
      <c r="N48" s="2717"/>
      <c r="O48" s="2718"/>
      <c r="P48" s="2717"/>
      <c r="Q48" s="2717"/>
      <c r="R48" s="2719"/>
    </row>
    <row r="49" spans="2:18" s="907" customFormat="1" x14ac:dyDescent="0.2">
      <c r="B49" s="2717"/>
      <c r="C49" s="2717"/>
      <c r="D49" s="2717"/>
      <c r="E49" s="2717"/>
      <c r="F49" s="2717"/>
      <c r="G49" s="2718"/>
      <c r="H49" s="2717"/>
      <c r="I49" s="2718"/>
      <c r="J49" s="2717"/>
      <c r="K49" s="2717"/>
      <c r="L49" s="2718"/>
      <c r="M49" s="2717"/>
      <c r="N49" s="2717"/>
      <c r="O49" s="2718"/>
      <c r="P49" s="2717"/>
      <c r="Q49" s="2717"/>
      <c r="R49" s="2719"/>
    </row>
    <row r="50" spans="2:18" s="907" customFormat="1" x14ac:dyDescent="0.2">
      <c r="B50" s="2717"/>
      <c r="C50" s="2717"/>
      <c r="D50" s="2717"/>
      <c r="E50" s="2717"/>
      <c r="F50" s="2717"/>
      <c r="G50" s="2718"/>
      <c r="H50" s="2717"/>
      <c r="I50" s="2718"/>
      <c r="J50" s="2717"/>
      <c r="K50" s="2717"/>
      <c r="L50" s="2718"/>
      <c r="M50" s="2717"/>
      <c r="N50" s="2717"/>
      <c r="O50" s="2718"/>
      <c r="P50" s="2717"/>
      <c r="Q50" s="2717"/>
      <c r="R50" s="2719"/>
    </row>
    <row r="51" spans="2:18" s="907" customFormat="1" x14ac:dyDescent="0.2">
      <c r="B51" s="2717"/>
      <c r="C51" s="2717"/>
      <c r="D51" s="2717"/>
      <c r="E51" s="2717"/>
      <c r="F51" s="2717"/>
      <c r="G51" s="2718"/>
      <c r="H51" s="2717"/>
      <c r="I51" s="2718"/>
      <c r="J51" s="2717"/>
      <c r="K51" s="2717"/>
      <c r="L51" s="2718"/>
      <c r="M51" s="2717"/>
      <c r="N51" s="2717"/>
      <c r="O51" s="2718"/>
      <c r="P51" s="2717"/>
      <c r="Q51" s="2717"/>
      <c r="R51" s="2719"/>
    </row>
    <row r="52" spans="2:18" s="907" customFormat="1" x14ac:dyDescent="0.2">
      <c r="B52" s="2717"/>
      <c r="C52" s="2717"/>
      <c r="D52" s="2717"/>
      <c r="E52" s="2717"/>
      <c r="F52" s="2717"/>
      <c r="G52" s="2718"/>
      <c r="H52" s="2717"/>
      <c r="I52" s="2718"/>
      <c r="J52" s="2717"/>
      <c r="K52" s="2717"/>
      <c r="L52" s="2718"/>
      <c r="M52" s="2717"/>
      <c r="N52" s="2717"/>
      <c r="O52" s="2718"/>
      <c r="P52" s="2717"/>
      <c r="Q52" s="2717"/>
      <c r="R52" s="2719"/>
    </row>
    <row r="53" spans="2:18" s="907" customFormat="1" x14ac:dyDescent="0.2">
      <c r="B53" s="2717"/>
      <c r="C53" s="2717"/>
      <c r="D53" s="2717"/>
      <c r="E53" s="2717"/>
      <c r="F53" s="2717"/>
      <c r="G53" s="2718"/>
      <c r="H53" s="2717"/>
      <c r="I53" s="2718"/>
      <c r="J53" s="2717"/>
      <c r="K53" s="2717"/>
      <c r="L53" s="2718"/>
      <c r="M53" s="2717"/>
      <c r="N53" s="2717"/>
      <c r="O53" s="2718"/>
      <c r="P53" s="2717"/>
      <c r="Q53" s="2717"/>
      <c r="R53" s="2719"/>
    </row>
    <row r="54" spans="2:18" s="907" customFormat="1" x14ac:dyDescent="0.2">
      <c r="B54" s="2717"/>
      <c r="C54" s="2717"/>
      <c r="D54" s="2717"/>
      <c r="E54" s="2717"/>
      <c r="F54" s="2717"/>
      <c r="G54" s="2718"/>
      <c r="H54" s="2717"/>
      <c r="I54" s="2718"/>
      <c r="J54" s="2717"/>
      <c r="K54" s="2717"/>
      <c r="L54" s="2718"/>
      <c r="M54" s="2717"/>
      <c r="N54" s="2717"/>
      <c r="O54" s="2718"/>
      <c r="P54" s="2717"/>
      <c r="Q54" s="2717"/>
      <c r="R54" s="2719"/>
    </row>
    <row r="55" spans="2:18" s="907" customFormat="1" x14ac:dyDescent="0.2">
      <c r="B55" s="2717"/>
      <c r="C55" s="2717"/>
      <c r="D55" s="2717"/>
      <c r="E55" s="2717"/>
      <c r="F55" s="2717"/>
      <c r="G55" s="2718"/>
      <c r="H55" s="2717"/>
      <c r="I55" s="2718"/>
      <c r="J55" s="2717"/>
      <c r="K55" s="2717"/>
      <c r="L55" s="2718"/>
      <c r="M55" s="2717"/>
      <c r="N55" s="2717"/>
      <c r="O55" s="2718"/>
      <c r="P55" s="2717"/>
      <c r="Q55" s="2717"/>
      <c r="R55" s="2719"/>
    </row>
    <row r="56" spans="2:18" s="907" customFormat="1" x14ac:dyDescent="0.2">
      <c r="B56" s="2717"/>
      <c r="C56" s="2717"/>
      <c r="D56" s="2717"/>
      <c r="E56" s="2717"/>
      <c r="F56" s="2717"/>
      <c r="G56" s="2718"/>
      <c r="H56" s="2717"/>
      <c r="I56" s="2718"/>
      <c r="J56" s="2717"/>
      <c r="K56" s="2717"/>
      <c r="L56" s="2718"/>
      <c r="M56" s="2717"/>
      <c r="N56" s="2717"/>
      <c r="O56" s="2718"/>
      <c r="P56" s="2717"/>
      <c r="Q56" s="2717"/>
      <c r="R56" s="2719"/>
    </row>
    <row r="57" spans="2:18" s="907" customFormat="1" x14ac:dyDescent="0.2">
      <c r="B57" s="2717"/>
      <c r="C57" s="2717"/>
      <c r="D57" s="2717"/>
      <c r="E57" s="2717"/>
      <c r="F57" s="2717"/>
      <c r="G57" s="2718"/>
      <c r="H57" s="2717"/>
      <c r="I57" s="2718"/>
      <c r="J57" s="2717"/>
      <c r="K57" s="2717"/>
      <c r="L57" s="2718"/>
      <c r="M57" s="2717"/>
      <c r="N57" s="2717"/>
      <c r="O57" s="2718"/>
      <c r="P57" s="2717"/>
      <c r="Q57" s="2717"/>
      <c r="R57" s="2719"/>
    </row>
    <row r="58" spans="2:18" s="907" customFormat="1" x14ac:dyDescent="0.2">
      <c r="B58" s="2717"/>
      <c r="C58" s="2717"/>
      <c r="D58" s="2717"/>
      <c r="E58" s="2717"/>
      <c r="F58" s="2717"/>
      <c r="G58" s="2718"/>
      <c r="H58" s="2717"/>
      <c r="I58" s="2718"/>
      <c r="J58" s="2717"/>
      <c r="K58" s="2717"/>
      <c r="L58" s="2718"/>
      <c r="M58" s="2717"/>
      <c r="N58" s="2717"/>
      <c r="O58" s="2718"/>
      <c r="P58" s="2717"/>
      <c r="Q58" s="2717"/>
      <c r="R58" s="2719"/>
    </row>
    <row r="59" spans="2:18" s="907" customFormat="1" x14ac:dyDescent="0.2">
      <c r="B59" s="2717"/>
      <c r="C59" s="2717"/>
      <c r="D59" s="2717"/>
      <c r="E59" s="2717"/>
      <c r="F59" s="2717"/>
      <c r="G59" s="2718"/>
      <c r="H59" s="2717"/>
      <c r="I59" s="2718"/>
      <c r="J59" s="2717"/>
      <c r="K59" s="2717"/>
      <c r="L59" s="2718"/>
      <c r="M59" s="2717"/>
      <c r="N59" s="2717"/>
      <c r="O59" s="2718"/>
      <c r="P59" s="2717"/>
      <c r="Q59" s="2717"/>
      <c r="R59" s="2719"/>
    </row>
    <row r="60" spans="2:18" s="907" customFormat="1" x14ac:dyDescent="0.2">
      <c r="B60" s="2717"/>
      <c r="C60" s="2717"/>
      <c r="D60" s="2717"/>
      <c r="E60" s="2717"/>
      <c r="F60" s="2717"/>
      <c r="G60" s="2718"/>
      <c r="H60" s="2717"/>
      <c r="I60" s="2718"/>
      <c r="J60" s="2717"/>
      <c r="K60" s="2717"/>
      <c r="L60" s="2718"/>
      <c r="M60" s="2717"/>
      <c r="N60" s="2717"/>
      <c r="O60" s="2718"/>
      <c r="P60" s="2717"/>
      <c r="Q60" s="2717"/>
      <c r="R60" s="2719"/>
    </row>
    <row r="61" spans="2:18" s="907" customFormat="1" x14ac:dyDescent="0.2">
      <c r="B61" s="2717"/>
      <c r="C61" s="2717"/>
      <c r="D61" s="2717"/>
      <c r="E61" s="2717"/>
      <c r="F61" s="2717"/>
      <c r="G61" s="2718"/>
      <c r="H61" s="2717"/>
      <c r="I61" s="2718"/>
      <c r="J61" s="2717"/>
      <c r="K61" s="2717"/>
      <c r="L61" s="2718"/>
      <c r="M61" s="2717"/>
      <c r="N61" s="2717"/>
      <c r="O61" s="2718"/>
      <c r="P61" s="2717"/>
      <c r="Q61" s="2717"/>
      <c r="R61" s="2719"/>
    </row>
    <row r="62" spans="2:18" s="907" customFormat="1" x14ac:dyDescent="0.2">
      <c r="B62" s="2717"/>
      <c r="C62" s="2717"/>
      <c r="D62" s="2717"/>
      <c r="E62" s="2717"/>
      <c r="F62" s="2717"/>
      <c r="G62" s="2718"/>
      <c r="H62" s="2717"/>
      <c r="I62" s="2718"/>
      <c r="J62" s="2717"/>
      <c r="K62" s="2717"/>
      <c r="L62" s="2718"/>
      <c r="M62" s="2717"/>
      <c r="N62" s="2717"/>
      <c r="O62" s="2718"/>
      <c r="P62" s="2717"/>
      <c r="Q62" s="2717"/>
      <c r="R62" s="2719"/>
    </row>
    <row r="63" spans="2:18" s="907" customFormat="1" x14ac:dyDescent="0.2">
      <c r="B63" s="2717"/>
      <c r="C63" s="2717"/>
      <c r="D63" s="2717"/>
      <c r="E63" s="2717"/>
      <c r="F63" s="2717"/>
      <c r="G63" s="2718"/>
      <c r="H63" s="2717"/>
      <c r="I63" s="2718"/>
      <c r="J63" s="2717"/>
      <c r="K63" s="2717"/>
      <c r="L63" s="2718"/>
      <c r="M63" s="2717"/>
      <c r="N63" s="2717"/>
      <c r="O63" s="2718"/>
      <c r="P63" s="2717"/>
      <c r="Q63" s="2717"/>
      <c r="R63" s="2719"/>
    </row>
    <row r="64" spans="2:18" s="907" customFormat="1" x14ac:dyDescent="0.2">
      <c r="B64" s="2717"/>
      <c r="C64" s="2717"/>
      <c r="D64" s="2717"/>
      <c r="E64" s="2717"/>
      <c r="F64" s="2717"/>
      <c r="G64" s="2718"/>
      <c r="H64" s="2717"/>
      <c r="I64" s="2718"/>
      <c r="J64" s="2717"/>
      <c r="K64" s="2717"/>
      <c r="L64" s="2718"/>
      <c r="M64" s="2717"/>
      <c r="N64" s="2717"/>
      <c r="O64" s="2718"/>
      <c r="P64" s="2717"/>
      <c r="Q64" s="2717"/>
      <c r="R64" s="2719"/>
    </row>
    <row r="65" spans="2:18" s="907" customFormat="1" x14ac:dyDescent="0.2">
      <c r="B65" s="2717"/>
      <c r="C65" s="2717"/>
      <c r="D65" s="2717"/>
      <c r="E65" s="2717"/>
      <c r="F65" s="2717"/>
      <c r="G65" s="2718"/>
      <c r="H65" s="2717"/>
      <c r="I65" s="2718"/>
      <c r="J65" s="2717"/>
      <c r="K65" s="2717"/>
      <c r="L65" s="2718"/>
      <c r="M65" s="2717"/>
      <c r="N65" s="2717"/>
      <c r="O65" s="2718"/>
      <c r="P65" s="2717"/>
      <c r="Q65" s="2717"/>
      <c r="R65" s="2719"/>
    </row>
    <row r="66" spans="2:18" s="907" customFormat="1" x14ac:dyDescent="0.2">
      <c r="B66" s="2717"/>
      <c r="C66" s="2717"/>
      <c r="D66" s="2717"/>
      <c r="E66" s="2717"/>
      <c r="F66" s="2717"/>
      <c r="G66" s="2718"/>
      <c r="H66" s="2717"/>
      <c r="I66" s="2718"/>
      <c r="J66" s="2717"/>
      <c r="K66" s="2717"/>
      <c r="L66" s="2718"/>
      <c r="M66" s="2717"/>
      <c r="N66" s="2717"/>
      <c r="O66" s="2718"/>
      <c r="P66" s="2717"/>
      <c r="Q66" s="2717"/>
      <c r="R66" s="2719"/>
    </row>
    <row r="67" spans="2:18" s="907" customFormat="1" x14ac:dyDescent="0.2">
      <c r="B67" s="2717"/>
      <c r="C67" s="2717"/>
      <c r="D67" s="2717"/>
      <c r="E67" s="2717"/>
      <c r="F67" s="2717"/>
      <c r="G67" s="2718"/>
      <c r="H67" s="2717"/>
      <c r="I67" s="2718"/>
      <c r="J67" s="2717"/>
      <c r="K67" s="2717"/>
      <c r="L67" s="2718"/>
      <c r="M67" s="2717"/>
      <c r="N67" s="2717"/>
      <c r="O67" s="2718"/>
      <c r="P67" s="2717"/>
      <c r="Q67" s="2717"/>
      <c r="R67" s="2719"/>
    </row>
    <row r="68" spans="2:18" s="907" customFormat="1" x14ac:dyDescent="0.2">
      <c r="B68" s="2717"/>
      <c r="C68" s="2717"/>
      <c r="D68" s="2717"/>
      <c r="E68" s="2717"/>
      <c r="F68" s="2717"/>
      <c r="G68" s="2718"/>
      <c r="H68" s="2717"/>
      <c r="I68" s="2718"/>
      <c r="J68" s="2717"/>
      <c r="K68" s="2717"/>
      <c r="L68" s="2718"/>
      <c r="M68" s="2717"/>
      <c r="N68" s="2717"/>
      <c r="O68" s="2718"/>
      <c r="P68" s="2717"/>
      <c r="Q68" s="2717"/>
      <c r="R68" s="2719"/>
    </row>
    <row r="69" spans="2:18" s="907" customFormat="1" x14ac:dyDescent="0.2">
      <c r="B69" s="2717"/>
      <c r="C69" s="2717"/>
      <c r="D69" s="2717"/>
      <c r="E69" s="2717"/>
      <c r="F69" s="2717"/>
      <c r="G69" s="2718"/>
      <c r="H69" s="2717"/>
      <c r="I69" s="2718"/>
      <c r="J69" s="2717"/>
      <c r="K69" s="2717"/>
      <c r="L69" s="2718"/>
      <c r="M69" s="2717"/>
      <c r="N69" s="2717"/>
      <c r="O69" s="2718"/>
      <c r="P69" s="2717"/>
      <c r="Q69" s="2717"/>
      <c r="R69" s="2719"/>
    </row>
    <row r="70" spans="2:18" s="907" customFormat="1" x14ac:dyDescent="0.2">
      <c r="B70" s="2717"/>
      <c r="C70" s="2717"/>
      <c r="D70" s="2717"/>
      <c r="E70" s="2717"/>
      <c r="F70" s="2717"/>
      <c r="G70" s="2718"/>
      <c r="H70" s="2717"/>
      <c r="I70" s="2718"/>
      <c r="J70" s="2717"/>
      <c r="K70" s="2717"/>
      <c r="L70" s="2718"/>
      <c r="M70" s="2717"/>
      <c r="N70" s="2717"/>
      <c r="O70" s="2718"/>
      <c r="P70" s="2717"/>
      <c r="Q70" s="2717"/>
      <c r="R70" s="2719"/>
    </row>
    <row r="71" spans="2:18" s="907" customFormat="1" x14ac:dyDescent="0.2">
      <c r="B71" s="2717"/>
      <c r="C71" s="2717"/>
      <c r="D71" s="2717"/>
      <c r="E71" s="2717"/>
      <c r="F71" s="2717"/>
      <c r="G71" s="2718"/>
      <c r="H71" s="2717"/>
      <c r="I71" s="2718"/>
      <c r="J71" s="2717"/>
      <c r="K71" s="2717"/>
      <c r="L71" s="2718"/>
      <c r="M71" s="2717"/>
      <c r="N71" s="2717"/>
      <c r="O71" s="2718"/>
      <c r="P71" s="2717"/>
      <c r="Q71" s="2717"/>
      <c r="R71" s="2719"/>
    </row>
    <row r="72" spans="2:18" s="907" customFormat="1" x14ac:dyDescent="0.2">
      <c r="B72" s="2717"/>
      <c r="C72" s="2717"/>
      <c r="D72" s="2717"/>
      <c r="E72" s="2717"/>
      <c r="F72" s="2717"/>
      <c r="G72" s="2718"/>
      <c r="H72" s="2717"/>
      <c r="I72" s="2718"/>
      <c r="J72" s="2717"/>
      <c r="K72" s="2717"/>
      <c r="L72" s="2718"/>
      <c r="M72" s="2717"/>
      <c r="N72" s="2717"/>
      <c r="O72" s="2718"/>
      <c r="P72" s="2717"/>
      <c r="Q72" s="2717"/>
      <c r="R72" s="2719"/>
    </row>
    <row r="73" spans="2:18" s="907" customFormat="1" x14ac:dyDescent="0.2">
      <c r="B73" s="2717"/>
      <c r="C73" s="2717"/>
      <c r="D73" s="2717"/>
      <c r="E73" s="2717"/>
      <c r="F73" s="2717"/>
      <c r="G73" s="2718"/>
      <c r="H73" s="2717"/>
      <c r="I73" s="2718"/>
      <c r="J73" s="2717"/>
      <c r="K73" s="2717"/>
      <c r="L73" s="2718"/>
      <c r="M73" s="2717"/>
      <c r="N73" s="2717"/>
      <c r="O73" s="2718"/>
      <c r="P73" s="2717"/>
      <c r="Q73" s="2717"/>
      <c r="R73" s="2719"/>
    </row>
    <row r="74" spans="2:18" s="907" customFormat="1" x14ac:dyDescent="0.2">
      <c r="B74" s="2717"/>
      <c r="C74" s="2717"/>
      <c r="D74" s="2717"/>
      <c r="E74" s="2717"/>
      <c r="F74" s="2717"/>
      <c r="G74" s="2718"/>
      <c r="H74" s="2717"/>
      <c r="I74" s="2718"/>
      <c r="J74" s="2717"/>
      <c r="K74" s="2717"/>
      <c r="L74" s="2718"/>
      <c r="M74" s="2717"/>
      <c r="N74" s="2717"/>
      <c r="O74" s="2718"/>
      <c r="P74" s="2717"/>
      <c r="Q74" s="2717"/>
      <c r="R74" s="2719"/>
    </row>
    <row r="75" spans="2:18" s="907" customFormat="1" x14ac:dyDescent="0.2">
      <c r="B75" s="2717"/>
      <c r="C75" s="2717"/>
      <c r="D75" s="2717"/>
      <c r="E75" s="2717"/>
      <c r="F75" s="2717"/>
      <c r="G75" s="2718"/>
      <c r="H75" s="2717"/>
      <c r="I75" s="2718"/>
      <c r="J75" s="2717"/>
      <c r="K75" s="2717"/>
      <c r="L75" s="2718"/>
      <c r="M75" s="2717"/>
      <c r="N75" s="2717"/>
      <c r="O75" s="2718"/>
      <c r="P75" s="2717"/>
      <c r="Q75" s="2717"/>
      <c r="R75" s="2719"/>
    </row>
    <row r="76" spans="2:18" s="907" customFormat="1" x14ac:dyDescent="0.2">
      <c r="B76" s="2717"/>
      <c r="C76" s="2717"/>
      <c r="D76" s="2717"/>
      <c r="E76" s="2717"/>
      <c r="F76" s="2717"/>
      <c r="G76" s="2718"/>
      <c r="H76" s="2717"/>
      <c r="I76" s="2718"/>
      <c r="J76" s="2717"/>
      <c r="K76" s="2717"/>
      <c r="L76" s="2718"/>
      <c r="M76" s="2717"/>
      <c r="N76" s="2717"/>
      <c r="O76" s="2718"/>
      <c r="P76" s="2717"/>
      <c r="Q76" s="2717"/>
      <c r="R76" s="2719"/>
    </row>
    <row r="77" spans="2:18" s="907" customFormat="1" x14ac:dyDescent="0.2">
      <c r="B77" s="2717"/>
      <c r="C77" s="2717"/>
      <c r="D77" s="2717"/>
      <c r="E77" s="2717"/>
      <c r="F77" s="2717"/>
      <c r="G77" s="2718"/>
      <c r="H77" s="2717"/>
      <c r="I77" s="2718"/>
      <c r="J77" s="2717"/>
      <c r="K77" s="2717"/>
      <c r="L77" s="2718"/>
      <c r="M77" s="2717"/>
      <c r="N77" s="2717"/>
      <c r="O77" s="2718"/>
      <c r="P77" s="2717"/>
      <c r="Q77" s="2717"/>
      <c r="R77" s="2719"/>
    </row>
    <row r="78" spans="2:18" s="907" customFormat="1" x14ac:dyDescent="0.2">
      <c r="B78" s="2717"/>
      <c r="C78" s="2717"/>
      <c r="D78" s="2717"/>
      <c r="E78" s="2717"/>
      <c r="F78" s="2717"/>
      <c r="G78" s="2718"/>
      <c r="H78" s="2717"/>
      <c r="I78" s="2718"/>
      <c r="J78" s="2717"/>
      <c r="K78" s="2717"/>
      <c r="L78" s="2718"/>
      <c r="M78" s="2717"/>
      <c r="N78" s="2717"/>
      <c r="O78" s="2718"/>
      <c r="P78" s="2717"/>
      <c r="Q78" s="2717"/>
      <c r="R78" s="2719"/>
    </row>
    <row r="79" spans="2:18" s="907" customFormat="1" x14ac:dyDescent="0.2">
      <c r="B79" s="2717"/>
      <c r="C79" s="2717"/>
      <c r="D79" s="2717"/>
      <c r="E79" s="2717"/>
      <c r="F79" s="2717"/>
      <c r="G79" s="2718"/>
      <c r="H79" s="2717"/>
      <c r="I79" s="2718"/>
      <c r="J79" s="2717"/>
      <c r="K79" s="2717"/>
      <c r="L79" s="2718"/>
      <c r="M79" s="2717"/>
      <c r="N79" s="2717"/>
      <c r="O79" s="2718"/>
      <c r="P79" s="2717"/>
      <c r="Q79" s="2717"/>
      <c r="R79" s="2719"/>
    </row>
    <row r="80" spans="2:18" s="907" customFormat="1" x14ac:dyDescent="0.2">
      <c r="B80" s="2717"/>
      <c r="C80" s="2717"/>
      <c r="D80" s="2717"/>
      <c r="E80" s="2717"/>
      <c r="F80" s="2717"/>
      <c r="G80" s="2718"/>
      <c r="H80" s="2717"/>
      <c r="I80" s="2718"/>
      <c r="J80" s="2717"/>
      <c r="K80" s="2717"/>
      <c r="L80" s="2718"/>
      <c r="M80" s="2717"/>
      <c r="N80" s="2717"/>
      <c r="O80" s="2718"/>
      <c r="P80" s="2717"/>
      <c r="Q80" s="2717"/>
      <c r="R80" s="2719"/>
    </row>
    <row r="81" spans="2:18" s="907" customFormat="1" x14ac:dyDescent="0.2">
      <c r="B81" s="2717"/>
      <c r="C81" s="2717"/>
      <c r="D81" s="2717"/>
      <c r="E81" s="2717"/>
      <c r="F81" s="2717"/>
      <c r="G81" s="2718"/>
      <c r="H81" s="2717"/>
      <c r="I81" s="2718"/>
      <c r="J81" s="2717"/>
      <c r="K81" s="2717"/>
      <c r="L81" s="2718"/>
      <c r="M81" s="2717"/>
      <c r="N81" s="2717"/>
      <c r="O81" s="2718"/>
      <c r="P81" s="2717"/>
      <c r="Q81" s="2717"/>
      <c r="R81" s="2719"/>
    </row>
    <row r="82" spans="2:18" s="907" customFormat="1" x14ac:dyDescent="0.2">
      <c r="B82" s="2717"/>
      <c r="C82" s="2717"/>
      <c r="D82" s="2717"/>
      <c r="E82" s="2717"/>
      <c r="F82" s="2717"/>
      <c r="G82" s="2718"/>
      <c r="H82" s="2717"/>
      <c r="I82" s="2718"/>
      <c r="J82" s="2717"/>
      <c r="K82" s="2717"/>
      <c r="L82" s="2718"/>
      <c r="M82" s="2717"/>
      <c r="N82" s="2717"/>
      <c r="O82" s="2718"/>
      <c r="P82" s="2717"/>
      <c r="Q82" s="2717"/>
      <c r="R82" s="2719"/>
    </row>
    <row r="83" spans="2:18" s="907" customFormat="1" x14ac:dyDescent="0.2">
      <c r="B83" s="2717"/>
      <c r="C83" s="2717"/>
      <c r="D83" s="2717"/>
      <c r="E83" s="2717"/>
      <c r="F83" s="2717"/>
      <c r="G83" s="2718"/>
      <c r="H83" s="2717"/>
      <c r="I83" s="2718"/>
      <c r="J83" s="2717"/>
      <c r="K83" s="2717"/>
      <c r="L83" s="2718"/>
      <c r="M83" s="2717"/>
      <c r="N83" s="2717"/>
      <c r="O83" s="2718"/>
      <c r="P83" s="2717"/>
      <c r="Q83" s="2717"/>
      <c r="R83" s="2719"/>
    </row>
    <row r="84" spans="2:18" s="907" customFormat="1" x14ac:dyDescent="0.2">
      <c r="B84" s="2717"/>
      <c r="C84" s="2717"/>
      <c r="D84" s="2717"/>
      <c r="E84" s="2717"/>
      <c r="F84" s="2717"/>
      <c r="G84" s="2718"/>
      <c r="H84" s="2717"/>
      <c r="I84" s="2718"/>
      <c r="J84" s="2717"/>
      <c r="K84" s="2717"/>
      <c r="L84" s="2718"/>
      <c r="M84" s="2717"/>
      <c r="N84" s="2717"/>
      <c r="O84" s="2718"/>
      <c r="P84" s="2717"/>
      <c r="Q84" s="2717"/>
      <c r="R84" s="2719"/>
    </row>
    <row r="85" spans="2:18" s="907" customFormat="1" x14ac:dyDescent="0.2">
      <c r="B85" s="2717"/>
      <c r="C85" s="2717"/>
      <c r="D85" s="2717"/>
      <c r="E85" s="2717"/>
      <c r="F85" s="2717"/>
      <c r="G85" s="2718"/>
      <c r="H85" s="2717"/>
      <c r="I85" s="2718"/>
      <c r="J85" s="2717"/>
      <c r="K85" s="2717"/>
      <c r="L85" s="2718"/>
      <c r="M85" s="2717"/>
      <c r="N85" s="2717"/>
      <c r="O85" s="2718"/>
      <c r="P85" s="2717"/>
      <c r="Q85" s="2717"/>
      <c r="R85" s="2719"/>
    </row>
    <row r="86" spans="2:18" s="907" customFormat="1" x14ac:dyDescent="0.2">
      <c r="B86" s="2717"/>
      <c r="C86" s="2717"/>
      <c r="D86" s="2717"/>
      <c r="E86" s="2717"/>
      <c r="F86" s="2717"/>
      <c r="G86" s="2718"/>
      <c r="H86" s="2717"/>
      <c r="I86" s="2718"/>
      <c r="J86" s="2717"/>
      <c r="K86" s="2717"/>
      <c r="L86" s="2718"/>
      <c r="M86" s="2717"/>
      <c r="N86" s="2717"/>
      <c r="O86" s="2718"/>
      <c r="P86" s="2717"/>
      <c r="Q86" s="2717"/>
      <c r="R86" s="2719"/>
    </row>
    <row r="87" spans="2:18" s="907" customFormat="1" x14ac:dyDescent="0.2">
      <c r="B87" s="2717"/>
      <c r="C87" s="2717"/>
      <c r="D87" s="2717"/>
      <c r="E87" s="2717"/>
      <c r="F87" s="2717"/>
      <c r="G87" s="2718"/>
      <c r="H87" s="2717"/>
      <c r="I87" s="2718"/>
      <c r="J87" s="2717"/>
      <c r="K87" s="2717"/>
      <c r="L87" s="2718"/>
      <c r="M87" s="2717"/>
      <c r="N87" s="2717"/>
      <c r="O87" s="2718"/>
      <c r="P87" s="2717"/>
      <c r="Q87" s="2717"/>
      <c r="R87" s="2719"/>
    </row>
    <row r="88" spans="2:18" s="907" customFormat="1" x14ac:dyDescent="0.2">
      <c r="B88" s="2717"/>
      <c r="C88" s="2717"/>
      <c r="D88" s="2717"/>
      <c r="E88" s="2717"/>
      <c r="F88" s="2717"/>
      <c r="G88" s="2718"/>
      <c r="H88" s="2717"/>
      <c r="I88" s="2718"/>
      <c r="J88" s="2717"/>
      <c r="K88" s="2717"/>
      <c r="L88" s="2718"/>
      <c r="M88" s="2717"/>
      <c r="N88" s="2717"/>
      <c r="O88" s="2718"/>
      <c r="P88" s="2717"/>
      <c r="Q88" s="2717"/>
      <c r="R88" s="2719"/>
    </row>
    <row r="89" spans="2:18" s="907" customFormat="1" x14ac:dyDescent="0.2">
      <c r="B89" s="2717"/>
      <c r="C89" s="2717"/>
      <c r="D89" s="2717"/>
      <c r="E89" s="2717"/>
      <c r="F89" s="2717"/>
      <c r="G89" s="2718"/>
      <c r="H89" s="2717"/>
      <c r="I89" s="2718"/>
      <c r="J89" s="2717"/>
      <c r="K89" s="2717"/>
      <c r="L89" s="2718"/>
      <c r="M89" s="2717"/>
      <c r="N89" s="2717"/>
      <c r="O89" s="2718"/>
      <c r="P89" s="2717"/>
      <c r="Q89" s="2717"/>
      <c r="R89" s="2719"/>
    </row>
    <row r="90" spans="2:18" s="907" customFormat="1" x14ac:dyDescent="0.2">
      <c r="B90" s="2717"/>
      <c r="C90" s="2717"/>
      <c r="D90" s="2717"/>
      <c r="E90" s="2717"/>
      <c r="F90" s="2717"/>
      <c r="G90" s="2718"/>
      <c r="H90" s="2717"/>
      <c r="I90" s="2718"/>
      <c r="J90" s="2717"/>
      <c r="K90" s="2717"/>
      <c r="L90" s="2718"/>
      <c r="M90" s="2717"/>
      <c r="N90" s="2717"/>
      <c r="O90" s="2718"/>
      <c r="P90" s="2717"/>
      <c r="Q90" s="2717"/>
      <c r="R90" s="2719"/>
    </row>
    <row r="91" spans="2:18" s="907" customFormat="1" x14ac:dyDescent="0.2">
      <c r="B91" s="2717"/>
      <c r="C91" s="2717"/>
      <c r="D91" s="2717"/>
      <c r="E91" s="2717"/>
      <c r="F91" s="2717"/>
      <c r="G91" s="2718"/>
      <c r="H91" s="2717"/>
      <c r="I91" s="2718"/>
      <c r="J91" s="2717"/>
      <c r="K91" s="2717"/>
      <c r="L91" s="2718"/>
      <c r="M91" s="2717"/>
      <c r="N91" s="2717"/>
      <c r="O91" s="2718"/>
      <c r="P91" s="2717"/>
      <c r="Q91" s="2717"/>
      <c r="R91" s="2719"/>
    </row>
    <row r="92" spans="2:18" s="907" customFormat="1" x14ac:dyDescent="0.2">
      <c r="B92" s="2717"/>
      <c r="C92" s="2717"/>
      <c r="D92" s="2717"/>
      <c r="E92" s="2717"/>
      <c r="F92" s="2717"/>
      <c r="G92" s="2718"/>
      <c r="H92" s="2717"/>
      <c r="I92" s="2718"/>
      <c r="J92" s="2717"/>
      <c r="K92" s="2717"/>
      <c r="L92" s="2718"/>
      <c r="M92" s="2717"/>
      <c r="N92" s="2717"/>
      <c r="O92" s="2718"/>
      <c r="P92" s="2717"/>
      <c r="Q92" s="2717"/>
      <c r="R92" s="2719"/>
    </row>
    <row r="93" spans="2:18" s="907" customFormat="1" x14ac:dyDescent="0.2">
      <c r="B93" s="2717"/>
      <c r="C93" s="2717"/>
      <c r="D93" s="2717"/>
      <c r="E93" s="2717"/>
      <c r="F93" s="2717"/>
      <c r="G93" s="2718"/>
      <c r="H93" s="2717"/>
      <c r="I93" s="2718"/>
      <c r="J93" s="2717"/>
      <c r="K93" s="2717"/>
      <c r="L93" s="2718"/>
      <c r="M93" s="2717"/>
      <c r="N93" s="2717"/>
      <c r="O93" s="2718"/>
      <c r="P93" s="2717"/>
      <c r="Q93" s="2717"/>
      <c r="R93" s="2719"/>
    </row>
    <row r="94" spans="2:18" s="907" customFormat="1" x14ac:dyDescent="0.2">
      <c r="B94" s="2717"/>
      <c r="C94" s="2717"/>
      <c r="D94" s="2717"/>
      <c r="E94" s="2717"/>
      <c r="F94" s="2717"/>
      <c r="G94" s="2718"/>
      <c r="H94" s="2717"/>
      <c r="I94" s="2718"/>
      <c r="J94" s="2717"/>
      <c r="K94" s="2717"/>
      <c r="L94" s="2718"/>
      <c r="M94" s="2717"/>
      <c r="N94" s="2717"/>
      <c r="O94" s="2718"/>
      <c r="P94" s="2717"/>
      <c r="Q94" s="2717"/>
      <c r="R94" s="2719"/>
    </row>
    <row r="95" spans="2:18" s="907" customFormat="1" x14ac:dyDescent="0.2">
      <c r="B95" s="2717"/>
      <c r="C95" s="2717"/>
      <c r="D95" s="2717"/>
      <c r="E95" s="2717"/>
      <c r="F95" s="2717"/>
      <c r="G95" s="2718"/>
      <c r="H95" s="2717"/>
      <c r="I95" s="2718"/>
      <c r="J95" s="2717"/>
      <c r="K95" s="2717"/>
      <c r="L95" s="2718"/>
      <c r="M95" s="2717"/>
      <c r="N95" s="2717"/>
      <c r="O95" s="2718"/>
      <c r="P95" s="2717"/>
      <c r="Q95" s="2717"/>
      <c r="R95" s="2719"/>
    </row>
    <row r="96" spans="2:18" s="907" customFormat="1" x14ac:dyDescent="0.2">
      <c r="B96" s="2717"/>
      <c r="C96" s="2717"/>
      <c r="D96" s="2717"/>
      <c r="E96" s="2717"/>
      <c r="F96" s="2717"/>
      <c r="G96" s="2718"/>
      <c r="H96" s="2717"/>
      <c r="I96" s="2718"/>
      <c r="J96" s="2717"/>
      <c r="K96" s="2717"/>
      <c r="L96" s="2718"/>
      <c r="M96" s="2717"/>
      <c r="N96" s="2717"/>
      <c r="O96" s="2718"/>
      <c r="P96" s="2717"/>
      <c r="Q96" s="2717"/>
      <c r="R96" s="2719"/>
    </row>
    <row r="97" spans="2:18" s="907" customFormat="1" x14ac:dyDescent="0.2">
      <c r="B97" s="2717"/>
      <c r="C97" s="2717"/>
      <c r="D97" s="2717"/>
      <c r="E97" s="2717"/>
      <c r="F97" s="2717"/>
      <c r="G97" s="2718"/>
      <c r="H97" s="2717"/>
      <c r="I97" s="2718"/>
      <c r="J97" s="2717"/>
      <c r="K97" s="2717"/>
      <c r="L97" s="2718"/>
      <c r="M97" s="2717"/>
      <c r="N97" s="2717"/>
      <c r="O97" s="2718"/>
      <c r="P97" s="2717"/>
      <c r="Q97" s="2717"/>
      <c r="R97" s="2719"/>
    </row>
    <row r="98" spans="2:18" s="907" customFormat="1" x14ac:dyDescent="0.2">
      <c r="B98" s="2717"/>
      <c r="C98" s="2717"/>
      <c r="D98" s="2717"/>
      <c r="E98" s="2717"/>
      <c r="F98" s="2717"/>
      <c r="G98" s="2718"/>
      <c r="H98" s="2717"/>
      <c r="I98" s="2718"/>
      <c r="J98" s="2717"/>
      <c r="K98" s="2717"/>
      <c r="L98" s="2718"/>
      <c r="M98" s="2717"/>
      <c r="N98" s="2717"/>
      <c r="O98" s="2718"/>
      <c r="P98" s="2717"/>
      <c r="Q98" s="2717"/>
      <c r="R98" s="2719"/>
    </row>
    <row r="99" spans="2:18" s="907" customFormat="1" x14ac:dyDescent="0.2">
      <c r="B99" s="2717"/>
      <c r="C99" s="2717"/>
      <c r="D99" s="2717"/>
      <c r="E99" s="2717"/>
      <c r="F99" s="2717"/>
      <c r="G99" s="2718"/>
      <c r="H99" s="2717"/>
      <c r="I99" s="2718"/>
      <c r="J99" s="2717"/>
      <c r="K99" s="2717"/>
      <c r="L99" s="2718"/>
      <c r="M99" s="2717"/>
      <c r="N99" s="2717"/>
      <c r="O99" s="2718"/>
      <c r="P99" s="2717"/>
      <c r="Q99" s="2717"/>
      <c r="R99" s="2719"/>
    </row>
    <row r="100" spans="2:18" s="907" customFormat="1" x14ac:dyDescent="0.2">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x14ac:dyDescent="0.2">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x14ac:dyDescent="0.2">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x14ac:dyDescent="0.2">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x14ac:dyDescent="0.2">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x14ac:dyDescent="0.2">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x14ac:dyDescent="0.2">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x14ac:dyDescent="0.2">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x14ac:dyDescent="0.2">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x14ac:dyDescent="0.2">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x14ac:dyDescent="0.2">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x14ac:dyDescent="0.2">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x14ac:dyDescent="0.2">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x14ac:dyDescent="0.2">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x14ac:dyDescent="0.2">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x14ac:dyDescent="0.2">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x14ac:dyDescent="0.2">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x14ac:dyDescent="0.2">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x14ac:dyDescent="0.2">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x14ac:dyDescent="0.2">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x14ac:dyDescent="0.2">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x14ac:dyDescent="0.2">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x14ac:dyDescent="0.2">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x14ac:dyDescent="0.2">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x14ac:dyDescent="0.2">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x14ac:dyDescent="0.2">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x14ac:dyDescent="0.2">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x14ac:dyDescent="0.2">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x14ac:dyDescent="0.2">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x14ac:dyDescent="0.2">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x14ac:dyDescent="0.2">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x14ac:dyDescent="0.2">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x14ac:dyDescent="0.2">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x14ac:dyDescent="0.2">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x14ac:dyDescent="0.2">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x14ac:dyDescent="0.2">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x14ac:dyDescent="0.2">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x14ac:dyDescent="0.2">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x14ac:dyDescent="0.2">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x14ac:dyDescent="0.2">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x14ac:dyDescent="0.2">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x14ac:dyDescent="0.2">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x14ac:dyDescent="0.2">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x14ac:dyDescent="0.2">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x14ac:dyDescent="0.2">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x14ac:dyDescent="0.2">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x14ac:dyDescent="0.2">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x14ac:dyDescent="0.2">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x14ac:dyDescent="0.2">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x14ac:dyDescent="0.2">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x14ac:dyDescent="0.2">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x14ac:dyDescent="0.2">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x14ac:dyDescent="0.2">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x14ac:dyDescent="0.2">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x14ac:dyDescent="0.2">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x14ac:dyDescent="0.2">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x14ac:dyDescent="0.2">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x14ac:dyDescent="0.2">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x14ac:dyDescent="0.2">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x14ac:dyDescent="0.2">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x14ac:dyDescent="0.2">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x14ac:dyDescent="0.2">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x14ac:dyDescent="0.2">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x14ac:dyDescent="0.2">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x14ac:dyDescent="0.2">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x14ac:dyDescent="0.2">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x14ac:dyDescent="0.2">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x14ac:dyDescent="0.2">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x14ac:dyDescent="0.2">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x14ac:dyDescent="0.2">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x14ac:dyDescent="0.2">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x14ac:dyDescent="0.2">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x14ac:dyDescent="0.2">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x14ac:dyDescent="0.2">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x14ac:dyDescent="0.2">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x14ac:dyDescent="0.2">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x14ac:dyDescent="0.2">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x14ac:dyDescent="0.2">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x14ac:dyDescent="0.2">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x14ac:dyDescent="0.2">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x14ac:dyDescent="0.2">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x14ac:dyDescent="0.2">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x14ac:dyDescent="0.2">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x14ac:dyDescent="0.2">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x14ac:dyDescent="0.2">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x14ac:dyDescent="0.2">
      <c r="B185" s="2717"/>
      <c r="C185" s="2717"/>
      <c r="D185" s="2717"/>
      <c r="E185" s="2717"/>
      <c r="F185" s="2717"/>
      <c r="G185" s="2718"/>
      <c r="H185" s="2717"/>
      <c r="I185" s="2718"/>
      <c r="J185" s="2717"/>
      <c r="K185" s="2717"/>
      <c r="L185" s="2718"/>
      <c r="M185" s="2717"/>
      <c r="N185" s="2717"/>
      <c r="O185" s="2718"/>
      <c r="P185" s="2717"/>
      <c r="Q185" s="2717"/>
      <c r="R185" s="2719"/>
    </row>
    <row r="186" spans="1:18" x14ac:dyDescent="0.2">
      <c r="A186" s="907"/>
      <c r="B186" s="2717"/>
      <c r="C186" s="2717"/>
      <c r="E186" s="2717"/>
      <c r="F186" s="2717"/>
      <c r="G186" s="2718"/>
    </row>
    <row r="187" spans="1:18" x14ac:dyDescent="0.2">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2"/>
  <sheetViews>
    <sheetView view="pageBreakPreview" zoomScale="90" zoomScaleSheetLayoutView="90" zoomScalePageLayoutView="80" workbookViewId="0">
      <selection activeCell="C4" sqref="C4"/>
    </sheetView>
  </sheetViews>
  <sheetFormatPr baseColWidth="10" defaultColWidth="12.6640625" defaultRowHeight="21.75" customHeight="1" x14ac:dyDescent="0.2"/>
  <cols>
    <col min="1" max="2" width="12.6640625" style="1941"/>
    <col min="3" max="3" width="15.1640625" style="1941" customWidth="1"/>
    <col min="4" max="4" width="17.6640625" style="1941" customWidth="1"/>
    <col min="5" max="9" width="12.6640625" style="1941"/>
    <col min="10" max="11" width="12.6640625" style="734" customWidth="1"/>
    <col min="12" max="12" width="12.6640625" style="734"/>
    <col min="13" max="13" width="14.1640625" style="734" bestFit="1" customWidth="1"/>
    <col min="14" max="26" width="12.6640625" style="734"/>
    <col min="27" max="35" width="12.6640625" style="1940"/>
    <col min="36" max="16384" width="12.6640625" style="1941"/>
  </cols>
  <sheetData>
    <row r="1" spans="1:12" ht="21.75" customHeight="1" thickBot="1" x14ac:dyDescent="0.25">
      <c r="A1" s="1824" t="s">
        <v>1948</v>
      </c>
      <c r="B1" s="1935"/>
      <c r="C1" s="1936" t="s">
        <v>27</v>
      </c>
      <c r="D1" s="1935"/>
      <c r="E1" s="1935"/>
      <c r="F1" s="1937" t="s">
        <v>1949</v>
      </c>
      <c r="G1" s="1748" t="s">
        <v>3191</v>
      </c>
      <c r="H1" s="1938" t="str">
        <f>IF(G1="现房","——","估价对象范围")</f>
        <v>——</v>
      </c>
      <c r="I1" s="1939" t="s">
        <v>3202</v>
      </c>
    </row>
    <row r="2" spans="1:12" ht="21.75" customHeight="1" thickBot="1" x14ac:dyDescent="0.25">
      <c r="A2" s="3344" t="str">
        <f>项目基本情况!S2</f>
        <v>北京市房地产</v>
      </c>
      <c r="B2" s="3345"/>
      <c r="C2" s="3345"/>
      <c r="D2" s="3345"/>
      <c r="E2" s="3345"/>
      <c r="F2" s="3345"/>
      <c r="G2" s="3345"/>
      <c r="H2" s="3345"/>
      <c r="I2" s="3346"/>
    </row>
    <row r="3" spans="1:12" ht="14" x14ac:dyDescent="0.2">
      <c r="A3" s="3348" t="s">
        <v>1950</v>
      </c>
      <c r="B3" s="3349"/>
      <c r="C3" s="3349"/>
      <c r="D3" s="3349"/>
      <c r="E3" s="3349"/>
      <c r="F3" s="3349"/>
      <c r="G3" s="3349"/>
      <c r="H3" s="3349"/>
      <c r="I3" s="3349"/>
    </row>
    <row r="4" spans="1:12" ht="14" x14ac:dyDescent="0.2">
      <c r="A4" s="1942" t="s">
        <v>1951</v>
      </c>
      <c r="B4" s="1943" t="s">
        <v>1952</v>
      </c>
      <c r="C4" s="1944" t="s">
        <v>3203</v>
      </c>
      <c r="D4" s="1944" t="s">
        <v>3056</v>
      </c>
      <c r="E4" s="3350" t="s">
        <v>1953</v>
      </c>
      <c r="F4" s="3351"/>
      <c r="G4" s="3351"/>
      <c r="H4" s="3351"/>
      <c r="I4" s="3352"/>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4" x14ac:dyDescent="0.2">
      <c r="A5" s="3324" t="s">
        <v>1954</v>
      </c>
      <c r="B5" s="3311">
        <v>25</v>
      </c>
      <c r="C5" s="3327">
        <v>5</v>
      </c>
      <c r="D5" s="3347">
        <f>10-C5</f>
        <v>5</v>
      </c>
      <c r="E5" s="136" t="s">
        <v>1955</v>
      </c>
      <c r="F5" s="1945"/>
      <c r="G5" s="1945"/>
      <c r="H5" s="1945"/>
      <c r="I5" s="1559"/>
    </row>
    <row r="6" spans="1:12" ht="14" x14ac:dyDescent="0.2">
      <c r="A6" s="3324"/>
      <c r="B6" s="3311"/>
      <c r="C6" s="3328"/>
      <c r="D6" s="3347"/>
      <c r="E6" s="136" t="s">
        <v>1956</v>
      </c>
      <c r="F6" s="1945"/>
      <c r="G6" s="1945"/>
      <c r="H6" s="1945"/>
      <c r="I6" s="1559"/>
    </row>
    <row r="7" spans="1:12" ht="14" x14ac:dyDescent="0.2">
      <c r="A7" s="3324"/>
      <c r="B7" s="3311"/>
      <c r="C7" s="3329"/>
      <c r="D7" s="3347"/>
      <c r="E7" s="136" t="s">
        <v>1957</v>
      </c>
      <c r="F7" s="1945"/>
      <c r="G7" s="1945"/>
      <c r="H7" s="1945"/>
      <c r="I7" s="1559"/>
    </row>
    <row r="8" spans="1:12" ht="14" x14ac:dyDescent="0.2">
      <c r="A8" s="3324" t="s">
        <v>1958</v>
      </c>
      <c r="B8" s="3311">
        <v>15</v>
      </c>
      <c r="C8" s="3327"/>
      <c r="D8" s="3347"/>
      <c r="E8" s="136" t="s">
        <v>1959</v>
      </c>
      <c r="F8" s="1945"/>
      <c r="G8" s="1945"/>
      <c r="H8" s="1945"/>
      <c r="I8" s="1559"/>
    </row>
    <row r="9" spans="1:12" ht="14" x14ac:dyDescent="0.2">
      <c r="A9" s="3324"/>
      <c r="B9" s="3311"/>
      <c r="C9" s="3329"/>
      <c r="D9" s="3347"/>
      <c r="E9" s="136" t="s">
        <v>1960</v>
      </c>
      <c r="F9" s="1945"/>
      <c r="G9" s="1945"/>
      <c r="H9" s="1945"/>
      <c r="I9" s="1559"/>
    </row>
    <row r="10" spans="1:12" ht="14" x14ac:dyDescent="0.2">
      <c r="A10" s="3324" t="s">
        <v>1961</v>
      </c>
      <c r="B10" s="3311">
        <v>15</v>
      </c>
      <c r="C10" s="3327"/>
      <c r="D10" s="3347"/>
      <c r="E10" s="136" t="s">
        <v>1962</v>
      </c>
      <c r="F10" s="1945"/>
      <c r="G10" s="1945"/>
      <c r="H10" s="1945"/>
      <c r="I10" s="1559"/>
    </row>
    <row r="11" spans="1:12" ht="14" x14ac:dyDescent="0.2">
      <c r="A11" s="3324"/>
      <c r="B11" s="3311"/>
      <c r="C11" s="3329"/>
      <c r="D11" s="3347"/>
      <c r="E11" s="136" t="s">
        <v>1963</v>
      </c>
      <c r="F11" s="1945"/>
      <c r="G11" s="1945"/>
      <c r="H11" s="1945"/>
      <c r="I11" s="1559"/>
    </row>
    <row r="12" spans="1:12" ht="14" x14ac:dyDescent="0.2">
      <c r="A12" s="3324" t="s">
        <v>1964</v>
      </c>
      <c r="B12" s="3311">
        <v>15</v>
      </c>
      <c r="C12" s="3327"/>
      <c r="D12" s="3347"/>
      <c r="E12" s="136" t="s">
        <v>1965</v>
      </c>
      <c r="F12" s="1945"/>
      <c r="G12" s="1945"/>
      <c r="H12" s="1945"/>
      <c r="I12" s="1559"/>
    </row>
    <row r="13" spans="1:12" ht="14" x14ac:dyDescent="0.2">
      <c r="A13" s="3324"/>
      <c r="B13" s="3311"/>
      <c r="C13" s="3329"/>
      <c r="D13" s="3347"/>
      <c r="E13" s="136" t="s">
        <v>1966</v>
      </c>
      <c r="F13" s="1945"/>
      <c r="G13" s="1945"/>
      <c r="H13" s="1945"/>
      <c r="I13" s="1559"/>
    </row>
    <row r="14" spans="1:12" ht="14" x14ac:dyDescent="0.2">
      <c r="A14" s="3324" t="s">
        <v>1967</v>
      </c>
      <c r="B14" s="3311">
        <v>30</v>
      </c>
      <c r="C14" s="3327"/>
      <c r="D14" s="3347"/>
      <c r="E14" s="136" t="s">
        <v>1968</v>
      </c>
      <c r="F14" s="1945"/>
      <c r="G14" s="1945"/>
      <c r="H14" s="1945"/>
      <c r="I14" s="1559"/>
    </row>
    <row r="15" spans="1:12" ht="14" x14ac:dyDescent="0.2">
      <c r="A15" s="3324"/>
      <c r="B15" s="3311"/>
      <c r="C15" s="3328"/>
      <c r="D15" s="3347"/>
      <c r="E15" s="136" t="s">
        <v>1969</v>
      </c>
      <c r="F15" s="1945"/>
      <c r="G15" s="1945"/>
      <c r="H15" s="1945"/>
      <c r="I15" s="1559"/>
    </row>
    <row r="16" spans="1:12" ht="14" x14ac:dyDescent="0.2">
      <c r="A16" s="3324"/>
      <c r="B16" s="3311"/>
      <c r="C16" s="3329"/>
      <c r="D16" s="3347"/>
      <c r="E16" s="136" t="s">
        <v>1970</v>
      </c>
      <c r="F16" s="1945"/>
      <c r="G16" s="1945"/>
      <c r="H16" s="1945"/>
      <c r="I16" s="1559"/>
    </row>
    <row r="17" spans="1:36" ht="14" x14ac:dyDescent="0.2">
      <c r="A17" s="1946" t="s">
        <v>1971</v>
      </c>
      <c r="B17" s="60"/>
      <c r="C17" s="137">
        <f>SUM(C5:C16)</f>
        <v>5</v>
      </c>
      <c r="D17" s="137">
        <f>SUM(D5:D16)</f>
        <v>5</v>
      </c>
      <c r="E17" s="134"/>
      <c r="F17" s="134"/>
      <c r="G17" s="134"/>
      <c r="H17" s="134"/>
      <c r="I17" s="134"/>
      <c r="K17" s="308"/>
      <c r="L17" s="308" t="s">
        <v>1972</v>
      </c>
      <c r="M17" s="308" t="s">
        <v>1973</v>
      </c>
    </row>
    <row r="18" spans="1:36" ht="32" customHeight="1" thickBot="1" x14ac:dyDescent="0.25">
      <c r="A18" s="1947" t="s">
        <v>1974</v>
      </c>
      <c r="B18" s="1948"/>
      <c r="C18" s="138">
        <f>ROUND(C17/SUM(C17:D17),2)</f>
        <v>0.5</v>
      </c>
      <c r="D18" s="138">
        <f>1-C18</f>
        <v>0.5</v>
      </c>
      <c r="E18" s="3334" t="s">
        <v>2872</v>
      </c>
      <c r="F18" s="3335"/>
      <c r="G18" s="3335"/>
      <c r="H18" s="3335"/>
      <c r="I18" s="3335"/>
      <c r="K18" s="308" t="s">
        <v>1975</v>
      </c>
      <c r="L18" s="308">
        <f>IF(C1="",'数据-汇总表'!E3,SUMIF(项目类型,C1,'数据-汇总表'!E17:E26)+SUMIF(项目类型,C1,'数据-汇总表'!I17:I26))</f>
        <v>0</v>
      </c>
      <c r="M18" s="308">
        <f>IF(C1="",'数据-汇总表'!E3,SUMIF(项目类型,C1,'数据-汇总表'!E17:E26))</f>
        <v>0</v>
      </c>
    </row>
    <row r="19" spans="1:36" ht="14" x14ac:dyDescent="0.2">
      <c r="A19" s="1949" t="s">
        <v>1976</v>
      </c>
      <c r="B19" s="1950" t="s">
        <v>1977</v>
      </c>
      <c r="C19" s="139" t="e">
        <f ca="1">SUMIF(INDIRECT("'"&amp;C4&amp;"'"&amp;"!A:A"),结果表!B19,INDIRECT("'"&amp;C4&amp;"'"&amp;"!B:B"))</f>
        <v>#REF!</v>
      </c>
      <c r="D19" s="140" t="e">
        <f ca="1">SUMIF(INDIRECT("'"&amp;D4&amp;"'"&amp;"!A:A"),结果表!B19,INDIRECT("'"&amp;D4&amp;"'"&amp;"!B:B"))</f>
        <v>#REF!</v>
      </c>
      <c r="E19" s="1949" t="s">
        <v>1978</v>
      </c>
      <c r="F19" s="1950" t="s">
        <v>1977</v>
      </c>
      <c r="G19" s="141" t="e">
        <f ca="1">ROUND(C19*$C$18+D19*$D$18,0)</f>
        <v>#REF!</v>
      </c>
      <c r="H19" s="1951" t="s">
        <v>1979</v>
      </c>
      <c r="I19" s="134"/>
      <c r="K19" s="308" t="s">
        <v>1980</v>
      </c>
      <c r="L19" s="308">
        <f>IF(C1="",'数据-汇总表'!D3,SUMIF(项目类型,C1,'数据-汇总表'!D17:D26)+SUMIF(项目类型,C1,'数据-汇总表'!H17:H27))</f>
        <v>0</v>
      </c>
      <c r="M19" s="308">
        <f>IF(C1="",'数据-汇总表'!D3,SUMIF(项目类型,C1,'数据-汇总表'!D17:D26))</f>
        <v>0</v>
      </c>
    </row>
    <row r="20" spans="1:36" ht="14" x14ac:dyDescent="0.2">
      <c r="A20" s="1952"/>
      <c r="B20" s="1157" t="s">
        <v>1981</v>
      </c>
      <c r="C20" s="142" t="e">
        <f ca="1">SUMIF(INDIRECT("'"&amp;C4&amp;"'"&amp;"!A:A"),结果表!B20,INDIRECT("'"&amp;C4&amp;"'"&amp;"!B:B"))</f>
        <v>#REF!</v>
      </c>
      <c r="D20" s="143" t="e">
        <f ca="1">SUMIF(INDIRECT("'"&amp;D4&amp;"'"&amp;"!A:A"),结果表!B20,INDIRECT("'"&amp;D4&amp;"'"&amp;"!B:B"))</f>
        <v>#REF!</v>
      </c>
      <c r="E20" s="1952"/>
      <c r="F20" s="1157" t="s">
        <v>1981</v>
      </c>
      <c r="G20" s="144" t="e">
        <f ca="1">ROUND(C20*$C$18+D20*$D$18,0)</f>
        <v>#REF!</v>
      </c>
      <c r="H20" s="917" t="s">
        <v>1982</v>
      </c>
      <c r="I20" s="134"/>
    </row>
    <row r="21" spans="1:36" ht="15" customHeight="1" thickBot="1" x14ac:dyDescent="0.25">
      <c r="A21" s="937"/>
      <c r="B21" s="1953" t="s">
        <v>1983</v>
      </c>
      <c r="C21" s="728" t="e">
        <f ca="1">ROUND(C19*10000/L19,0)</f>
        <v>#REF!</v>
      </c>
      <c r="D21" s="729" t="e">
        <f ca="1">ROUND(D19*10000/L19,0)</f>
        <v>#REF!</v>
      </c>
      <c r="E21" s="937"/>
      <c r="F21" s="1953" t="s">
        <v>1983</v>
      </c>
      <c r="G21" s="145" t="e">
        <f ca="1">ROUND(G19*10000/L19,0)</f>
        <v>#REF!</v>
      </c>
      <c r="H21" s="1954" t="s">
        <v>1982</v>
      </c>
      <c r="I21" s="134"/>
    </row>
    <row r="22" spans="1:36" ht="15" thickBot="1" x14ac:dyDescent="0.25">
      <c r="A22" s="1876" t="s">
        <v>1984</v>
      </c>
      <c r="B22" s="1955"/>
      <c r="C22" s="1956"/>
      <c r="D22" s="730" t="e">
        <f ca="1">IF(C19&lt;D19,D19/C19-1,C19/D19-1)</f>
        <v>#REF!</v>
      </c>
      <c r="E22" s="134"/>
      <c r="F22" s="134"/>
      <c r="G22" s="134"/>
      <c r="H22" s="134"/>
      <c r="I22" s="134"/>
    </row>
    <row r="23" spans="1:36" ht="14" thickBot="1" x14ac:dyDescent="0.25">
      <c r="A23" s="1935"/>
      <c r="B23" s="1935"/>
      <c r="C23" s="1935"/>
      <c r="D23" s="1935"/>
      <c r="E23" s="134"/>
      <c r="F23" s="134"/>
      <c r="G23" s="134"/>
      <c r="H23" s="134"/>
      <c r="I23" s="134"/>
    </row>
    <row r="24" spans="1:36" ht="14" x14ac:dyDescent="0.2">
      <c r="A24" s="3318" t="s">
        <v>1985</v>
      </c>
      <c r="B24" s="1950" t="s">
        <v>1977</v>
      </c>
      <c r="C24" s="141">
        <f>IF(B30=0,0,D30)</f>
        <v>0</v>
      </c>
      <c r="D24" s="1957"/>
      <c r="E24" s="134"/>
      <c r="F24" s="134"/>
      <c r="G24" s="134"/>
      <c r="H24" s="134"/>
      <c r="I24" s="134"/>
    </row>
    <row r="25" spans="1:36" ht="14" x14ac:dyDescent="0.2">
      <c r="A25" s="3319"/>
      <c r="B25" s="1157" t="s">
        <v>1981</v>
      </c>
      <c r="C25" s="146">
        <f>IF(B30=0,0,C30)</f>
        <v>0</v>
      </c>
      <c r="D25" s="1958"/>
      <c r="E25" s="134"/>
      <c r="F25" s="134"/>
      <c r="G25" s="134"/>
      <c r="H25" s="134"/>
      <c r="I25" s="134"/>
    </row>
    <row r="26" spans="1:36" ht="13.5" customHeight="1" x14ac:dyDescent="0.2">
      <c r="A26" s="1959" t="s">
        <v>1986</v>
      </c>
      <c r="B26" s="147" t="s">
        <v>1987</v>
      </c>
      <c r="C26" s="147" t="s">
        <v>1988</v>
      </c>
      <c r="D26" s="148" t="s">
        <v>1989</v>
      </c>
      <c r="E26" s="134"/>
      <c r="F26" s="134"/>
      <c r="G26" s="134"/>
      <c r="H26" s="134"/>
      <c r="I26" s="134"/>
    </row>
    <row r="27" spans="1:36" ht="14" x14ac:dyDescent="0.2">
      <c r="A27" s="1959"/>
      <c r="B27" s="147">
        <v>0</v>
      </c>
      <c r="C27" s="147">
        <v>0</v>
      </c>
      <c r="D27" s="148">
        <f>ROUND(C27*B27/10000,0)</f>
        <v>0</v>
      </c>
      <c r="E27" s="134"/>
      <c r="F27" s="134"/>
      <c r="G27" s="134"/>
      <c r="H27" s="134"/>
      <c r="I27" s="134"/>
    </row>
    <row r="28" spans="1:36" ht="14" x14ac:dyDescent="0.2">
      <c r="A28" s="1959"/>
      <c r="B28" s="147"/>
      <c r="C28" s="147"/>
      <c r="D28" s="148"/>
      <c r="E28" s="134"/>
      <c r="F28" s="134"/>
      <c r="G28" s="134"/>
      <c r="H28" s="134"/>
      <c r="I28" s="134"/>
    </row>
    <row r="29" spans="1:36" ht="14" x14ac:dyDescent="0.2">
      <c r="A29" s="1959"/>
      <c r="B29" s="147"/>
      <c r="C29" s="147"/>
      <c r="D29" s="148"/>
      <c r="E29" s="134"/>
      <c r="F29" s="134"/>
      <c r="G29" s="134"/>
      <c r="H29" s="134"/>
      <c r="I29" s="134"/>
    </row>
    <row r="30" spans="1:36" ht="15" thickBot="1" x14ac:dyDescent="0.25">
      <c r="A30" s="147" t="s">
        <v>1990</v>
      </c>
      <c r="B30" s="147"/>
      <c r="C30" s="147"/>
      <c r="D30" s="147"/>
      <c r="E30" s="2523" t="s">
        <v>2873</v>
      </c>
      <c r="F30" s="134"/>
      <c r="G30" s="134"/>
      <c r="H30" s="134"/>
      <c r="I30" s="134"/>
    </row>
    <row r="31" spans="1:36" s="2529" customFormat="1" ht="26.5" customHeight="1" thickTop="1" thickBot="1" x14ac:dyDescent="0.25">
      <c r="A31" s="2524"/>
      <c r="B31" s="2525"/>
      <c r="C31" s="2525"/>
      <c r="D31" s="2525"/>
      <c r="E31" s="2525"/>
      <c r="F31" s="2525"/>
      <c r="G31" s="2525"/>
      <c r="H31" s="2525"/>
      <c r="I31" s="2526" t="s">
        <v>2874</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 thickTop="1" thickBot="1" x14ac:dyDescent="0.25">
      <c r="A32" s="1961" t="s">
        <v>1991</v>
      </c>
      <c r="B32" s="1962"/>
      <c r="C32" s="149" t="e">
        <f ca="1">IF(D32="总价",G19-C24,G20-C25)</f>
        <v>#REF!</v>
      </c>
      <c r="D32" s="1963"/>
      <c r="E32" s="134"/>
      <c r="F32" s="134"/>
      <c r="G32" s="134"/>
      <c r="H32" s="134"/>
      <c r="I32" s="134"/>
    </row>
    <row r="33" spans="1:15" ht="14" x14ac:dyDescent="0.2">
      <c r="A33" s="894" t="s">
        <v>1992</v>
      </c>
      <c r="B33" s="1964"/>
      <c r="C33" s="1965"/>
      <c r="D33" s="1966"/>
      <c r="E33" s="1967" t="s">
        <v>1993</v>
      </c>
      <c r="F33" s="1968" t="str">
        <f>IF(D32="楼面单价","取值（单价）","取值（总价）")</f>
        <v>取值（总价）</v>
      </c>
      <c r="G33" s="134"/>
      <c r="H33" s="134"/>
      <c r="I33" s="134"/>
    </row>
    <row r="34" spans="1:15" ht="14" x14ac:dyDescent="0.2">
      <c r="A34" s="1969"/>
      <c r="B34" s="1970"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1995</v>
      </c>
      <c r="F34" s="1500"/>
      <c r="G34" s="134"/>
      <c r="H34" s="134"/>
      <c r="I34" s="134"/>
    </row>
    <row r="35" spans="1:15" ht="15" thickBot="1" x14ac:dyDescent="0.25">
      <c r="A35" s="1972"/>
      <c r="B35" s="1973"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1997</v>
      </c>
      <c r="F35" s="159"/>
      <c r="G35" s="134"/>
      <c r="H35" s="134"/>
      <c r="I35" s="134"/>
    </row>
    <row r="36" spans="1:15" ht="15" thickBot="1" x14ac:dyDescent="0.25">
      <c r="A36" s="3338" t="s">
        <v>1998</v>
      </c>
      <c r="B36" s="1975" t="s">
        <v>1999</v>
      </c>
      <c r="C36" s="150"/>
      <c r="D36" s="1976"/>
      <c r="E36" s="1977"/>
      <c r="F36" s="1978"/>
      <c r="G36" s="134"/>
      <c r="H36" s="134"/>
      <c r="I36" s="134"/>
    </row>
    <row r="37" spans="1:15" ht="15" thickBot="1" x14ac:dyDescent="0.25">
      <c r="A37" s="3339"/>
      <c r="B37" s="1862" t="s">
        <v>2000</v>
      </c>
      <c r="C37" s="152"/>
      <c r="D37" s="1301"/>
      <c r="E37" s="1301"/>
      <c r="F37" s="1978"/>
      <c r="G37" s="134"/>
      <c r="H37" s="134"/>
      <c r="I37" s="134"/>
    </row>
    <row r="38" spans="1:15" ht="15" thickBot="1" x14ac:dyDescent="0.25">
      <c r="A38" s="3340"/>
      <c r="B38" s="1979" t="s">
        <v>2001</v>
      </c>
      <c r="C38" s="683"/>
      <c r="D38" s="1980" t="s">
        <v>2002</v>
      </c>
      <c r="E38" s="1301"/>
      <c r="F38" s="1978"/>
      <c r="G38" s="134"/>
      <c r="H38" s="134"/>
      <c r="I38" s="134"/>
    </row>
    <row r="39" spans="1:15" ht="14" x14ac:dyDescent="0.2">
      <c r="A39" s="1952" t="s">
        <v>2003</v>
      </c>
      <c r="B39" s="1981" t="s">
        <v>2004</v>
      </c>
      <c r="C39" s="1982" t="s">
        <v>2005</v>
      </c>
      <c r="D39" s="1982" t="s">
        <v>2006</v>
      </c>
      <c r="E39" s="1983" t="s">
        <v>2007</v>
      </c>
      <c r="F39" s="1978"/>
      <c r="G39" s="134"/>
      <c r="H39" s="134"/>
      <c r="I39" s="134"/>
    </row>
    <row r="40" spans="1:15" ht="14" x14ac:dyDescent="0.2">
      <c r="A40" s="1984" t="s">
        <v>2008</v>
      </c>
      <c r="B40" s="154"/>
      <c r="C40" s="155"/>
      <c r="D40" s="155"/>
      <c r="E40" s="156"/>
      <c r="F40" s="1978"/>
      <c r="G40" s="134"/>
      <c r="H40" s="134"/>
      <c r="I40" s="134"/>
    </row>
    <row r="41" spans="1:15" ht="14" x14ac:dyDescent="0.2">
      <c r="A41" s="1984" t="s">
        <v>2009</v>
      </c>
      <c r="B41" s="154"/>
      <c r="C41" s="155"/>
      <c r="D41" s="155"/>
      <c r="E41" s="156"/>
      <c r="F41" s="1978"/>
      <c r="G41" s="134"/>
      <c r="H41" s="134"/>
      <c r="I41" s="134"/>
    </row>
    <row r="42" spans="1:15" ht="15" thickBot="1" x14ac:dyDescent="0.25">
      <c r="A42" s="1985"/>
      <c r="B42" s="157"/>
      <c r="C42" s="158"/>
      <c r="D42" s="158"/>
      <c r="E42" s="159"/>
      <c r="F42" s="1978"/>
      <c r="G42" s="134"/>
      <c r="H42" s="134"/>
      <c r="I42" s="134"/>
    </row>
    <row r="43" spans="1:15" ht="13" x14ac:dyDescent="0.2">
      <c r="A43" s="1764"/>
      <c r="B43" s="1764"/>
      <c r="C43" s="1764"/>
      <c r="D43" s="1764"/>
      <c r="E43" s="1764"/>
      <c r="F43" s="1986"/>
      <c r="G43" s="1986"/>
      <c r="H43" s="1986"/>
      <c r="I43" s="1987"/>
    </row>
    <row r="44" spans="1:15" ht="18" x14ac:dyDescent="0.2">
      <c r="A44" s="1988" t="s">
        <v>2010</v>
      </c>
      <c r="B44" s="1989"/>
      <c r="C44" s="1989"/>
      <c r="D44" s="1990"/>
      <c r="E44" s="1990"/>
      <c r="F44" s="1991"/>
      <c r="G44" s="1991"/>
      <c r="H44" s="1991"/>
      <c r="I44" s="1991"/>
      <c r="J44" s="1992" t="s">
        <v>2011</v>
      </c>
      <c r="K44" s="1993"/>
      <c r="L44" s="1993"/>
      <c r="M44" s="1993"/>
      <c r="N44" s="1993"/>
      <c r="O44" s="1993"/>
    </row>
    <row r="45" spans="1:15" ht="14.25" customHeight="1" thickBot="1" x14ac:dyDescent="0.25">
      <c r="A45" s="3315" t="s">
        <v>2012</v>
      </c>
      <c r="B45" s="3316"/>
      <c r="C45" s="3317"/>
      <c r="D45" s="160" t="e">
        <f ca="1">ROUND(H101*F45,0)</f>
        <v>#REF!</v>
      </c>
      <c r="E45" s="161" t="s">
        <v>2013</v>
      </c>
      <c r="F45" s="162">
        <v>1</v>
      </c>
      <c r="G45" s="163" t="s">
        <v>2014</v>
      </c>
      <c r="H45" s="134"/>
      <c r="I45" s="134"/>
      <c r="J45" s="3396" t="s">
        <v>2015</v>
      </c>
      <c r="K45" s="3396"/>
      <c r="L45" s="3396"/>
      <c r="M45" s="3396"/>
      <c r="N45" s="3396"/>
      <c r="O45" s="3396"/>
    </row>
    <row r="46" spans="1:15" ht="14.25" customHeight="1" x14ac:dyDescent="0.2">
      <c r="A46" s="3312" t="s">
        <v>2016</v>
      </c>
      <c r="B46" s="3313"/>
      <c r="C46" s="3313"/>
      <c r="D46" s="3313"/>
      <c r="E46" s="3313"/>
      <c r="F46" s="3313"/>
      <c r="G46" s="3314"/>
      <c r="H46" s="1994"/>
      <c r="I46" s="164"/>
      <c r="J46" s="2749">
        <v>1</v>
      </c>
      <c r="K46" s="3377" t="s">
        <v>2017</v>
      </c>
      <c r="L46" s="3377"/>
      <c r="M46" s="3397"/>
      <c r="N46" s="3397"/>
      <c r="O46" s="3397"/>
    </row>
    <row r="47" spans="1:15" ht="12" customHeight="1" x14ac:dyDescent="0.2">
      <c r="A47" s="165" t="s">
        <v>2018</v>
      </c>
      <c r="B47" s="166"/>
      <c r="C47" s="167"/>
      <c r="D47" s="1247" t="s">
        <v>2019</v>
      </c>
      <c r="E47" s="308" t="s">
        <v>2020</v>
      </c>
      <c r="F47" s="168" t="s">
        <v>2021</v>
      </c>
      <c r="G47" s="2772" t="s">
        <v>2022</v>
      </c>
      <c r="H47" s="2773"/>
      <c r="I47" s="164"/>
      <c r="J47" s="2749">
        <v>2</v>
      </c>
      <c r="K47" s="3377" t="s">
        <v>2023</v>
      </c>
      <c r="L47" s="3377"/>
      <c r="M47" s="3398">
        <f>'数据-取费表'!B2</f>
        <v>44606</v>
      </c>
      <c r="N47" s="3398"/>
      <c r="O47" s="3398"/>
    </row>
    <row r="48" spans="1:15" ht="28" x14ac:dyDescent="0.2">
      <c r="A48" s="3343" t="s">
        <v>2024</v>
      </c>
      <c r="B48" s="3326"/>
      <c r="C48" s="3326"/>
      <c r="D48" s="2549" t="b">
        <f>IF(H48="情况1",0,IF(H48="情况2",D52,IF(H48="情况3",D53,IF(H48="情况4",D54))))</f>
        <v>0</v>
      </c>
      <c r="E48" s="2559" t="str">
        <f>IF(H48="情况4","(销售额-原购置价)×税（费）率","销售额×税（费）率")</f>
        <v>销售额×税（费）率</v>
      </c>
      <c r="F48" s="2774">
        <f>IF(H48="情况1","免征",'数据-取费表'!B41)</f>
        <v>5.6000000000000001E-2</v>
      </c>
      <c r="G48" s="2775" t="s">
        <v>2025</v>
      </c>
      <c r="H48" s="2776"/>
      <c r="I48" s="1994"/>
      <c r="J48" s="2749">
        <v>3</v>
      </c>
      <c r="K48" s="3377" t="s">
        <v>2026</v>
      </c>
      <c r="L48" s="3377"/>
      <c r="M48" s="3399" t="e">
        <f ca="1">H101</f>
        <v>#REF!</v>
      </c>
      <c r="N48" s="3399"/>
      <c r="O48" s="3399"/>
    </row>
    <row r="49" spans="1:35" ht="25.5" customHeight="1" x14ac:dyDescent="0.2">
      <c r="A49" s="2558" t="s">
        <v>2027</v>
      </c>
      <c r="B49" s="3310" t="s">
        <v>2028</v>
      </c>
      <c r="C49" s="3310"/>
      <c r="D49" s="1777">
        <v>0</v>
      </c>
      <c r="E49" s="330" t="s">
        <v>2029</v>
      </c>
      <c r="F49" s="2650" t="s">
        <v>34</v>
      </c>
      <c r="G49" s="3383"/>
      <c r="H49" s="2530" t="s">
        <v>2875</v>
      </c>
      <c r="I49" s="2531"/>
      <c r="J49" s="2749">
        <v>4</v>
      </c>
      <c r="K49" s="3377" t="str">
        <f>IF(项目基本情况!E8="房地产抵押价值","房地产抵押价值","抵押担保权已注销时的房地产抵押价值")</f>
        <v>抵押担保权已注销时的房地产抵押价值</v>
      </c>
      <c r="L49" s="3377"/>
      <c r="M49" s="3399" t="str">
        <f>IF(项目基本情况!E8="房地产抵押价值",H107,H109)</f>
        <v>——</v>
      </c>
      <c r="N49" s="3399"/>
      <c r="O49" s="3399"/>
    </row>
    <row r="50" spans="1:35" ht="25.5" customHeight="1" x14ac:dyDescent="0.2">
      <c r="A50" s="2777"/>
      <c r="B50" s="3310" t="s">
        <v>2030</v>
      </c>
      <c r="C50" s="3310"/>
      <c r="D50" s="2778"/>
      <c r="E50" s="338"/>
      <c r="F50" s="2650"/>
      <c r="G50" s="3384"/>
      <c r="H50" s="2532" t="s">
        <v>2876</v>
      </c>
      <c r="I50" s="2531"/>
      <c r="J50" s="3396" t="s">
        <v>2031</v>
      </c>
      <c r="K50" s="3396"/>
      <c r="L50" s="3396"/>
      <c r="M50" s="3396"/>
      <c r="N50" s="3396"/>
      <c r="O50" s="3396"/>
    </row>
    <row r="51" spans="1:35" ht="20.5" customHeight="1" x14ac:dyDescent="0.2">
      <c r="A51" s="2779"/>
      <c r="B51" s="3310" t="s">
        <v>2032</v>
      </c>
      <c r="C51" s="3310"/>
      <c r="D51" s="1247"/>
      <c r="E51" s="333"/>
      <c r="F51" s="2650"/>
      <c r="G51" s="3385"/>
      <c r="H51" s="2532" t="s">
        <v>2877</v>
      </c>
      <c r="I51" s="2531"/>
      <c r="J51" s="2750" t="s">
        <v>2033</v>
      </c>
      <c r="K51" s="3377" t="s">
        <v>2034</v>
      </c>
      <c r="L51" s="3377"/>
      <c r="M51" s="2750" t="s">
        <v>2035</v>
      </c>
      <c r="N51" s="2750" t="s">
        <v>2036</v>
      </c>
      <c r="O51" s="2750" t="s">
        <v>2037</v>
      </c>
    </row>
    <row r="52" spans="1:35" ht="24" customHeight="1" x14ac:dyDescent="0.2">
      <c r="A52" s="2560" t="s">
        <v>2038</v>
      </c>
      <c r="B52" s="3310" t="s">
        <v>2039</v>
      </c>
      <c r="C52" s="3310"/>
      <c r="D52" s="1247" t="e">
        <f ca="1">ROUND(D45*'数据-取费表'!B41/(1+'数据-取费表'!C42),0)</f>
        <v>#REF!</v>
      </c>
      <c r="E52" s="2559" t="s">
        <v>2040</v>
      </c>
      <c r="F52" s="2780">
        <f>'数据-取费表'!B41</f>
        <v>5.6000000000000001E-2</v>
      </c>
      <c r="G52" s="2781"/>
      <c r="H52" s="2770"/>
      <c r="I52" s="1995"/>
      <c r="J52" s="2749">
        <v>1</v>
      </c>
      <c r="K52" s="3378" t="s">
        <v>2041</v>
      </c>
      <c r="L52" s="3378"/>
      <c r="M52" s="2751" t="b">
        <f>D48</f>
        <v>0</v>
      </c>
      <c r="N52" s="2749" t="str">
        <f>E48</f>
        <v>销售额×税（费）率</v>
      </c>
      <c r="O52" s="2752">
        <f>F48</f>
        <v>5.6000000000000001E-2</v>
      </c>
    </row>
    <row r="53" spans="1:35" ht="12" customHeight="1" x14ac:dyDescent="0.2">
      <c r="A53" s="2560" t="s">
        <v>2042</v>
      </c>
      <c r="B53" s="3336" t="s">
        <v>3034</v>
      </c>
      <c r="C53" s="3337"/>
      <c r="D53" s="1247" t="e">
        <f ca="1">ROUND(D45*'数据-取费表'!B41/(1+'数据-取费表'!C42),0)</f>
        <v>#REF!</v>
      </c>
      <c r="E53" s="2559" t="s">
        <v>2040</v>
      </c>
      <c r="F53" s="2780">
        <f>'数据-取费表'!B41</f>
        <v>5.6000000000000001E-2</v>
      </c>
      <c r="G53" s="2781"/>
      <c r="H53" s="2770"/>
      <c r="I53" s="1995"/>
      <c r="J53" s="2749">
        <v>2</v>
      </c>
      <c r="K53" s="3378" t="s">
        <v>2043</v>
      </c>
      <c r="L53" s="3378"/>
      <c r="M53" s="2751" t="e">
        <f t="shared" ref="M53:O54" ca="1" si="0">D55</f>
        <v>#REF!</v>
      </c>
      <c r="N53" s="2749" t="str">
        <f t="shared" si="0"/>
        <v>销售额×税（费）率</v>
      </c>
      <c r="O53" s="2752" t="str">
        <f t="shared" si="0"/>
        <v>免征</v>
      </c>
    </row>
    <row r="54" spans="1:35" ht="12" customHeight="1" x14ac:dyDescent="0.2">
      <c r="A54" s="2560" t="s">
        <v>2044</v>
      </c>
      <c r="B54" s="3336" t="s">
        <v>3035</v>
      </c>
      <c r="C54" s="3337"/>
      <c r="D54" s="1247" t="e">
        <f ca="1">C68</f>
        <v>#REF!</v>
      </c>
      <c r="E54" s="333" t="s">
        <v>2045</v>
      </c>
      <c r="F54" s="2780">
        <f>'数据-取费表'!B41</f>
        <v>5.6000000000000001E-2</v>
      </c>
      <c r="G54" s="2781"/>
      <c r="H54" s="2782"/>
      <c r="I54" s="1995"/>
      <c r="J54" s="2749">
        <v>3</v>
      </c>
      <c r="K54" s="3378" t="s">
        <v>2046</v>
      </c>
      <c r="L54" s="3378"/>
      <c r="M54" s="2751" t="e">
        <f t="shared" ca="1" si="0"/>
        <v>#REF!</v>
      </c>
      <c r="N54" s="2749" t="str">
        <f t="shared" si="0"/>
        <v>增值额×税（费）率</v>
      </c>
      <c r="O54" s="2753" t="str">
        <f t="shared" si="0"/>
        <v>免征</v>
      </c>
    </row>
    <row r="55" spans="1:35" ht="24" customHeight="1" x14ac:dyDescent="0.2">
      <c r="A55" s="3325" t="s">
        <v>2047</v>
      </c>
      <c r="B55" s="3326"/>
      <c r="C55" s="3326"/>
      <c r="D55" s="2549" t="e">
        <f ca="1">IF(H55="个人住宅",0,ROUND(D45*I55,0))</f>
        <v>#REF!</v>
      </c>
      <c r="E55" s="2559" t="s">
        <v>2048</v>
      </c>
      <c r="F55" s="2780" t="str">
        <f>IF(H55="正常",I55,"免征")</f>
        <v>免征</v>
      </c>
      <c r="G55" s="2781"/>
      <c r="H55" s="2776"/>
      <c r="I55" s="170">
        <f>'数据-取费表'!B49</f>
        <v>5.0000000000000001E-4</v>
      </c>
      <c r="J55" s="2749">
        <f>IF(H59="非个人房产","",4)</f>
        <v>4</v>
      </c>
      <c r="K55" s="3378" t="str">
        <f>IF(H59="非个人房产","——","个人所得税")</f>
        <v>个人所得税</v>
      </c>
      <c r="L55" s="3378"/>
      <c r="M55" s="2754" t="e">
        <f ca="1">D59</f>
        <v>#REF!</v>
      </c>
      <c r="N55" s="2230" t="str">
        <f>E59</f>
        <v>差额计税</v>
      </c>
      <c r="O55" s="2755">
        <f>F59</f>
        <v>0.01</v>
      </c>
    </row>
    <row r="56" spans="1:35" ht="28" x14ac:dyDescent="0.2">
      <c r="A56" s="3325" t="s">
        <v>2049</v>
      </c>
      <c r="B56" s="3326"/>
      <c r="C56" s="3326"/>
      <c r="D56" s="2549" t="e">
        <f ca="1">IF(H56="个人住宅",D57,D58)</f>
        <v>#REF!</v>
      </c>
      <c r="E56" s="2559" t="s">
        <v>2050</v>
      </c>
      <c r="F56" s="2780" t="str">
        <f>IF(H56="正常",F58,"免征")</f>
        <v>免征</v>
      </c>
      <c r="G56" s="2783" t="s">
        <v>2051</v>
      </c>
      <c r="H56" s="2784"/>
      <c r="I56" s="1996"/>
      <c r="J56" s="2749" t="str">
        <f>IF(项目基本情况!K6="上海银行",IF(J55="",4,J55+1),"")</f>
        <v/>
      </c>
      <c r="K56" s="3401" t="str">
        <f>IF(项目基本情况!K6="上海银行","其他处置费用","")</f>
        <v/>
      </c>
      <c r="L56" s="3402"/>
      <c r="M56" s="2751" t="str">
        <f>IF(项目基本情况!K6="上海银行",M69,"")</f>
        <v/>
      </c>
      <c r="N56" s="3401" t="str">
        <f>IF(项目基本情况!K6="上海银行","包含处置中涉及的律师、诉讼、拍卖、评估等费用","")</f>
        <v/>
      </c>
      <c r="O56" s="3404"/>
    </row>
    <row r="57" spans="1:35" ht="14" x14ac:dyDescent="0.2">
      <c r="A57" s="2560" t="s">
        <v>2027</v>
      </c>
      <c r="B57" s="3336" t="s">
        <v>2052</v>
      </c>
      <c r="C57" s="3337"/>
      <c r="D57" s="1777">
        <v>0</v>
      </c>
      <c r="E57" s="330" t="s">
        <v>2029</v>
      </c>
      <c r="F57" s="308"/>
      <c r="G57" s="2781"/>
      <c r="H57" s="2785"/>
      <c r="I57" s="1996"/>
      <c r="J57" s="3378">
        <f>IF(AND(J55="",J56=""),4,IF(项目基本情况!K6="上海银行",结果表!J56+1,结果表!J55+1))</f>
        <v>5</v>
      </c>
      <c r="K57" s="3378" t="s">
        <v>2053</v>
      </c>
      <c r="L57" s="2756" t="s">
        <v>2054</v>
      </c>
      <c r="M57" s="2757"/>
      <c r="N57" s="2758">
        <f ca="1">SUMIF(M52:M56,"&lt;9e307")</f>
        <v>0</v>
      </c>
      <c r="O57" s="2759"/>
      <c r="P57" s="2919" t="e">
        <f ca="1">N57/M49</f>
        <v>#VALUE!</v>
      </c>
    </row>
    <row r="58" spans="1:35" ht="28" x14ac:dyDescent="0.2">
      <c r="A58" s="2560" t="s">
        <v>2038</v>
      </c>
      <c r="B58" s="3336" t="s">
        <v>2055</v>
      </c>
      <c r="C58" s="3310"/>
      <c r="D58" s="2549" t="e">
        <f ca="1">IF(H58="转让取得",C81,C97)</f>
        <v>#REF!</v>
      </c>
      <c r="E58" s="2559" t="s">
        <v>2050</v>
      </c>
      <c r="F58" s="308" t="s">
        <v>34</v>
      </c>
      <c r="G58" s="2781"/>
      <c r="H58" s="2784"/>
      <c r="I58" s="1996"/>
      <c r="J58" s="3378"/>
      <c r="K58" s="3378"/>
      <c r="L58" s="2756" t="s">
        <v>2056</v>
      </c>
      <c r="M58" s="2760"/>
      <c r="N58" s="2761" t="str">
        <f ca="1">NUMBERSTRING(INT(N57*10000),2)&amp;"元整"</f>
        <v>零元整</v>
      </c>
      <c r="O58" s="2762"/>
    </row>
    <row r="59" spans="1:35" ht="29" thickBot="1" x14ac:dyDescent="0.25">
      <c r="A59" s="3381" t="s">
        <v>2057</v>
      </c>
      <c r="B59" s="3382"/>
      <c r="C59" s="3382"/>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4"/>
      <c r="I59" s="2533" t="s">
        <v>2878</v>
      </c>
      <c r="J59" s="3379">
        <f>J57+1</f>
        <v>6</v>
      </c>
      <c r="K59" s="3378" t="s">
        <v>2058</v>
      </c>
      <c r="L59" s="2749" t="s">
        <v>2054</v>
      </c>
      <c r="M59" s="2763"/>
      <c r="N59" s="2764" t="e">
        <f ca="1">M49-N57</f>
        <v>#VALUE!</v>
      </c>
      <c r="O59" s="2765"/>
    </row>
    <row r="60" spans="1:35" ht="12" customHeight="1" x14ac:dyDescent="0.2">
      <c r="A60" s="1997"/>
      <c r="B60" s="1935"/>
      <c r="C60" s="1935"/>
      <c r="D60" s="1935"/>
      <c r="E60" s="1765"/>
      <c r="F60" s="1996"/>
      <c r="G60" s="1996"/>
      <c r="H60" s="1998"/>
      <c r="I60" s="134"/>
      <c r="J60" s="3380"/>
      <c r="K60" s="3378"/>
      <c r="L60" s="2756" t="s">
        <v>2056</v>
      </c>
      <c r="M60" s="2760"/>
      <c r="N60" s="2761" t="e">
        <f ca="1">NUMBERSTRING(INT(N59*10000),2)&amp;"元整"</f>
        <v>#VALUE!</v>
      </c>
      <c r="O60" s="2762"/>
    </row>
    <row r="61" spans="1:35" ht="15" thickBot="1" x14ac:dyDescent="0.25">
      <c r="A61" s="3323" t="s">
        <v>2059</v>
      </c>
      <c r="B61" s="3323"/>
      <c r="C61" s="3323"/>
      <c r="D61" s="3323"/>
      <c r="E61" s="3323"/>
      <c r="F61" s="1996"/>
      <c r="G61" s="1996"/>
      <c r="H61" s="1998"/>
      <c r="I61" s="134"/>
      <c r="J61" s="2749">
        <f>J59+1</f>
        <v>7</v>
      </c>
      <c r="K61" s="3378" t="s">
        <v>2060</v>
      </c>
      <c r="L61" s="3378"/>
      <c r="M61" s="2766"/>
      <c r="N61" s="2767" t="e">
        <f ca="1">ROUND(N59*10000/'数据-汇总表'!E3,0)</f>
        <v>#VALUE!</v>
      </c>
      <c r="O61" s="2768"/>
    </row>
    <row r="62" spans="1:35" ht="14" x14ac:dyDescent="0.2">
      <c r="A62" s="3341" t="s">
        <v>2061</v>
      </c>
      <c r="B62" s="3342"/>
      <c r="C62" s="2211"/>
      <c r="D62" s="2211" t="s">
        <v>2062</v>
      </c>
      <c r="E62" s="171" t="s">
        <v>2063</v>
      </c>
      <c r="F62" s="1996"/>
      <c r="G62" s="1996"/>
      <c r="H62" s="1998"/>
      <c r="I62" s="134"/>
    </row>
    <row r="63" spans="1:35" ht="14" x14ac:dyDescent="0.2">
      <c r="A63" s="178" t="s">
        <v>775</v>
      </c>
      <c r="B63" s="172" t="s">
        <v>2064</v>
      </c>
      <c r="C63" s="2790" t="e">
        <f ca="1">ROUND((C64+C65)/(1+'数据-取费表'!C42),0)</f>
        <v>#REF!</v>
      </c>
      <c r="D63" s="172"/>
      <c r="E63" s="173"/>
      <c r="F63" s="1996"/>
      <c r="G63" s="1996"/>
      <c r="H63" s="1998"/>
      <c r="I63" s="134"/>
      <c r="J63" s="3403" t="s">
        <v>2065</v>
      </c>
      <c r="K63" s="1503" t="s">
        <v>2066</v>
      </c>
      <c r="L63" s="1503" t="e">
        <f>IF(M49&gt;10000,M49*0.5%,IF(AND(M49&gt;1000,M49&lt;=10000),M49*1%,IF(AND(M49&gt;100,M49&lt;=1000),M49*3%,IF(AND(M49&gt;10,M49&lt;=100),M49*5%,M49*8%))))</f>
        <v>#VALUE!</v>
      </c>
      <c r="M63" s="308" t="e">
        <f>ROUND(L63,1)</f>
        <v>#VALUE!</v>
      </c>
      <c r="N63" s="2769"/>
      <c r="Z63" s="1940"/>
      <c r="AI63" s="1941"/>
    </row>
    <row r="64" spans="1:35" ht="14.25" customHeight="1" x14ac:dyDescent="0.2">
      <c r="A64" s="174" t="s">
        <v>770</v>
      </c>
      <c r="B64" s="175" t="s">
        <v>2067</v>
      </c>
      <c r="C64" s="2791" t="e">
        <f ca="1">D45</f>
        <v>#REF!</v>
      </c>
      <c r="D64" s="175" t="s">
        <v>32</v>
      </c>
      <c r="E64" s="177"/>
      <c r="F64" s="1996"/>
      <c r="G64" s="1996"/>
      <c r="H64" s="1998"/>
      <c r="I64" s="134"/>
      <c r="J64" s="3403"/>
      <c r="K64" s="1503" t="s">
        <v>2068</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2069</v>
      </c>
      <c r="Z64" s="1940"/>
      <c r="AI64" s="1941"/>
    </row>
    <row r="65" spans="1:35" ht="14.25" customHeight="1" x14ac:dyDescent="0.2">
      <c r="A65" s="174" t="s">
        <v>771</v>
      </c>
      <c r="B65" s="175" t="s">
        <v>2070</v>
      </c>
      <c r="C65" s="2792"/>
      <c r="D65" s="175"/>
      <c r="E65" s="177"/>
      <c r="F65" s="1996"/>
      <c r="G65" s="1996"/>
      <c r="H65" s="1998"/>
      <c r="I65" s="134"/>
      <c r="J65" s="3403"/>
      <c r="K65" s="1503" t="s">
        <v>2071</v>
      </c>
      <c r="L65" s="1503" t="e">
        <f>IF(M49&gt;1000,M49*0.1%,IF(AND(M49&gt;500,M49&lt;=1000),M49*0.5%,IF(AND(M49&gt;50,M49&lt;=500),M49*1%,IF(AND(M49&gt;1,M49&lt;=50),M49*1.5%))))</f>
        <v>#VALUE!</v>
      </c>
      <c r="M65" s="308" t="e">
        <f t="shared" si="1"/>
        <v>#VALUE!</v>
      </c>
      <c r="N65" s="2770" t="s">
        <v>2069</v>
      </c>
      <c r="Z65" s="1940"/>
      <c r="AI65" s="1941"/>
    </row>
    <row r="66" spans="1:35" ht="14.25" customHeight="1" x14ac:dyDescent="0.2">
      <c r="A66" s="178" t="s">
        <v>772</v>
      </c>
      <c r="B66" s="179" t="s">
        <v>2072</v>
      </c>
      <c r="C66" s="2793"/>
      <c r="D66" s="179" t="s">
        <v>32</v>
      </c>
      <c r="E66" s="1511" t="s">
        <v>1337</v>
      </c>
      <c r="F66" s="1996"/>
      <c r="G66" s="1996"/>
      <c r="H66" s="1998"/>
      <c r="I66" s="134"/>
      <c r="J66" s="3403"/>
      <c r="K66" s="1503" t="s">
        <v>2073</v>
      </c>
      <c r="L66" s="1503" t="e">
        <f>M49*0.5%</f>
        <v>#VALUE!</v>
      </c>
      <c r="M66" s="308" t="e">
        <f>IF(L66&gt;0.5,0.5,ROUND(L66,0))</f>
        <v>#VALUE!</v>
      </c>
      <c r="N66" s="2770" t="s">
        <v>2074</v>
      </c>
      <c r="Z66" s="1940"/>
      <c r="AI66" s="1941"/>
    </row>
    <row r="67" spans="1:35" ht="14.25" customHeight="1" x14ac:dyDescent="0.2">
      <c r="A67" s="178" t="s">
        <v>773</v>
      </c>
      <c r="B67" s="179" t="s">
        <v>2075</v>
      </c>
      <c r="C67" s="2794" t="e">
        <f ca="1">C63-C66</f>
        <v>#REF!</v>
      </c>
      <c r="D67" s="175" t="s">
        <v>32</v>
      </c>
      <c r="E67" s="177"/>
      <c r="F67" s="1996"/>
      <c r="G67" s="1996"/>
      <c r="H67" s="1998"/>
      <c r="I67" s="134"/>
      <c r="J67" s="3403"/>
      <c r="K67" s="1503" t="s">
        <v>2076</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40"/>
      <c r="AI67" s="1941"/>
    </row>
    <row r="68" spans="1:35" ht="14.25" customHeight="1" thickBot="1" x14ac:dyDescent="0.25">
      <c r="A68" s="181" t="s">
        <v>774</v>
      </c>
      <c r="B68" s="182" t="s">
        <v>2077</v>
      </c>
      <c r="C68" s="2795" t="e">
        <f ca="1">IF(C67&lt;=0,0,ROUND(C67*D68,0))</f>
        <v>#REF!</v>
      </c>
      <c r="D68" s="2796">
        <f>'数据-取费表'!B41</f>
        <v>5.6000000000000001E-2</v>
      </c>
      <c r="E68" s="184"/>
      <c r="F68" s="1996"/>
      <c r="G68" s="1996"/>
      <c r="H68" s="1998"/>
      <c r="I68" s="134"/>
      <c r="J68" s="3403"/>
      <c r="K68" s="1503" t="s">
        <v>2078</v>
      </c>
      <c r="L68" s="1503" t="e">
        <f>IF(M49&gt;10000,M49*0.5%,IF(AND(M49&gt;5000,M49&lt;=10000),M49*1%,IF(AND(M49&gt;1000,M49&lt;=5000),M49*2%,IF(AND(M49&gt;200,M49&lt;=1000),M49*3%,M49*5%))))</f>
        <v>#VALUE!</v>
      </c>
      <c r="M68" s="308" t="e">
        <f>ROUND(L68,1)</f>
        <v>#VALUE!</v>
      </c>
      <c r="N68" s="2769"/>
      <c r="Z68" s="1940"/>
      <c r="AI68" s="1941"/>
    </row>
    <row r="69" spans="1:35" s="1960" customFormat="1" ht="16.5" customHeight="1" x14ac:dyDescent="0.2">
      <c r="A69" s="1999"/>
      <c r="B69" s="2000"/>
      <c r="C69" s="2001"/>
      <c r="D69" s="2002"/>
      <c r="E69" s="2003"/>
      <c r="F69" s="1765"/>
      <c r="G69" s="1765"/>
      <c r="H69" s="1764"/>
      <c r="I69" s="1935"/>
      <c r="J69" s="3403"/>
      <c r="K69" s="1503" t="s">
        <v>2079</v>
      </c>
      <c r="L69" s="1503"/>
      <c r="M69" s="308" t="e">
        <f>ROUND(SUM(M63:M68),0)</f>
        <v>#VALUE!</v>
      </c>
      <c r="N69" s="2771"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x14ac:dyDescent="0.25">
      <c r="A70" s="3362" t="s">
        <v>2080</v>
      </c>
      <c r="B70" s="3363"/>
      <c r="C70" s="3363"/>
      <c r="D70" s="3363"/>
      <c r="E70" s="3363"/>
      <c r="F70" s="3363"/>
      <c r="G70" s="3363"/>
      <c r="H70" s="3363"/>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 x14ac:dyDescent="0.2">
      <c r="A71" s="3341" t="s">
        <v>2061</v>
      </c>
      <c r="B71" s="3342"/>
      <c r="C71" s="2211"/>
      <c r="D71" s="2211" t="s">
        <v>2062</v>
      </c>
      <c r="E71" s="185" t="s">
        <v>2063</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 x14ac:dyDescent="0.2">
      <c r="A72" s="178" t="s">
        <v>775</v>
      </c>
      <c r="B72" s="179" t="s">
        <v>2081</v>
      </c>
      <c r="C72" s="2794" t="e">
        <f ca="1">ROUND(D45/(1+'数据-取费表'!C42),0)</f>
        <v>#REF!</v>
      </c>
      <c r="D72" s="175" t="s">
        <v>32</v>
      </c>
      <c r="E72" s="2556"/>
      <c r="F72" s="2555"/>
      <c r="G72" s="2555"/>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 x14ac:dyDescent="0.2">
      <c r="A73" s="178" t="s">
        <v>772</v>
      </c>
      <c r="B73" s="168" t="s">
        <v>2082</v>
      </c>
      <c r="C73" s="2794" t="e">
        <f ca="1">C74+C78</f>
        <v>#REF!</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8" x14ac:dyDescent="0.2">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 x14ac:dyDescent="0.2">
      <c r="A75" s="174" t="s">
        <v>776</v>
      </c>
      <c r="B75" s="175" t="s">
        <v>2084</v>
      </c>
      <c r="C75" s="2797"/>
      <c r="D75" s="175" t="s">
        <v>32</v>
      </c>
      <c r="E75" s="190" t="s">
        <v>2085</v>
      </c>
      <c r="F75" s="2798"/>
      <c r="G75" s="190" t="s">
        <v>2086</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x14ac:dyDescent="0.2">
      <c r="A76" s="174" t="s">
        <v>777</v>
      </c>
      <c r="B76" s="191" t="s">
        <v>2087</v>
      </c>
      <c r="C76" s="175">
        <f>IF(F75="购房发票",ROUND(C75*H75*D76,0),0)</f>
        <v>0</v>
      </c>
      <c r="D76" s="2800">
        <v>0.05</v>
      </c>
      <c r="E76" s="3336" t="s">
        <v>2088</v>
      </c>
      <c r="F76" s="3310"/>
      <c r="G76" s="3310"/>
      <c r="H76" s="3361"/>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x14ac:dyDescent="0.2">
      <c r="A77" s="174" t="s">
        <v>778</v>
      </c>
      <c r="B77" s="175" t="s">
        <v>2089</v>
      </c>
      <c r="C77" s="175">
        <f>ROUND(IF(G77="个人住宅",0,IF(G77="2016年5月1日前购买",C75*D77,C75*D77/(1+'数据-取费表'!C42))),0)</f>
        <v>0</v>
      </c>
      <c r="D77" s="2801">
        <f>'数据-取费表'!B48+'数据-取费表'!B49</f>
        <v>3.0499999999999999E-2</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x14ac:dyDescent="0.15">
      <c r="A78" s="174" t="s">
        <v>771</v>
      </c>
      <c r="B78" s="175" t="s">
        <v>2091</v>
      </c>
      <c r="C78" s="2802" t="e">
        <f ca="1">ROUND(D45*D78/(1+'数据-取费表'!C42),0)</f>
        <v>#REF!</v>
      </c>
      <c r="D78" s="2803">
        <f>'数据-取费表'!B43</f>
        <v>6.000000000000001E-3</v>
      </c>
      <c r="E78" s="3320" t="s">
        <v>2092</v>
      </c>
      <c r="F78" s="3321"/>
      <c r="G78" s="3321"/>
      <c r="H78" s="3330"/>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 x14ac:dyDescent="0.2">
      <c r="A79" s="178" t="s">
        <v>779</v>
      </c>
      <c r="B79" s="179" t="s">
        <v>2093</v>
      </c>
      <c r="C79" s="2794" t="e">
        <f ca="1">C72-C73</f>
        <v>#REF!</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8" x14ac:dyDescent="0.2">
      <c r="A80" s="178" t="s">
        <v>780</v>
      </c>
      <c r="B80" s="179" t="s">
        <v>2094</v>
      </c>
      <c r="C80" s="2804" t="e">
        <f ca="1">IF(C79&lt;=0,0,C79/C73)</f>
        <v>#REF!</v>
      </c>
      <c r="D80" s="175" t="s">
        <v>32</v>
      </c>
      <c r="E80" s="2549" t="e">
        <f ca="1">IF(C80&gt;=200%,"增值额超过扣除项目金额200%",IF(C80&gt;=100%,"增值额超过扣除项目金额100%，未超过200%",IF(C80&gt;=50%,"增值额超过扣除项目金额50%，未超过100%",IF(C80&lt;50%,"增值额未超过扣除项目金额50%"))))</f>
        <v>#REF!</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15" thickBot="1" x14ac:dyDescent="0.25">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x14ac:dyDescent="0.15">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x14ac:dyDescent="0.25">
      <c r="A83" s="3362" t="s">
        <v>2096</v>
      </c>
      <c r="B83" s="3363"/>
      <c r="C83" s="3363"/>
      <c r="D83" s="3363"/>
      <c r="E83" s="3363"/>
      <c r="F83" s="3363"/>
      <c r="G83" s="3363"/>
      <c r="H83" s="3363"/>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 x14ac:dyDescent="0.2">
      <c r="A84" s="3341" t="s">
        <v>2061</v>
      </c>
      <c r="B84" s="3342"/>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 x14ac:dyDescent="0.2">
      <c r="A85" s="178" t="s">
        <v>775</v>
      </c>
      <c r="B85" s="179" t="s">
        <v>2081</v>
      </c>
      <c r="C85" s="2794" t="e">
        <f ca="1">ROUND(D45/(1+'数据-取费表'!C42),0)</f>
        <v>#REF!</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 x14ac:dyDescent="0.2">
      <c r="A86" s="178" t="s">
        <v>772</v>
      </c>
      <c r="B86" s="168" t="s">
        <v>2082</v>
      </c>
      <c r="C86" s="2794" t="e">
        <f ca="1">IF(H88="仅含出让金",C87+C90+C91+C92+C93+C94,C87+C91+C92+C93+C94)</f>
        <v>#REF!</v>
      </c>
      <c r="D86" s="2807"/>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 x14ac:dyDescent="0.2">
      <c r="A87" s="174" t="s">
        <v>770</v>
      </c>
      <c r="B87" s="175" t="s">
        <v>2097</v>
      </c>
      <c r="C87" s="2802">
        <f>C88+C89</f>
        <v>0</v>
      </c>
      <c r="D87" s="2803"/>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 x14ac:dyDescent="0.2">
      <c r="A88" s="174" t="s">
        <v>776</v>
      </c>
      <c r="B88" s="175" t="s">
        <v>2098</v>
      </c>
      <c r="C88" s="2808"/>
      <c r="D88" s="2803"/>
      <c r="E88" s="199" t="s">
        <v>2099</v>
      </c>
      <c r="F88" s="2552"/>
      <c r="G88" s="200" t="s">
        <v>2100</v>
      </c>
      <c r="H88" s="2012"/>
      <c r="I88" s="2009"/>
      <c r="J88" s="2747" t="s">
        <v>3031</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 x14ac:dyDescent="0.2">
      <c r="A89" s="174" t="s">
        <v>777</v>
      </c>
      <c r="B89" s="175" t="s">
        <v>2089</v>
      </c>
      <c r="C89" s="2802">
        <f>ROUND(C88*D89,0)</f>
        <v>0</v>
      </c>
      <c r="D89" s="2803">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 x14ac:dyDescent="0.2">
      <c r="A90" s="174" t="s">
        <v>771</v>
      </c>
      <c r="B90" s="175" t="s">
        <v>2102</v>
      </c>
      <c r="C90" s="2808"/>
      <c r="D90" s="2803"/>
      <c r="E90" s="199" t="str">
        <f>IF(H88="-","土地取得成本中已包含该笔费用"," ")</f>
        <v xml:space="preserve"> </v>
      </c>
      <c r="F90" s="2552"/>
      <c r="G90" s="3405" t="s">
        <v>2870</v>
      </c>
      <c r="H90" s="3406"/>
      <c r="I90" s="2009"/>
      <c r="J90" s="2747" t="s">
        <v>3032</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x14ac:dyDescent="0.2">
      <c r="A91" s="174" t="s">
        <v>2103</v>
      </c>
      <c r="B91" s="175" t="s">
        <v>2104</v>
      </c>
      <c r="C91" s="2802">
        <f>IF(H91="——",成本法!C33,I91)</f>
        <v>0</v>
      </c>
      <c r="D91" s="2803"/>
      <c r="E91" s="3320" t="s">
        <v>2105</v>
      </c>
      <c r="F91" s="3321"/>
      <c r="G91" s="3321"/>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x14ac:dyDescent="0.2">
      <c r="A92" s="174" t="s">
        <v>2106</v>
      </c>
      <c r="B92" s="175" t="s">
        <v>2107</v>
      </c>
      <c r="C92" s="2802">
        <f>ROUND((C87+C90+C91)*D92,0)</f>
        <v>0</v>
      </c>
      <c r="D92" s="2809"/>
      <c r="E92" s="3320" t="s">
        <v>2108</v>
      </c>
      <c r="F92" s="3321"/>
      <c r="G92" s="3321"/>
      <c r="H92" s="3330"/>
      <c r="I92" s="2009"/>
      <c r="J92" s="2748" t="s">
        <v>3033</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x14ac:dyDescent="0.2">
      <c r="A93" s="174" t="s">
        <v>2109</v>
      </c>
      <c r="B93" s="175" t="s">
        <v>2091</v>
      </c>
      <c r="C93" s="2802" t="e">
        <f ca="1">ROUND(D45*D93/(1+'数据-取费表'!C42),0)</f>
        <v>#REF!</v>
      </c>
      <c r="D93" s="2803">
        <f>'数据-取费表'!B43</f>
        <v>6.000000000000001E-3</v>
      </c>
      <c r="E93" s="3320" t="s">
        <v>2092</v>
      </c>
      <c r="F93" s="3321"/>
      <c r="G93" s="3321"/>
      <c r="H93" s="3330"/>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x14ac:dyDescent="0.2">
      <c r="A94" s="174" t="s">
        <v>2110</v>
      </c>
      <c r="B94" s="175" t="s">
        <v>2111</v>
      </c>
      <c r="C94" s="2808">
        <f>ROUND((C87+C90+C91)*D94,0)</f>
        <v>0</v>
      </c>
      <c r="D94" s="2803">
        <v>0.2</v>
      </c>
      <c r="E94" s="3331" t="s">
        <v>2112</v>
      </c>
      <c r="F94" s="3332"/>
      <c r="G94" s="3332"/>
      <c r="H94" s="3333"/>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 x14ac:dyDescent="0.2">
      <c r="A95" s="178" t="s">
        <v>779</v>
      </c>
      <c r="B95" s="179" t="s">
        <v>2093</v>
      </c>
      <c r="C95" s="2794" t="e">
        <f ca="1">ROUND(C85-C86,0)</f>
        <v>#REF!</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8" x14ac:dyDescent="0.2">
      <c r="A96" s="178" t="s">
        <v>780</v>
      </c>
      <c r="B96" s="179" t="s">
        <v>2094</v>
      </c>
      <c r="C96" s="2804" t="e">
        <f ca="1">IF(C95&lt;=0,0,C95/C86)</f>
        <v>#REF!</v>
      </c>
      <c r="D96" s="175" t="s">
        <v>32</v>
      </c>
      <c r="E96" s="2549" t="e">
        <f ca="1">IF(C96&gt;=200%,"增值额超过扣除项目金额200%",IF(C96&gt;=100%,"增值额超过扣除项目金额100%，未超过200%",IF(C96&gt;=50%,"增值额超过扣除项目金额50%，未超过100%",IF(C96&lt;50%,"增值额未超过扣除项目金额50%"))))</f>
        <v>#REF!</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15" thickBot="1" x14ac:dyDescent="0.25">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x14ac:dyDescent="0.2">
      <c r="A98" s="1997"/>
      <c r="B98" s="1935"/>
      <c r="C98" s="1935"/>
      <c r="D98" s="1935"/>
      <c r="E98" s="1765"/>
      <c r="F98" s="1765"/>
      <c r="G98" s="1765"/>
      <c r="H98" s="1764"/>
      <c r="I98" s="134"/>
    </row>
    <row r="99" spans="1:35" ht="21.75" customHeight="1" thickBot="1" x14ac:dyDescent="0.25">
      <c r="A99" s="1988" t="s">
        <v>2113</v>
      </c>
      <c r="B99" s="1935"/>
      <c r="C99" s="1935"/>
      <c r="D99" s="1935"/>
      <c r="E99" s="1765"/>
      <c r="F99" s="1765"/>
      <c r="G99" s="1765"/>
      <c r="H99" s="1764"/>
      <c r="I99" s="134"/>
    </row>
    <row r="100" spans="1:35" ht="18.75" customHeight="1" x14ac:dyDescent="0.2">
      <c r="A100" s="3304" t="s">
        <v>2114</v>
      </c>
      <c r="B100" s="3305"/>
      <c r="C100" s="3305"/>
      <c r="D100" s="3322"/>
      <c r="E100" s="3305" t="s">
        <v>2115</v>
      </c>
      <c r="F100" s="3305"/>
      <c r="G100" s="3305"/>
      <c r="H100" s="3322"/>
      <c r="I100" s="134"/>
    </row>
    <row r="101" spans="1:35" ht="18.75" customHeight="1" x14ac:dyDescent="0.2">
      <c r="A101" s="3386" t="s">
        <v>2116</v>
      </c>
      <c r="B101" s="3387"/>
      <c r="C101" s="2811" t="str">
        <f>C4</f>
        <v>收益法倒推-办公</v>
      </c>
      <c r="D101" s="2812" t="str">
        <f>D4</f>
        <v>租金比较法-办公</v>
      </c>
      <c r="E101" s="3400" t="s">
        <v>2117</v>
      </c>
      <c r="F101" s="3354"/>
      <c r="G101" s="2015" t="s">
        <v>2118</v>
      </c>
      <c r="H101" s="2821" t="e">
        <f ca="1">H118</f>
        <v>#REF!</v>
      </c>
      <c r="I101" s="134"/>
    </row>
    <row r="102" spans="1:35" ht="18.75" customHeight="1" x14ac:dyDescent="0.2">
      <c r="A102" s="3356" t="s">
        <v>2119</v>
      </c>
      <c r="B102" s="2810" t="s">
        <v>2118</v>
      </c>
      <c r="C102" s="2811" t="e">
        <f ca="1">C19</f>
        <v>#REF!</v>
      </c>
      <c r="D102" s="2812" t="e">
        <f ca="1">D19</f>
        <v>#REF!</v>
      </c>
      <c r="E102" s="3400"/>
      <c r="F102" s="3354"/>
      <c r="G102" s="2015" t="s">
        <v>2120</v>
      </c>
      <c r="H102" s="2781" t="e">
        <f ca="1">I118</f>
        <v>#REF!</v>
      </c>
      <c r="I102" s="134"/>
    </row>
    <row r="103" spans="1:35" ht="42.75" customHeight="1" x14ac:dyDescent="0.2">
      <c r="A103" s="3356"/>
      <c r="B103" s="2810" t="s">
        <v>2120</v>
      </c>
      <c r="C103" s="2813" t="e">
        <f ca="1">C20</f>
        <v>#REF!</v>
      </c>
      <c r="D103" s="2814" t="e">
        <f ca="1">D20</f>
        <v>#REF!</v>
      </c>
      <c r="E103" s="3394" t="s">
        <v>2121</v>
      </c>
      <c r="F103" s="3395"/>
      <c r="G103" s="2016" t="s">
        <v>2122</v>
      </c>
      <c r="H103" s="2821">
        <f>IF(D36="正常操作",H104+H105+H106,H105+H106)</f>
        <v>0</v>
      </c>
      <c r="I103" s="134"/>
    </row>
    <row r="104" spans="1:35" ht="18.75" customHeight="1" x14ac:dyDescent="0.2">
      <c r="A104" s="3356" t="s">
        <v>2123</v>
      </c>
      <c r="B104" s="2815" t="s">
        <v>2118</v>
      </c>
      <c r="C104" s="2816" t="e">
        <f ca="1">H118</f>
        <v>#REF!</v>
      </c>
      <c r="D104" s="2817"/>
      <c r="E104" s="1862" t="s">
        <v>2124</v>
      </c>
      <c r="F104" s="1853"/>
      <c r="G104" s="2016" t="s">
        <v>2122</v>
      </c>
      <c r="H104" s="2822">
        <f>IF(D36="同一抵押权人同一抵押物续贷",C36&amp;"（续贷，未扣减，详见特别提示）",C36)</f>
        <v>0</v>
      </c>
      <c r="I104" s="134"/>
    </row>
    <row r="105" spans="1:35" ht="18.75" customHeight="1" thickBot="1" x14ac:dyDescent="0.25">
      <c r="A105" s="3357"/>
      <c r="B105" s="2818" t="s">
        <v>2120</v>
      </c>
      <c r="C105" s="2819" t="e">
        <f ca="1">I118</f>
        <v>#REF!</v>
      </c>
      <c r="D105" s="2820"/>
      <c r="E105" s="1862" t="s">
        <v>2125</v>
      </c>
      <c r="F105" s="1853"/>
      <c r="G105" s="2016" t="s">
        <v>2122</v>
      </c>
      <c r="H105" s="2823">
        <f>C37</f>
        <v>0</v>
      </c>
      <c r="I105" s="134"/>
    </row>
    <row r="106" spans="1:35" ht="18.75" customHeight="1" x14ac:dyDescent="0.2">
      <c r="A106" s="1935" t="s">
        <v>2126</v>
      </c>
      <c r="B106" s="1935"/>
      <c r="C106" s="1935"/>
      <c r="D106" s="1935"/>
      <c r="E106" s="2017" t="s">
        <v>2127</v>
      </c>
      <c r="F106" s="1853"/>
      <c r="G106" s="2016" t="s">
        <v>2122</v>
      </c>
      <c r="H106" s="2823">
        <f>C38</f>
        <v>0</v>
      </c>
      <c r="I106" s="134"/>
    </row>
    <row r="107" spans="1:35" ht="18.75" customHeight="1" x14ac:dyDescent="0.2">
      <c r="A107" s="134"/>
      <c r="B107" s="134"/>
      <c r="C107" s="134"/>
      <c r="D107" s="134"/>
      <c r="E107" s="3353" t="str">
        <f>IF(项目基本情况!E8="已注销","——","3.房地产抵押价值")</f>
        <v>3.房地产抵押价值</v>
      </c>
      <c r="F107" s="3354"/>
      <c r="G107" s="2015" t="s">
        <v>2118</v>
      </c>
      <c r="H107" s="2821" t="e">
        <f ca="1">IF(E107="——","——",H101-H103)</f>
        <v>#REF!</v>
      </c>
      <c r="I107" s="134"/>
    </row>
    <row r="108" spans="1:35" ht="18.75" customHeight="1" x14ac:dyDescent="0.2">
      <c r="A108" s="134"/>
      <c r="B108" s="134"/>
      <c r="C108" s="134"/>
      <c r="D108" s="134"/>
      <c r="E108" s="3353"/>
      <c r="F108" s="3354"/>
      <c r="G108" s="2015" t="s">
        <v>2120</v>
      </c>
      <c r="H108" s="2781" t="e">
        <f ca="1">ROUND(H107*10000/'数据-汇总表'!E3,0)</f>
        <v>#REF!</v>
      </c>
      <c r="I108" s="134"/>
    </row>
    <row r="109" spans="1:35" ht="18.75" customHeight="1" x14ac:dyDescent="0.2">
      <c r="A109" s="134"/>
      <c r="B109" s="134"/>
      <c r="C109" s="134"/>
      <c r="D109" s="134"/>
      <c r="E109" s="3353" t="str">
        <f>IF(项目基本情况!E8="已注销及未注销","4.抵押担保权已注销时的房地产抵押价值",IF(项目基本情况!E8="已注销","3.抵押担保权已注销时的房地产抵押价值","——"))</f>
        <v>——</v>
      </c>
      <c r="F109" s="3354"/>
      <c r="G109" s="2015" t="s">
        <v>2118</v>
      </c>
      <c r="H109" s="2824" t="str">
        <f>IF(E109="——","——",H101-H105-H106)</f>
        <v>——</v>
      </c>
      <c r="I109" s="134"/>
    </row>
    <row r="110" spans="1:35" ht="18.75" customHeight="1" x14ac:dyDescent="0.2">
      <c r="A110" s="134"/>
      <c r="B110" s="134"/>
      <c r="C110" s="134"/>
      <c r="D110" s="134"/>
      <c r="E110" s="3353"/>
      <c r="F110" s="3354"/>
      <c r="G110" s="2015" t="s">
        <v>2120</v>
      </c>
      <c r="H110" s="2781" t="str">
        <f>IF(H109="——","——",ROUND(H109*10000/'数据-汇总表'!E3,0))</f>
        <v>——</v>
      </c>
      <c r="I110" s="134"/>
    </row>
    <row r="111" spans="1:35" ht="18.75" customHeight="1" x14ac:dyDescent="0.2">
      <c r="A111" s="134"/>
      <c r="B111" s="134"/>
      <c r="C111" s="134"/>
      <c r="D111" s="134"/>
      <c r="E111" s="3388" t="str">
        <f>IF(项目基本情况!E9="抵押净值",IF(OR(项目基本情况!E8="已注销",项目基本情况!E8="房地产抵押价值"),"4.抵押净值","5.抵押净值"),"——")</f>
        <v>——</v>
      </c>
      <c r="F111" s="3355"/>
      <c r="G111" s="2015" t="s">
        <v>2118</v>
      </c>
      <c r="H111" s="2821" t="str">
        <f>IF(E111="——","——",N59)</f>
        <v>——</v>
      </c>
      <c r="I111" s="134"/>
    </row>
    <row r="112" spans="1:35" ht="18.75" customHeight="1" thickBot="1" x14ac:dyDescent="0.25">
      <c r="A112" s="134"/>
      <c r="B112" s="134"/>
      <c r="C112" s="134"/>
      <c r="D112" s="134"/>
      <c r="E112" s="3389"/>
      <c r="F112" s="3390"/>
      <c r="G112" s="2018" t="s">
        <v>2120</v>
      </c>
      <c r="H112" s="2825" t="str">
        <f>IF(E111="——","——",N61)</f>
        <v>——</v>
      </c>
      <c r="I112" s="134"/>
    </row>
    <row r="113" spans="1:27" ht="18.75" customHeight="1" x14ac:dyDescent="0.2">
      <c r="A113" s="134"/>
      <c r="B113" s="134"/>
      <c r="C113" s="134"/>
      <c r="D113" s="134"/>
      <c r="E113" s="3358" t="s">
        <v>2126</v>
      </c>
      <c r="F113" s="3358"/>
      <c r="G113" s="3358"/>
      <c r="H113" s="3358"/>
      <c r="I113" s="134"/>
    </row>
    <row r="114" spans="1:27" ht="3.75" customHeight="1" x14ac:dyDescent="0.2">
      <c r="A114" s="1935"/>
      <c r="B114" s="1935"/>
      <c r="C114" s="1935"/>
      <c r="D114" s="1935"/>
      <c r="E114" s="1997"/>
      <c r="F114" s="1997"/>
      <c r="G114" s="1997"/>
      <c r="H114" s="1997"/>
      <c r="I114" s="1935"/>
    </row>
    <row r="115" spans="1:27" ht="18.75" customHeight="1" x14ac:dyDescent="0.2">
      <c r="A115" s="3371" t="s">
        <v>2128</v>
      </c>
      <c r="B115" s="3372"/>
      <c r="C115" s="3372"/>
      <c r="D115" s="3372"/>
      <c r="E115" s="3372"/>
      <c r="F115" s="3372"/>
      <c r="G115" s="3372"/>
      <c r="H115" s="3372"/>
      <c r="I115" s="3373"/>
    </row>
    <row r="116" spans="1:27" ht="27" customHeight="1" x14ac:dyDescent="0.2">
      <c r="A116" s="3324" t="s">
        <v>2129</v>
      </c>
      <c r="B116" s="3359" t="s">
        <v>2130</v>
      </c>
      <c r="C116" s="3359" t="s">
        <v>2131</v>
      </c>
      <c r="D116" s="3375" t="s">
        <v>2132</v>
      </c>
      <c r="E116" s="3376"/>
      <c r="F116" s="3367" t="s">
        <v>2133</v>
      </c>
      <c r="G116" s="3367"/>
      <c r="H116" s="3324" t="s">
        <v>2134</v>
      </c>
      <c r="I116" s="3324"/>
    </row>
    <row r="117" spans="1:27" ht="18.75" customHeight="1" x14ac:dyDescent="0.2">
      <c r="A117" s="3324"/>
      <c r="B117" s="3360"/>
      <c r="C117" s="3360"/>
      <c r="D117" s="2554" t="s">
        <v>2135</v>
      </c>
      <c r="E117" s="2554" t="s">
        <v>2136</v>
      </c>
      <c r="F117" s="2554" t="s">
        <v>2135</v>
      </c>
      <c r="G117" s="2554" t="s">
        <v>2137</v>
      </c>
      <c r="H117" s="2554" t="s">
        <v>2135</v>
      </c>
      <c r="I117" s="2554" t="s">
        <v>2137</v>
      </c>
    </row>
    <row r="118" spans="1:27" ht="24.75" customHeight="1" x14ac:dyDescent="0.2">
      <c r="A118" s="2826" t="str">
        <f>项目基本情况!S2</f>
        <v>北京市房地产</v>
      </c>
      <c r="B118" s="2554">
        <f>M18</f>
        <v>0</v>
      </c>
      <c r="C118" s="2554">
        <f>M19</f>
        <v>0</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t="e">
        <f ca="1">ROUND(IF(D32="总价",C32,I118*B118/10000),0)</f>
        <v>#REF!</v>
      </c>
      <c r="I118" s="2554" t="e">
        <f ca="1">ROUND(IF(D32="楼面单价",C32,H118*10000/B118),0)</f>
        <v>#REF!</v>
      </c>
    </row>
    <row r="119" spans="1:27" ht="18.75" customHeight="1" x14ac:dyDescent="0.2">
      <c r="A119" s="3324" t="s">
        <v>2138</v>
      </c>
      <c r="B119" s="3324"/>
      <c r="C119" s="3324"/>
      <c r="D119" s="3364" t="e">
        <f ca="1">NUMBERSTRING(INT(D118*10000),2)&amp;"元整"</f>
        <v>#REF!</v>
      </c>
      <c r="E119" s="3366"/>
      <c r="F119" s="3364" t="e">
        <f ca="1">NUMBERSTRING(INT(F118*10000),2)&amp;"元整"</f>
        <v>#REF!</v>
      </c>
      <c r="G119" s="3366"/>
      <c r="H119" s="3364" t="e">
        <f ca="1">NUMBERSTRING(INT(H118*10000),2)&amp;"元整"</f>
        <v>#REF!</v>
      </c>
      <c r="I119" s="3366"/>
    </row>
    <row r="120" spans="1:27" ht="18.75" customHeight="1" x14ac:dyDescent="0.2">
      <c r="A120" s="3391" t="str">
        <f>IF(项目基本情况!B9="房地产市场价值","",MID(E103,3,LEN(E103)-2))</f>
        <v/>
      </c>
      <c r="B120" s="3392"/>
      <c r="C120" s="3393"/>
      <c r="D120" s="3391">
        <f>H103</f>
        <v>0</v>
      </c>
      <c r="E120" s="3392"/>
      <c r="F120" s="3392"/>
      <c r="G120" s="3392"/>
      <c r="H120" s="3392"/>
      <c r="I120" s="3393"/>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x14ac:dyDescent="0.2">
      <c r="A121" s="3368" t="s">
        <v>2138</v>
      </c>
      <c r="B121" s="3369"/>
      <c r="C121" s="3370"/>
      <c r="D121" s="3364" t="str">
        <f>IF(D120=0,"零元整",NUMBERSTRING(INT(D120*10000),2)&amp;"元整")</f>
        <v>零元整</v>
      </c>
      <c r="E121" s="3365"/>
      <c r="F121" s="3365"/>
      <c r="G121" s="3365"/>
      <c r="H121" s="3365"/>
      <c r="I121" s="3366"/>
      <c r="AA121" s="734"/>
    </row>
    <row r="122" spans="1:27" ht="18.75" customHeight="1" x14ac:dyDescent="0.2">
      <c r="A122" s="3355" t="str">
        <f>IF(项目基本情况!B9="房地产市场价值","",MID(E107,3,LEN(E107)-2))</f>
        <v/>
      </c>
      <c r="B122" s="3355"/>
      <c r="C122" s="3355"/>
      <c r="D122" s="3391" t="e">
        <f ca="1">H107</f>
        <v>#REF!</v>
      </c>
      <c r="E122" s="3392"/>
      <c r="F122" s="3392"/>
      <c r="G122" s="3392"/>
      <c r="H122" s="3392"/>
      <c r="I122" s="3393"/>
      <c r="AA122" s="734"/>
    </row>
    <row r="123" spans="1:27" ht="18.75" customHeight="1" x14ac:dyDescent="0.2">
      <c r="A123" s="3324" t="s">
        <v>2138</v>
      </c>
      <c r="B123" s="3324"/>
      <c r="C123" s="3324"/>
      <c r="D123" s="3364" t="e">
        <f ca="1">NUMBERSTRING(INT(D122*10000),2)&amp;"元整"</f>
        <v>#REF!</v>
      </c>
      <c r="E123" s="3365"/>
      <c r="F123" s="3365"/>
      <c r="G123" s="3365"/>
      <c r="H123" s="3365"/>
      <c r="I123" s="3366"/>
      <c r="AA123" s="734"/>
    </row>
    <row r="124" spans="1:27" ht="18.75" customHeight="1" x14ac:dyDescent="0.2">
      <c r="A124" s="3355" t="str">
        <f>IF(项目基本情况!B9="房地产市场价值","",MID(E109,3,LEN(E109)-2))</f>
        <v/>
      </c>
      <c r="B124" s="3355"/>
      <c r="C124" s="3355"/>
      <c r="D124" s="3391" t="str">
        <f>H109</f>
        <v>——</v>
      </c>
      <c r="E124" s="3392"/>
      <c r="F124" s="3392"/>
      <c r="G124" s="3392"/>
      <c r="H124" s="3392"/>
      <c r="I124" s="3393"/>
      <c r="AA124" s="734"/>
    </row>
    <row r="125" spans="1:27" ht="18.75" customHeight="1" x14ac:dyDescent="0.2">
      <c r="A125" s="3324" t="s">
        <v>2138</v>
      </c>
      <c r="B125" s="3324"/>
      <c r="C125" s="3324"/>
      <c r="D125" s="3364" t="e">
        <f>NUMBERSTRING(INT(D124*10000),2)&amp;"元整"</f>
        <v>#VALUE!</v>
      </c>
      <c r="E125" s="3365"/>
      <c r="F125" s="3365"/>
      <c r="G125" s="3365"/>
      <c r="H125" s="3365"/>
      <c r="I125" s="3366"/>
      <c r="AA125" s="734"/>
    </row>
    <row r="126" spans="1:27" ht="18.75" customHeight="1" x14ac:dyDescent="0.2">
      <c r="A126" s="3355" t="str">
        <f>IF(项目基本情况!B9="房地产市场价值","",MID(E111,3,LEN(E111)-2))</f>
        <v/>
      </c>
      <c r="B126" s="3355"/>
      <c r="C126" s="3355"/>
      <c r="D126" s="3391" t="str">
        <f>H111</f>
        <v>——</v>
      </c>
      <c r="E126" s="3392"/>
      <c r="F126" s="3392"/>
      <c r="G126" s="3392"/>
      <c r="H126" s="3392"/>
      <c r="I126" s="3393"/>
      <c r="AA126" s="734"/>
    </row>
    <row r="127" spans="1:27" ht="18.75" customHeight="1" x14ac:dyDescent="0.2">
      <c r="A127" s="3324" t="s">
        <v>2138</v>
      </c>
      <c r="B127" s="3324"/>
      <c r="C127" s="3324"/>
      <c r="D127" s="3364" t="e">
        <f>NUMBERSTRING(INT(D126*10000),2)&amp;"元整"</f>
        <v>#VALUE!</v>
      </c>
      <c r="E127" s="3365"/>
      <c r="F127" s="3365"/>
      <c r="G127" s="3365"/>
      <c r="H127" s="3365"/>
      <c r="I127" s="3366"/>
      <c r="AA127" s="734"/>
    </row>
    <row r="128" spans="1:27" ht="21.75" customHeight="1" x14ac:dyDescent="0.2">
      <c r="A128" s="3374" t="s">
        <v>2139</v>
      </c>
      <c r="B128" s="3374"/>
      <c r="C128" s="3374"/>
      <c r="D128" s="3374"/>
      <c r="E128" s="3374"/>
      <c r="F128" s="3374"/>
      <c r="G128" s="3374"/>
      <c r="H128" s="3374"/>
      <c r="I128" s="3374"/>
      <c r="AA128" s="734"/>
    </row>
    <row r="129" spans="1:35" ht="21.75" customHeight="1" x14ac:dyDescent="0.2">
      <c r="A129" s="2019" t="s">
        <v>2140</v>
      </c>
      <c r="B129" s="2020"/>
      <c r="C129" s="2021" t="s">
        <v>2141</v>
      </c>
      <c r="D129" s="2022"/>
      <c r="E129" s="2022"/>
      <c r="F129" s="2022"/>
      <c r="G129" s="2022"/>
      <c r="H129" s="2023"/>
      <c r="I129" s="2024"/>
      <c r="AA129" s="734"/>
    </row>
    <row r="130" spans="1:35" ht="21.75" customHeight="1" x14ac:dyDescent="0.2">
      <c r="A130" s="2025">
        <v>1</v>
      </c>
      <c r="B130" s="2026"/>
      <c r="C130" s="2026"/>
      <c r="D130" s="2027"/>
      <c r="E130" s="2027"/>
      <c r="F130" s="2027"/>
      <c r="G130" s="2027"/>
      <c r="H130" s="2028"/>
      <c r="I130" s="2029"/>
      <c r="AA130" s="734"/>
    </row>
    <row r="131" spans="1:35" ht="21.75" customHeight="1" x14ac:dyDescent="0.2">
      <c r="A131" s="2025">
        <v>2</v>
      </c>
      <c r="B131" s="2026"/>
      <c r="C131" s="2026"/>
      <c r="D131" s="2027"/>
      <c r="E131" s="2027"/>
      <c r="F131" s="2027"/>
      <c r="G131" s="2027"/>
      <c r="H131" s="2028"/>
      <c r="I131" s="2029"/>
      <c r="AA131" s="734"/>
    </row>
    <row r="132" spans="1:35" ht="21.75" customHeight="1" x14ac:dyDescent="0.2">
      <c r="A132" s="2025">
        <v>3</v>
      </c>
      <c r="B132" s="2026"/>
      <c r="C132" s="2026"/>
      <c r="D132" s="2027"/>
      <c r="E132" s="2027"/>
      <c r="F132" s="2027"/>
      <c r="G132" s="2027"/>
      <c r="H132" s="2028"/>
      <c r="I132" s="2029"/>
      <c r="AA132" s="734"/>
    </row>
    <row r="133" spans="1:35" ht="21.75" customHeight="1" x14ac:dyDescent="0.2">
      <c r="A133" s="2030"/>
      <c r="B133" s="2031"/>
      <c r="C133" s="2031"/>
      <c r="D133" s="2032"/>
      <c r="E133" s="2032"/>
      <c r="F133" s="2032"/>
      <c r="G133" s="2032"/>
      <c r="H133" s="2033"/>
      <c r="I133" s="2034"/>
    </row>
    <row r="134" spans="1:35" ht="21.75" customHeight="1" x14ac:dyDescent="0.2">
      <c r="A134" s="2026"/>
      <c r="B134" s="2026"/>
      <c r="C134" s="2026"/>
      <c r="D134" s="2027"/>
      <c r="E134" s="2027"/>
      <c r="F134" s="2027"/>
      <c r="G134" s="2027"/>
      <c r="H134" s="2028"/>
      <c r="I134" s="734"/>
    </row>
    <row r="135" spans="1:35" ht="21.75" customHeight="1" x14ac:dyDescent="0.2">
      <c r="A135" s="734"/>
      <c r="B135" s="734"/>
      <c r="C135" s="734"/>
      <c r="D135" s="734"/>
      <c r="E135" s="734"/>
      <c r="F135" s="2035" t="s">
        <v>2142</v>
      </c>
      <c r="G135" s="2036"/>
      <c r="H135" s="2036"/>
      <c r="I135" s="2037" t="s">
        <v>2143</v>
      </c>
    </row>
    <row r="136" spans="1:35" ht="21.75" customHeight="1" x14ac:dyDescent="0.2">
      <c r="A136" s="734"/>
      <c r="B136" s="2038" t="s">
        <v>2144</v>
      </c>
      <c r="C136" s="734"/>
      <c r="D136" s="734"/>
      <c r="E136" s="734"/>
      <c r="F136" s="734"/>
      <c r="G136" s="734"/>
      <c r="H136" s="734"/>
      <c r="I136" s="734"/>
    </row>
    <row r="137" spans="1:35" ht="21.75" customHeight="1" x14ac:dyDescent="0.2">
      <c r="A137" s="734"/>
      <c r="B137" s="734"/>
      <c r="C137" s="734"/>
      <c r="D137" s="734"/>
      <c r="E137" s="734"/>
      <c r="F137" s="734"/>
      <c r="G137" s="734"/>
      <c r="H137" s="734"/>
      <c r="I137" s="734"/>
    </row>
    <row r="138" spans="1:35" ht="21.75" customHeight="1" x14ac:dyDescent="0.2">
      <c r="A138" s="734"/>
      <c r="B138" s="2036"/>
      <c r="C138" s="2036"/>
      <c r="D138" s="2036"/>
      <c r="E138" s="2036"/>
      <c r="F138" s="2036"/>
      <c r="G138" s="2036"/>
      <c r="H138" s="2036"/>
      <c r="I138" s="2037" t="s">
        <v>2145</v>
      </c>
    </row>
    <row r="139" spans="1:35" ht="21.75" customHeight="1" x14ac:dyDescent="0.2">
      <c r="A139" s="734"/>
      <c r="B139" s="2038" t="s">
        <v>2146</v>
      </c>
      <c r="C139" s="734"/>
      <c r="D139" s="734"/>
      <c r="E139" s="734"/>
      <c r="F139" s="734"/>
      <c r="G139" s="734"/>
      <c r="H139" s="734"/>
      <c r="I139" s="734"/>
    </row>
    <row r="140" spans="1:35" ht="21.75" customHeight="1" x14ac:dyDescent="0.2">
      <c r="A140" s="734"/>
      <c r="B140" s="2038"/>
      <c r="C140" s="734"/>
      <c r="D140" s="734"/>
      <c r="E140" s="734"/>
      <c r="F140" s="734"/>
      <c r="G140" s="734"/>
      <c r="H140" s="734"/>
      <c r="I140" s="734"/>
    </row>
    <row r="141" spans="1:35" ht="21.75" customHeight="1" x14ac:dyDescent="0.2">
      <c r="A141" s="734"/>
      <c r="B141" s="2036"/>
      <c r="C141" s="2036"/>
      <c r="D141" s="2036"/>
      <c r="E141" s="2036"/>
      <c r="F141" s="2036"/>
      <c r="G141" s="2036"/>
      <c r="H141" s="2036"/>
      <c r="I141" s="2037" t="s">
        <v>2145</v>
      </c>
    </row>
    <row r="142" spans="1:35" ht="21.75" customHeight="1" x14ac:dyDescent="0.2">
      <c r="A142" s="734"/>
      <c r="B142" s="2038"/>
      <c r="C142" s="2039"/>
      <c r="D142" s="2040"/>
      <c r="E142" s="2040"/>
      <c r="F142" s="1929"/>
      <c r="G142" s="734"/>
      <c r="H142" s="734"/>
      <c r="I142" s="734"/>
    </row>
    <row r="143" spans="1:35" s="135" customFormat="1" ht="21.75" customHeight="1" x14ac:dyDescent="0.2">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x14ac:dyDescent="0.2">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x14ac:dyDescent="0.2">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x14ac:dyDescent="0.2"/>
    <row r="147" spans="1:35" s="734" customFormat="1" ht="21.75" customHeight="1" x14ac:dyDescent="0.2"/>
    <row r="148" spans="1:35" s="734" customFormat="1" ht="21.75" customHeight="1" x14ac:dyDescent="0.2"/>
    <row r="149" spans="1:35" s="734" customFormat="1" ht="21.75" customHeight="1" x14ac:dyDescent="0.2"/>
    <row r="150" spans="1:35" s="734" customFormat="1" ht="21.75" customHeight="1" x14ac:dyDescent="0.2"/>
    <row r="151" spans="1:35" s="734" customFormat="1" ht="21.75" customHeight="1" x14ac:dyDescent="0.2"/>
    <row r="152" spans="1:35" s="734" customFormat="1" ht="21.75" customHeight="1" x14ac:dyDescent="0.2"/>
    <row r="153" spans="1:35" s="734" customFormat="1" ht="21.75" customHeight="1" x14ac:dyDescent="0.2"/>
    <row r="154" spans="1:35" s="734" customFormat="1" ht="21.75" customHeight="1" x14ac:dyDescent="0.2"/>
    <row r="155" spans="1:35" s="734" customFormat="1" ht="21.75" customHeight="1" x14ac:dyDescent="0.2"/>
    <row r="156" spans="1:35" s="734" customFormat="1" ht="21.75" customHeight="1" x14ac:dyDescent="0.2"/>
    <row r="157" spans="1:35" s="734" customFormat="1" ht="21.75" customHeight="1" x14ac:dyDescent="0.2"/>
    <row r="158" spans="1:35" s="734" customFormat="1" ht="21.75" customHeight="1" x14ac:dyDescent="0.2"/>
    <row r="159" spans="1:35" s="734" customFormat="1" ht="21.75" customHeight="1" x14ac:dyDescent="0.2"/>
    <row r="160" spans="1:35" s="734" customFormat="1" ht="21.75" customHeight="1" x14ac:dyDescent="0.2"/>
    <row r="161" s="734" customFormat="1" ht="21.75" customHeight="1" x14ac:dyDescent="0.2"/>
    <row r="162" s="734" customFormat="1" ht="21.75" customHeight="1" x14ac:dyDescent="0.2"/>
    <row r="163" s="734" customFormat="1" ht="21.75" customHeight="1" x14ac:dyDescent="0.2"/>
    <row r="164" s="734" customFormat="1" ht="21.75" customHeight="1" x14ac:dyDescent="0.2"/>
    <row r="165" s="734" customFormat="1" ht="21.75" customHeight="1" x14ac:dyDescent="0.2"/>
    <row r="166" s="734" customFormat="1" ht="21.75" customHeight="1" x14ac:dyDescent="0.2"/>
    <row r="167" s="734" customFormat="1" ht="21.75" customHeight="1" x14ac:dyDescent="0.2"/>
    <row r="168" s="734" customFormat="1" ht="21.75" customHeight="1" x14ac:dyDescent="0.2"/>
    <row r="169" s="734" customFormat="1" ht="21.75" customHeight="1" x14ac:dyDescent="0.2"/>
    <row r="170" s="734" customFormat="1" ht="21.75" customHeight="1" x14ac:dyDescent="0.2"/>
    <row r="171" s="734" customFormat="1" ht="21.75" customHeight="1" x14ac:dyDescent="0.2"/>
    <row r="172" s="734" customFormat="1" ht="21.75" customHeight="1" x14ac:dyDescent="0.2"/>
    <row r="173" s="734" customFormat="1" ht="21.75" customHeight="1" x14ac:dyDescent="0.2"/>
    <row r="174" s="734" customFormat="1" ht="21.75" customHeight="1" x14ac:dyDescent="0.2"/>
    <row r="175" s="734" customFormat="1" ht="21.75" customHeight="1" x14ac:dyDescent="0.2"/>
    <row r="176" s="734" customFormat="1" ht="21.75" customHeight="1" x14ac:dyDescent="0.2"/>
    <row r="177" s="734" customFormat="1" ht="21.75" customHeight="1" x14ac:dyDescent="0.2"/>
    <row r="178" s="734" customFormat="1" ht="21.75" customHeight="1" x14ac:dyDescent="0.2"/>
    <row r="179" s="734" customFormat="1" ht="21.75" customHeight="1" x14ac:dyDescent="0.2"/>
    <row r="180" s="734" customFormat="1" ht="21.75" customHeight="1" x14ac:dyDescent="0.2"/>
    <row r="181" s="734" customFormat="1" ht="21.75" customHeight="1" x14ac:dyDescent="0.2"/>
    <row r="182" s="734" customFormat="1" ht="21.75" customHeight="1" x14ac:dyDescent="0.2"/>
    <row r="183" s="734" customFormat="1" ht="21.75" customHeight="1" x14ac:dyDescent="0.2"/>
    <row r="184" s="734" customFormat="1" ht="21.75" customHeight="1" x14ac:dyDescent="0.2"/>
    <row r="185" s="734" customFormat="1" ht="21.75" customHeight="1" x14ac:dyDescent="0.2"/>
    <row r="186" s="734" customFormat="1" ht="21.75" customHeight="1" x14ac:dyDescent="0.2"/>
    <row r="187" s="734" customFormat="1" ht="21.75" customHeight="1" x14ac:dyDescent="0.2"/>
    <row r="188" s="734" customFormat="1" ht="21.75" customHeight="1" x14ac:dyDescent="0.2"/>
    <row r="189" s="734" customFormat="1" ht="21.75" customHeight="1" x14ac:dyDescent="0.2"/>
    <row r="190" s="734" customFormat="1" ht="21.75" customHeight="1" x14ac:dyDescent="0.2"/>
    <row r="191" s="734" customFormat="1" ht="21.75" customHeight="1" x14ac:dyDescent="0.2"/>
    <row r="192" s="734" customFormat="1" ht="21.75" customHeight="1" x14ac:dyDescent="0.2"/>
    <row r="193" s="734" customFormat="1" ht="21.75" customHeight="1" x14ac:dyDescent="0.2"/>
    <row r="194" s="734" customFormat="1" ht="21.75" customHeight="1" x14ac:dyDescent="0.2"/>
    <row r="195" s="734" customFormat="1" ht="21.75" customHeight="1" x14ac:dyDescent="0.2"/>
    <row r="196" s="734" customFormat="1" ht="21.75" customHeight="1" x14ac:dyDescent="0.2"/>
    <row r="197" s="734" customFormat="1" ht="21.75" customHeight="1" x14ac:dyDescent="0.2"/>
    <row r="198" s="734" customFormat="1" ht="21.75" customHeight="1" x14ac:dyDescent="0.2"/>
    <row r="199" s="734" customFormat="1" ht="21.75" customHeight="1" x14ac:dyDescent="0.2"/>
    <row r="200" s="734" customFormat="1" ht="21.75" customHeight="1" x14ac:dyDescent="0.2"/>
    <row r="201" s="734" customFormat="1" ht="21.75" customHeight="1" x14ac:dyDescent="0.2"/>
    <row r="202" s="734" customFormat="1" ht="21.75" customHeight="1" x14ac:dyDescent="0.2"/>
    <row r="203" s="734" customFormat="1" ht="21.75" customHeight="1" x14ac:dyDescent="0.2"/>
    <row r="204" s="734" customFormat="1" ht="21.75" customHeight="1" x14ac:dyDescent="0.2"/>
    <row r="205" s="734" customFormat="1" ht="21.75" customHeight="1" x14ac:dyDescent="0.2"/>
    <row r="206" s="734" customFormat="1" ht="21.75" customHeight="1" x14ac:dyDescent="0.2"/>
    <row r="207" s="734" customFormat="1" ht="21.75" customHeight="1" x14ac:dyDescent="0.2"/>
    <row r="208" s="734" customFormat="1" ht="21.75" customHeight="1" x14ac:dyDescent="0.2"/>
    <row r="209" s="734" customFormat="1" ht="21.75" customHeight="1" x14ac:dyDescent="0.2"/>
    <row r="210" s="734" customFormat="1" ht="21.75" customHeight="1" x14ac:dyDescent="0.2"/>
    <row r="211" s="734" customFormat="1" ht="21.75" customHeight="1" x14ac:dyDescent="0.2"/>
    <row r="212" s="734" customFormat="1" ht="21.75" customHeight="1" x14ac:dyDescent="0.2"/>
    <row r="213" s="734" customFormat="1" ht="21.75" customHeight="1" x14ac:dyDescent="0.2"/>
    <row r="214" s="734" customFormat="1" ht="21.75" customHeight="1" x14ac:dyDescent="0.2"/>
    <row r="215" s="734" customFormat="1" ht="21.75" customHeight="1" x14ac:dyDescent="0.2"/>
    <row r="216" s="734" customFormat="1" ht="21.75" customHeight="1" x14ac:dyDescent="0.2"/>
    <row r="217" s="734" customFormat="1" ht="21.75" customHeight="1" x14ac:dyDescent="0.2"/>
    <row r="218" s="734" customFormat="1" ht="21.75" customHeight="1" x14ac:dyDescent="0.2"/>
    <row r="219" s="734" customFormat="1" ht="21.75" customHeight="1" x14ac:dyDescent="0.2"/>
    <row r="220" s="734" customFormat="1" ht="21.75" customHeight="1" x14ac:dyDescent="0.2"/>
    <row r="221" s="734" customFormat="1" ht="21.75" customHeight="1" x14ac:dyDescent="0.2"/>
    <row r="222" s="734" customFormat="1" ht="21.75" customHeight="1" x14ac:dyDescent="0.2"/>
    <row r="223" s="734" customFormat="1" ht="21.75" customHeight="1" x14ac:dyDescent="0.2"/>
    <row r="224" s="734" customFormat="1" ht="21.75" customHeight="1" x14ac:dyDescent="0.2"/>
    <row r="225" s="734" customFormat="1" ht="21.75" customHeight="1" x14ac:dyDescent="0.2"/>
    <row r="226" s="734" customFormat="1" ht="21.75" customHeight="1" x14ac:dyDescent="0.2"/>
    <row r="227" s="734" customFormat="1" ht="21.75" customHeight="1" x14ac:dyDescent="0.2"/>
    <row r="228" s="734" customFormat="1" ht="21.75" customHeight="1" x14ac:dyDescent="0.2"/>
    <row r="229" s="734" customFormat="1" ht="21.75" customHeight="1" x14ac:dyDescent="0.2"/>
    <row r="230" s="734" customFormat="1" ht="21.75" customHeight="1" x14ac:dyDescent="0.2"/>
    <row r="231" s="734" customFormat="1" ht="21.75" customHeight="1" x14ac:dyDescent="0.2"/>
    <row r="232" s="734" customFormat="1" ht="21.75" customHeight="1" x14ac:dyDescent="0.2"/>
    <row r="233" s="734" customFormat="1" ht="21.75" customHeight="1" x14ac:dyDescent="0.2"/>
    <row r="234" s="734" customFormat="1" ht="21.75" customHeight="1" x14ac:dyDescent="0.2"/>
    <row r="235" s="734" customFormat="1" ht="21.75" customHeight="1" x14ac:dyDescent="0.2"/>
    <row r="236" s="734" customFormat="1" ht="21.75" customHeight="1" x14ac:dyDescent="0.2"/>
    <row r="237" s="734" customFormat="1" ht="21.75" customHeight="1" x14ac:dyDescent="0.2"/>
    <row r="238" s="734" customFormat="1" ht="21.75" customHeight="1" x14ac:dyDescent="0.2"/>
    <row r="239" s="734" customFormat="1" ht="21.75" customHeight="1" x14ac:dyDescent="0.2"/>
    <row r="240" s="734" customFormat="1" ht="21.75" customHeight="1" x14ac:dyDescent="0.2"/>
    <row r="241" s="734" customFormat="1" ht="21.75" customHeight="1" x14ac:dyDescent="0.2"/>
    <row r="242" s="734" customFormat="1" ht="21.75" customHeight="1" x14ac:dyDescent="0.2"/>
    <row r="243" s="734" customFormat="1" ht="21.75" customHeight="1" x14ac:dyDescent="0.2"/>
    <row r="244" s="734" customFormat="1" ht="21.75" customHeight="1" x14ac:dyDescent="0.2"/>
    <row r="245" s="734" customFormat="1" ht="21.75" customHeight="1" x14ac:dyDescent="0.2"/>
    <row r="246" s="734" customFormat="1" ht="21.75" customHeight="1" x14ac:dyDescent="0.2"/>
    <row r="247" s="734" customFormat="1" ht="21.75" customHeight="1" x14ac:dyDescent="0.2"/>
    <row r="248" s="734" customFormat="1" ht="21.75" customHeight="1" x14ac:dyDescent="0.2"/>
    <row r="249" s="734" customFormat="1" ht="21.75" customHeight="1" x14ac:dyDescent="0.2"/>
    <row r="250" s="734" customFormat="1" ht="21.75" customHeight="1" x14ac:dyDescent="0.2"/>
    <row r="251" s="734" customFormat="1" ht="21.75" customHeight="1" x14ac:dyDescent="0.2"/>
    <row r="252" s="734" customFormat="1" ht="21.75" customHeight="1" x14ac:dyDescent="0.2"/>
    <row r="253" s="734" customFormat="1" ht="21.75" customHeight="1" x14ac:dyDescent="0.2"/>
    <row r="254" s="734" customFormat="1" ht="21.75" customHeight="1" x14ac:dyDescent="0.2"/>
    <row r="255" s="734" customFormat="1" ht="21.75" customHeight="1" x14ac:dyDescent="0.2"/>
    <row r="256" s="734" customFormat="1" ht="21.75" customHeight="1" x14ac:dyDescent="0.2"/>
    <row r="257" s="734" customFormat="1" ht="21.75" customHeight="1" x14ac:dyDescent="0.2"/>
    <row r="258" s="734" customFormat="1" ht="21.75" customHeight="1" x14ac:dyDescent="0.2"/>
    <row r="259" s="734" customFormat="1" ht="21.75" customHeight="1" x14ac:dyDescent="0.2"/>
    <row r="260" s="734" customFormat="1" ht="21.75" customHeight="1" x14ac:dyDescent="0.2"/>
    <row r="261" s="734" customFormat="1" ht="21.75" customHeight="1" x14ac:dyDescent="0.2"/>
    <row r="262" s="734" customFormat="1" ht="21.75" customHeight="1" x14ac:dyDescent="0.2"/>
    <row r="263" s="734" customFormat="1" ht="21.75" customHeight="1" x14ac:dyDescent="0.2"/>
    <row r="264" s="734" customFormat="1" ht="21.75" customHeight="1" x14ac:dyDescent="0.2"/>
    <row r="265" s="734" customFormat="1" ht="21.75" customHeight="1" x14ac:dyDescent="0.2"/>
    <row r="266" s="734" customFormat="1" ht="21.75" customHeight="1" x14ac:dyDescent="0.2"/>
    <row r="267" s="734" customFormat="1" ht="21.75" customHeight="1" x14ac:dyDescent="0.2"/>
    <row r="268" s="734" customFormat="1" ht="21.75" customHeight="1" x14ac:dyDescent="0.2"/>
    <row r="269" s="734" customFormat="1" ht="21.75" customHeight="1" x14ac:dyDescent="0.2"/>
    <row r="270" s="734" customFormat="1" ht="21.75" customHeight="1" x14ac:dyDescent="0.2"/>
    <row r="271" s="734" customFormat="1" ht="21.75" customHeight="1" x14ac:dyDescent="0.2"/>
    <row r="272" s="734" customFormat="1" ht="21.75" customHeight="1" x14ac:dyDescent="0.2"/>
    <row r="273" s="734" customFormat="1" ht="21.75" customHeight="1" x14ac:dyDescent="0.2"/>
    <row r="274" s="734" customFormat="1" ht="21.75" customHeight="1" x14ac:dyDescent="0.2"/>
    <row r="275" s="734" customFormat="1" ht="21.75" customHeight="1" x14ac:dyDescent="0.2"/>
    <row r="276" s="734" customFormat="1" ht="21.75" customHeight="1" x14ac:dyDescent="0.2"/>
    <row r="277" s="734" customFormat="1" ht="21.75" customHeight="1" x14ac:dyDescent="0.2"/>
    <row r="278" s="734" customFormat="1" ht="21.75" customHeight="1" x14ac:dyDescent="0.2"/>
    <row r="279" s="734" customFormat="1" ht="21.75" customHeight="1" x14ac:dyDescent="0.2"/>
    <row r="280" s="734" customFormat="1" ht="21.75" customHeight="1" x14ac:dyDescent="0.2"/>
    <row r="281" s="734" customFormat="1" ht="21.75" customHeight="1" x14ac:dyDescent="0.2"/>
    <row r="282" s="734" customFormat="1" ht="21.75" customHeight="1" x14ac:dyDescent="0.2"/>
    <row r="283" s="734" customFormat="1" ht="21.75" customHeight="1" x14ac:dyDescent="0.2"/>
    <row r="284" s="734" customFormat="1" ht="21.75" customHeight="1" x14ac:dyDescent="0.2"/>
    <row r="285" s="734" customFormat="1" ht="21.75" customHeight="1" x14ac:dyDescent="0.2"/>
    <row r="286" s="734" customFormat="1" ht="21.75" customHeight="1" x14ac:dyDescent="0.2"/>
    <row r="287" s="734" customFormat="1" ht="21.75" customHeight="1" x14ac:dyDescent="0.2"/>
    <row r="288" s="734" customFormat="1" ht="21.75" customHeight="1" x14ac:dyDescent="0.2"/>
    <row r="289" s="734" customFormat="1" ht="21.75" customHeight="1" x14ac:dyDescent="0.2"/>
    <row r="290" s="734" customFormat="1" ht="21.75" customHeight="1" x14ac:dyDescent="0.2"/>
    <row r="291" s="734" customFormat="1" ht="21.75" customHeight="1" x14ac:dyDescent="0.2"/>
    <row r="292" s="734" customFormat="1" ht="21.75" customHeight="1" x14ac:dyDescent="0.2"/>
    <row r="293" s="734" customFormat="1" ht="21.75" customHeight="1" x14ac:dyDescent="0.2"/>
    <row r="294" s="734" customFormat="1" ht="21.75" customHeight="1" x14ac:dyDescent="0.2"/>
    <row r="295" s="734" customFormat="1" ht="21.75" customHeight="1" x14ac:dyDescent="0.2"/>
    <row r="296" s="734" customFormat="1" ht="21.75" customHeight="1" x14ac:dyDescent="0.2"/>
    <row r="297" s="734" customFormat="1" ht="21.75" customHeight="1" x14ac:dyDescent="0.2"/>
    <row r="298" s="734" customFormat="1" ht="21.75" customHeight="1" x14ac:dyDescent="0.2"/>
    <row r="299" s="734" customFormat="1" ht="21.75" customHeight="1" x14ac:dyDescent="0.2"/>
    <row r="300" s="734" customFormat="1" ht="21.75" customHeight="1" x14ac:dyDescent="0.2"/>
    <row r="301" s="734" customFormat="1" ht="21.75" customHeight="1" x14ac:dyDescent="0.2"/>
    <row r="302" s="734" customFormat="1" ht="21.75" customHeight="1" x14ac:dyDescent="0.2"/>
    <row r="303" s="734" customFormat="1" ht="21.75" customHeight="1" x14ac:dyDescent="0.2"/>
    <row r="304" s="734" customFormat="1" ht="21.75" customHeight="1" x14ac:dyDescent="0.2"/>
    <row r="305" s="734" customFormat="1" ht="21.75" customHeight="1" x14ac:dyDescent="0.2"/>
    <row r="306" s="734" customFormat="1" ht="21.75" customHeight="1" x14ac:dyDescent="0.2"/>
    <row r="307" s="734" customFormat="1" ht="21.75" customHeight="1" x14ac:dyDescent="0.2"/>
    <row r="308" s="734" customFormat="1" ht="21.75" customHeight="1" x14ac:dyDescent="0.2"/>
    <row r="309" s="734" customFormat="1" ht="21.75" customHeight="1" x14ac:dyDescent="0.2"/>
    <row r="310" s="734" customFormat="1" ht="21.75" customHeight="1" x14ac:dyDescent="0.2"/>
    <row r="311" s="734" customFormat="1" ht="21.75" customHeight="1" x14ac:dyDescent="0.2"/>
    <row r="312" s="734" customFormat="1" ht="21.75" customHeight="1" x14ac:dyDescent="0.2"/>
    <row r="313" s="734" customFormat="1" ht="21.75" customHeight="1" x14ac:dyDescent="0.2"/>
    <row r="314" s="734" customFormat="1" ht="21.75" customHeight="1" x14ac:dyDescent="0.2"/>
    <row r="315" s="734" customFormat="1" ht="21.75" customHeight="1" x14ac:dyDescent="0.2"/>
    <row r="316" s="734" customFormat="1" ht="21.75" customHeight="1" x14ac:dyDescent="0.2"/>
    <row r="317" s="734" customFormat="1" ht="21.75" customHeight="1" x14ac:dyDescent="0.2"/>
    <row r="318" s="734" customFormat="1" ht="21.75" customHeight="1" x14ac:dyDescent="0.2"/>
    <row r="319" s="734" customFormat="1" ht="21.75" customHeight="1" x14ac:dyDescent="0.2"/>
    <row r="320" s="734" customFormat="1" ht="21.75" customHeight="1" x14ac:dyDescent="0.2"/>
    <row r="321" s="734" customFormat="1" ht="21.75" customHeight="1" x14ac:dyDescent="0.2"/>
    <row r="322" s="734" customFormat="1" ht="21.75" customHeight="1" x14ac:dyDescent="0.2"/>
    <row r="323" s="734" customFormat="1" ht="21.75" customHeight="1" x14ac:dyDescent="0.2"/>
    <row r="324" s="734" customFormat="1" ht="21.75" customHeight="1" x14ac:dyDescent="0.2"/>
    <row r="325" s="734" customFormat="1" ht="21.75" customHeight="1" x14ac:dyDescent="0.2"/>
    <row r="326" s="734" customFormat="1" ht="21.75" customHeight="1" x14ac:dyDescent="0.2"/>
    <row r="327" s="734" customFormat="1" ht="21.75" customHeight="1" x14ac:dyDescent="0.2"/>
    <row r="328" s="734" customFormat="1" ht="21.75" customHeight="1" x14ac:dyDescent="0.2"/>
    <row r="329" s="734" customFormat="1" ht="21.75" customHeight="1" x14ac:dyDescent="0.2"/>
    <row r="330" s="734" customFormat="1" ht="21.75" customHeight="1" x14ac:dyDescent="0.2"/>
    <row r="331" s="734" customFormat="1" ht="21.75" customHeight="1" x14ac:dyDescent="0.2"/>
    <row r="332" s="734" customFormat="1" ht="21.75" customHeight="1" x14ac:dyDescent="0.2"/>
    <row r="333" s="734" customFormat="1" ht="21.75" customHeight="1" x14ac:dyDescent="0.2"/>
    <row r="334" s="734" customFormat="1" ht="21.75" customHeight="1" x14ac:dyDescent="0.2"/>
    <row r="335" s="734" customFormat="1" ht="21.75" customHeight="1" x14ac:dyDescent="0.2"/>
    <row r="336" s="734" customFormat="1" ht="21.75" customHeight="1" x14ac:dyDescent="0.2"/>
    <row r="337" s="734" customFormat="1" ht="21.75" customHeight="1" x14ac:dyDescent="0.2"/>
    <row r="338" s="734" customFormat="1" ht="21.75" customHeight="1" x14ac:dyDescent="0.2"/>
    <row r="339" s="734" customFormat="1" ht="21.75" customHeight="1" x14ac:dyDescent="0.2"/>
    <row r="340" s="734" customFormat="1" ht="21.75" customHeight="1" x14ac:dyDescent="0.2"/>
    <row r="341" s="734" customFormat="1" ht="21.75" customHeight="1" x14ac:dyDescent="0.2"/>
    <row r="342" s="734" customFormat="1" ht="21.75" customHeight="1" x14ac:dyDescent="0.2"/>
    <row r="343" s="734" customFormat="1" ht="21.75" customHeight="1" x14ac:dyDescent="0.2"/>
    <row r="344" s="734" customFormat="1" ht="21.75" customHeight="1" x14ac:dyDescent="0.2"/>
    <row r="345" s="734" customFormat="1" ht="21.75" customHeight="1" x14ac:dyDescent="0.2"/>
    <row r="346" s="734" customFormat="1" ht="21.75" customHeight="1" x14ac:dyDescent="0.2"/>
    <row r="347" s="734" customFormat="1" ht="21.75" customHeight="1" x14ac:dyDescent="0.2"/>
    <row r="348" s="734" customFormat="1" ht="21.75" customHeight="1" x14ac:dyDescent="0.2"/>
    <row r="349" s="734" customFormat="1" ht="21.75" customHeight="1" x14ac:dyDescent="0.2"/>
    <row r="350" s="734" customFormat="1" ht="21.75" customHeight="1" x14ac:dyDescent="0.2"/>
    <row r="351" s="734" customFormat="1" ht="21.75" customHeight="1" x14ac:dyDescent="0.2"/>
    <row r="352" s="734" customFormat="1" ht="21.75" customHeight="1" x14ac:dyDescent="0.2"/>
    <row r="353" s="734" customFormat="1" ht="21.75" customHeight="1" x14ac:dyDescent="0.2"/>
    <row r="354" s="734" customFormat="1" ht="21.75" customHeight="1" x14ac:dyDescent="0.2"/>
    <row r="355" s="734" customFormat="1" ht="21.75" customHeight="1" x14ac:dyDescent="0.2"/>
    <row r="356" s="734" customFormat="1" ht="21.75" customHeight="1" x14ac:dyDescent="0.2"/>
    <row r="357" s="734" customFormat="1" ht="21.75" customHeight="1" x14ac:dyDescent="0.2"/>
    <row r="358" s="734" customFormat="1" ht="21.75" customHeight="1" x14ac:dyDescent="0.2"/>
    <row r="359" s="734" customFormat="1" ht="21.75" customHeight="1" x14ac:dyDescent="0.2"/>
    <row r="360" s="734" customFormat="1" ht="21.75" customHeight="1" x14ac:dyDescent="0.2"/>
    <row r="361" s="734" customFormat="1" ht="21.75" customHeight="1" x14ac:dyDescent="0.2"/>
    <row r="362" s="734" customFormat="1" ht="21.75" customHeight="1" x14ac:dyDescent="0.2"/>
    <row r="363" s="734" customFormat="1" ht="21.75" customHeight="1" x14ac:dyDescent="0.2"/>
    <row r="364" s="734" customFormat="1" ht="21.75" customHeight="1" x14ac:dyDescent="0.2"/>
    <row r="365" s="734" customFormat="1" ht="21.75" customHeight="1" x14ac:dyDescent="0.2"/>
    <row r="366" s="734" customFormat="1" ht="21.75" customHeight="1" x14ac:dyDescent="0.2"/>
    <row r="367" s="734" customFormat="1" ht="21.75" customHeight="1" x14ac:dyDescent="0.2"/>
    <row r="368" s="734" customFormat="1" ht="21.75" customHeight="1" x14ac:dyDescent="0.2"/>
    <row r="369" s="734" customFormat="1" ht="21.75" customHeight="1" x14ac:dyDescent="0.2"/>
    <row r="370" s="734" customFormat="1" ht="21.75" customHeight="1" x14ac:dyDescent="0.2"/>
    <row r="371" s="734" customFormat="1" ht="21.75" customHeight="1" x14ac:dyDescent="0.2"/>
    <row r="372" s="734" customFormat="1" ht="21.75" customHeight="1" x14ac:dyDescent="0.2"/>
    <row r="373" s="734" customFormat="1" ht="21.75" customHeight="1" x14ac:dyDescent="0.2"/>
    <row r="374" s="734" customFormat="1" ht="21.75" customHeight="1" x14ac:dyDescent="0.2"/>
    <row r="375" s="734" customFormat="1" ht="21.75" customHeight="1" x14ac:dyDescent="0.2"/>
    <row r="376" s="734" customFormat="1" ht="21.75" customHeight="1" x14ac:dyDescent="0.2"/>
    <row r="377" s="734" customFormat="1" ht="21.75" customHeight="1" x14ac:dyDescent="0.2"/>
    <row r="378" s="734" customFormat="1" ht="21.75" customHeight="1" x14ac:dyDescent="0.2"/>
    <row r="379" s="734" customFormat="1" ht="21.75" customHeight="1" x14ac:dyDescent="0.2"/>
    <row r="380" s="734" customFormat="1" ht="21.75" customHeight="1" x14ac:dyDescent="0.2"/>
    <row r="381" s="734" customFormat="1" ht="21.75" customHeight="1" x14ac:dyDescent="0.2"/>
    <row r="382" s="734" customFormat="1" ht="21.75" customHeight="1" x14ac:dyDescent="0.2"/>
    <row r="383" s="734" customFormat="1" ht="21.75" customHeight="1" x14ac:dyDescent="0.2"/>
    <row r="384" s="734" customFormat="1" ht="21.75" customHeight="1" x14ac:dyDescent="0.2"/>
    <row r="385" s="734" customFormat="1" ht="21.75" customHeight="1" x14ac:dyDescent="0.2"/>
    <row r="386" s="734" customFormat="1" ht="21.75" customHeight="1" x14ac:dyDescent="0.2"/>
    <row r="387" s="734" customFormat="1" ht="21.75" customHeight="1" x14ac:dyDescent="0.2"/>
    <row r="388" s="734" customFormat="1" ht="21.75" customHeight="1" x14ac:dyDescent="0.2"/>
    <row r="389" s="734" customFormat="1" ht="21.75" customHeight="1" x14ac:dyDescent="0.2"/>
    <row r="390" s="734" customFormat="1" ht="21.75" customHeight="1" x14ac:dyDescent="0.2"/>
    <row r="391" s="734" customFormat="1" ht="21.75" customHeight="1" x14ac:dyDescent="0.2"/>
    <row r="392" s="734" customFormat="1" ht="21.75" customHeight="1" x14ac:dyDescent="0.2"/>
    <row r="393" s="734" customFormat="1" ht="21.75" customHeight="1" x14ac:dyDescent="0.2"/>
    <row r="394" s="734" customFormat="1" ht="21.75" customHeight="1" x14ac:dyDescent="0.2"/>
    <row r="395" s="734" customFormat="1" ht="21.75" customHeight="1" x14ac:dyDescent="0.2"/>
    <row r="396" s="734" customFormat="1" ht="21.75" customHeight="1" x14ac:dyDescent="0.2"/>
    <row r="397" s="734" customFormat="1" ht="21.75" customHeight="1" x14ac:dyDescent="0.2"/>
    <row r="398" s="734" customFormat="1" ht="21.75" customHeight="1" x14ac:dyDescent="0.2"/>
    <row r="399" s="734" customFormat="1" ht="21.75" customHeight="1" x14ac:dyDescent="0.2"/>
    <row r="400" s="734" customFormat="1" ht="21.75" customHeight="1" x14ac:dyDescent="0.2"/>
    <row r="401" spans="10:26" s="734" customFormat="1" ht="21.75" customHeight="1" x14ac:dyDescent="0.2"/>
    <row r="402" spans="10:26" s="734" customFormat="1" ht="21.75" customHeight="1" x14ac:dyDescent="0.2"/>
    <row r="403" spans="10:26" s="734" customFormat="1" ht="21.75" customHeight="1" x14ac:dyDescent="0.2"/>
    <row r="404" spans="10:26" s="734" customFormat="1" ht="21.75" customHeight="1" x14ac:dyDescent="0.2"/>
    <row r="405" spans="10:26" s="734" customFormat="1" ht="21.75" customHeight="1" x14ac:dyDescent="0.2"/>
    <row r="406" spans="10:26" s="734" customFormat="1" ht="21.75" customHeight="1" x14ac:dyDescent="0.2"/>
    <row r="407" spans="10:26" s="734" customFormat="1" ht="21.75" customHeight="1" x14ac:dyDescent="0.2"/>
    <row r="408" spans="10:26" s="734" customFormat="1" ht="21.75" customHeight="1" x14ac:dyDescent="0.2"/>
    <row r="409" spans="10:26" s="1940" customFormat="1" ht="21.75" customHeight="1" x14ac:dyDescent="0.2">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x14ac:dyDescent="0.2">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x14ac:dyDescent="0.2">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x14ac:dyDescent="0.2">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x14ac:dyDescent="0.2">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x14ac:dyDescent="0.2">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x14ac:dyDescent="0.2">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x14ac:dyDescent="0.2">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x14ac:dyDescent="0.2">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x14ac:dyDescent="0.2">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x14ac:dyDescent="0.2">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x14ac:dyDescent="0.2">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x14ac:dyDescent="0.2">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x14ac:dyDescent="0.2">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x14ac:dyDescent="0.2">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x14ac:dyDescent="0.2">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x14ac:dyDescent="0.2">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x14ac:dyDescent="0.2">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x14ac:dyDescent="0.2">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x14ac:dyDescent="0.2">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x14ac:dyDescent="0.2">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x14ac:dyDescent="0.2">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x14ac:dyDescent="0.2">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x14ac:dyDescent="0.2">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x14ac:dyDescent="0.2">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x14ac:dyDescent="0.2">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x14ac:dyDescent="0.2">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x14ac:dyDescent="0.2">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x14ac:dyDescent="0.2">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x14ac:dyDescent="0.2">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x14ac:dyDescent="0.2">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x14ac:dyDescent="0.2">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x14ac:dyDescent="0.2">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x14ac:dyDescent="0.2">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x14ac:dyDescent="0.2">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x14ac:dyDescent="0.2">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x14ac:dyDescent="0.2">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x14ac:dyDescent="0.2">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x14ac:dyDescent="0.2">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x14ac:dyDescent="0.2">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x14ac:dyDescent="0.2">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x14ac:dyDescent="0.2">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x14ac:dyDescent="0.2">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x14ac:dyDescent="0.2">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x14ac:dyDescent="0.2">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x14ac:dyDescent="0.2">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x14ac:dyDescent="0.2">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x14ac:dyDescent="0.2">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x14ac:dyDescent="0.2">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x14ac:dyDescent="0.2">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x14ac:dyDescent="0.2">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x14ac:dyDescent="0.2">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x14ac:dyDescent="0.2">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x14ac:dyDescent="0.2">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x14ac:dyDescent="0.2">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x14ac:dyDescent="0.2">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x14ac:dyDescent="0.2">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x14ac:dyDescent="0.2">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x14ac:dyDescent="0.2">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x14ac:dyDescent="0.2">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x14ac:dyDescent="0.2">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x14ac:dyDescent="0.2">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x14ac:dyDescent="0.2">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x14ac:dyDescent="0.2">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x14ac:dyDescent="0.2">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x14ac:dyDescent="0.2">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x14ac:dyDescent="0.2">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x14ac:dyDescent="0.2">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x14ac:dyDescent="0.2">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x14ac:dyDescent="0.2">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x14ac:dyDescent="0.2">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x14ac:dyDescent="0.2">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x14ac:dyDescent="0.2">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x14ac:dyDescent="0.2">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x14ac:dyDescent="0.2">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x14ac:dyDescent="0.2">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x14ac:dyDescent="0.2">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x14ac:dyDescent="0.2">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x14ac:dyDescent="0.2">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x14ac:dyDescent="0.2">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x14ac:dyDescent="0.2">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x14ac:dyDescent="0.2">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x14ac:dyDescent="0.2">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x14ac:dyDescent="0.2">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x14ac:dyDescent="0.2">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x14ac:dyDescent="0.2">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x14ac:dyDescent="0.2">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x14ac:dyDescent="0.2">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x14ac:dyDescent="0.2">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x14ac:dyDescent="0.2">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x14ac:dyDescent="0.2">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x14ac:dyDescent="0.2">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x14ac:dyDescent="0.2">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x14ac:dyDescent="0.2">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x14ac:dyDescent="0.2">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x14ac:dyDescent="0.2">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x14ac:dyDescent="0.2">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x14ac:dyDescent="0.2">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x14ac:dyDescent="0.2">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x14ac:dyDescent="0.2">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x14ac:dyDescent="0.2">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x14ac:dyDescent="0.2">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x14ac:dyDescent="0.2">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x14ac:dyDescent="0.2">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x14ac:dyDescent="0.2"/>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8" width="10.6640625" style="257" customWidth="1"/>
    <col min="9" max="254" width="9" style="257" customWidth="1"/>
    <col min="255" max="16384" width="8.33203125" style="257"/>
  </cols>
  <sheetData>
    <row r="1" spans="1:8" s="206" customFormat="1" ht="20" x14ac:dyDescent="0.2">
      <c r="A1" s="202" t="s">
        <v>2147</v>
      </c>
      <c r="B1" s="1656"/>
      <c r="C1" s="2047" t="s">
        <v>2249</v>
      </c>
      <c r="D1" s="204"/>
      <c r="E1" s="204"/>
      <c r="F1" s="204"/>
      <c r="G1" s="1288">
        <f>MATCH(B1,'数据-取费表'!A6:A16,0)+5</f>
        <v>7</v>
      </c>
      <c r="H1" s="1192" t="str">
        <f>IF(ISERROR(FIND("住宅",B1)),"非住宅","住宅")</f>
        <v>非住宅</v>
      </c>
    </row>
    <row r="2" spans="1:8" s="206" customFormat="1" ht="18" customHeight="1" x14ac:dyDescent="0.2">
      <c r="A2" s="207" t="s">
        <v>2148</v>
      </c>
      <c r="B2" s="208">
        <f ca="1">ROUND(IF(D2="——",C52/10000,C52/10000-E2),0)</f>
        <v>374</v>
      </c>
      <c r="C2" s="205" t="s">
        <v>2149</v>
      </c>
      <c r="D2" s="2041" t="s">
        <v>70</v>
      </c>
      <c r="E2" s="1331" t="e">
        <f ca="1">SUMIF(INDIRECT("'"&amp;G2&amp;"'"&amp;"!A:A"),"承租人权益价值",INDIRECT("'"&amp;G2&amp;"'"&amp;"!c:c"))</f>
        <v>#REF!</v>
      </c>
      <c r="F2" s="2042" t="s">
        <v>2149</v>
      </c>
      <c r="G2" s="2043"/>
    </row>
    <row r="3" spans="1:8" s="206" customFormat="1" ht="18" customHeight="1" thickBot="1" x14ac:dyDescent="0.25">
      <c r="A3" s="209" t="s">
        <v>2150</v>
      </c>
      <c r="B3" s="210">
        <f ca="1">ROUND(B2*10000/(IF(B1="",'数据-汇总表'!E3,INDIRECT("'数据-取费表'!k"&amp;$G$1))),0)</f>
        <v>6834</v>
      </c>
      <c r="C3" s="205" t="s">
        <v>2151</v>
      </c>
      <c r="D3" s="205"/>
      <c r="E3" s="205"/>
      <c r="F3" s="205"/>
      <c r="G3" s="205"/>
    </row>
    <row r="4" spans="1:8" s="214" customFormat="1" ht="16" x14ac:dyDescent="0.2">
      <c r="A4" s="211" t="s">
        <v>2152</v>
      </c>
      <c r="B4" s="212"/>
      <c r="C4" s="212"/>
      <c r="D4" s="212"/>
      <c r="E4" s="212"/>
      <c r="F4" s="212"/>
      <c r="G4" s="213"/>
    </row>
    <row r="5" spans="1:8" s="220" customFormat="1" ht="13.5" customHeight="1" x14ac:dyDescent="0.15">
      <c r="A5" s="261" t="s">
        <v>2153</v>
      </c>
      <c r="B5" s="216" t="s">
        <v>2154</v>
      </c>
      <c r="C5" s="217">
        <f ca="1">C6+C7+C8</f>
        <v>109458</v>
      </c>
      <c r="D5" s="217" t="s">
        <v>2155</v>
      </c>
      <c r="E5" s="218" t="s">
        <v>2156</v>
      </c>
      <c r="F5" s="218" t="s">
        <v>2157</v>
      </c>
      <c r="G5" s="219"/>
    </row>
    <row r="6" spans="1:8" s="220" customFormat="1" ht="13.5" customHeight="1" x14ac:dyDescent="0.15">
      <c r="A6" s="886" t="s">
        <v>2158</v>
      </c>
      <c r="B6" s="221" t="s">
        <v>2159</v>
      </c>
      <c r="C6" s="222"/>
      <c r="D6" s="223"/>
      <c r="E6" s="224"/>
      <c r="F6" s="224"/>
      <c r="G6" s="225"/>
    </row>
    <row r="7" spans="1:8" s="220" customFormat="1" ht="13.5" customHeight="1" x14ac:dyDescent="0.15">
      <c r="A7" s="886" t="s">
        <v>2160</v>
      </c>
      <c r="B7" s="221" t="s">
        <v>2161</v>
      </c>
      <c r="C7" s="226">
        <f>ROUND(C6*F7,0)</f>
        <v>0</v>
      </c>
      <c r="D7" s="226"/>
      <c r="E7" s="224"/>
      <c r="F7" s="227">
        <f>IF(项目基本情况!B8="出让",0,'数据-取费表'!B48+'数据-取费表'!B49)</f>
        <v>3.0499999999999999E-2</v>
      </c>
      <c r="G7" s="225"/>
    </row>
    <row r="8" spans="1:8" s="229" customFormat="1" ht="14" x14ac:dyDescent="0.15">
      <c r="A8" s="886" t="s">
        <v>2162</v>
      </c>
      <c r="B8" s="221" t="s">
        <v>2163</v>
      </c>
      <c r="C8" s="226">
        <f ca="1">IF(G8="已包含在土地购买价格中",0,C9+C10)</f>
        <v>109458</v>
      </c>
      <c r="D8" s="228"/>
      <c r="E8" s="226"/>
      <c r="F8" s="227"/>
      <c r="G8" s="2044"/>
    </row>
    <row r="9" spans="1:8" s="220" customFormat="1" ht="13.5" customHeight="1" x14ac:dyDescent="0.15">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x14ac:dyDescent="0.15">
      <c r="A10" s="887" t="s">
        <v>801</v>
      </c>
      <c r="B10" s="230" t="s">
        <v>2166</v>
      </c>
      <c r="C10" s="231">
        <f ca="1">ROUND(D10*E10,0)</f>
        <v>109458</v>
      </c>
      <c r="D10" s="954">
        <f ca="1">IF(B1="",'数据-汇总表'!E6,IF(INDIRECT("'数据-取费表'!c"&amp;$G$1)="住宅",INDIRECT("'数据-取费表'!s"&amp;$G$1),INDIRECT("'数据-取费表'!k"&amp;$G$1)+INDIRECT("'数据-取费表'!s"&amp;$G$1)))</f>
        <v>547.29</v>
      </c>
      <c r="E10" s="231">
        <f>'数据-取费表'!B28</f>
        <v>200</v>
      </c>
      <c r="F10" s="227"/>
      <c r="G10" s="232"/>
    </row>
    <row r="11" spans="1:8" s="220" customFormat="1" ht="13.5" hidden="1" customHeight="1" x14ac:dyDescent="0.15">
      <c r="A11" s="233" t="s">
        <v>7</v>
      </c>
      <c r="B11" s="221" t="s">
        <v>2167</v>
      </c>
      <c r="C11" s="217"/>
      <c r="D11" s="956"/>
      <c r="E11" s="224"/>
      <c r="F11" s="224"/>
      <c r="G11" s="225"/>
    </row>
    <row r="12" spans="1:8" s="220" customFormat="1" ht="13.5" hidden="1" customHeight="1" x14ac:dyDescent="0.15">
      <c r="A12" s="233" t="s">
        <v>8</v>
      </c>
      <c r="B12" s="221" t="s">
        <v>2250</v>
      </c>
      <c r="C12" s="217">
        <v>0</v>
      </c>
      <c r="D12" s="956"/>
      <c r="E12" s="234"/>
      <c r="F12" s="227">
        <v>3.0499999999999999E-2</v>
      </c>
      <c r="G12" s="225"/>
    </row>
    <row r="13" spans="1:8" s="220" customFormat="1" ht="13.5" hidden="1" customHeight="1" x14ac:dyDescent="0.15">
      <c r="A13" s="233" t="s">
        <v>9</v>
      </c>
      <c r="B13" s="221" t="s">
        <v>2251</v>
      </c>
      <c r="C13" s="217"/>
      <c r="D13" s="956"/>
      <c r="E13" s="224"/>
      <c r="F13" s="224"/>
      <c r="G13" s="225"/>
    </row>
    <row r="14" spans="1:8" s="220" customFormat="1" ht="13.5" hidden="1" customHeight="1" x14ac:dyDescent="0.15">
      <c r="A14" s="233" t="s">
        <v>10</v>
      </c>
      <c r="B14" s="221" t="s">
        <v>2163</v>
      </c>
      <c r="C14" s="217"/>
      <c r="D14" s="956"/>
      <c r="E14" s="224"/>
      <c r="F14" s="224"/>
      <c r="G14" s="225" t="s">
        <v>2252</v>
      </c>
    </row>
    <row r="15" spans="1:8" s="220" customFormat="1" ht="13.5" hidden="1" customHeight="1" x14ac:dyDescent="0.15">
      <c r="A15" s="233" t="s">
        <v>11</v>
      </c>
      <c r="B15" s="221" t="s">
        <v>2253</v>
      </c>
      <c r="C15" s="226"/>
      <c r="D15" s="956"/>
      <c r="E15" s="224"/>
      <c r="F15" s="224"/>
      <c r="G15" s="225" t="s">
        <v>2254</v>
      </c>
    </row>
    <row r="16" spans="1:8" s="220" customFormat="1" ht="13.5" hidden="1" customHeight="1" x14ac:dyDescent="0.15">
      <c r="A16" s="233" t="s">
        <v>12</v>
      </c>
      <c r="B16" s="221" t="s">
        <v>2163</v>
      </c>
      <c r="C16" s="226"/>
      <c r="D16" s="956"/>
      <c r="E16" s="224"/>
      <c r="F16" s="224"/>
      <c r="G16" s="225"/>
    </row>
    <row r="17" spans="1:7" s="220" customFormat="1" ht="13.5" hidden="1" customHeight="1" x14ac:dyDescent="0.15">
      <c r="A17" s="233" t="s">
        <v>13</v>
      </c>
      <c r="B17" s="221" t="s">
        <v>2255</v>
      </c>
      <c r="C17" s="235"/>
      <c r="D17" s="957"/>
      <c r="E17" s="235"/>
      <c r="F17" s="235"/>
      <c r="G17" s="225" t="s">
        <v>2254</v>
      </c>
    </row>
    <row r="18" spans="1:7" s="220" customFormat="1" ht="13.5" hidden="1" customHeight="1" x14ac:dyDescent="0.15">
      <c r="A18" s="233" t="s">
        <v>14</v>
      </c>
      <c r="B18" s="221" t="s">
        <v>2256</v>
      </c>
      <c r="C18" s="226">
        <v>0</v>
      </c>
      <c r="D18" s="956"/>
      <c r="E18" s="224"/>
      <c r="F18" s="227">
        <v>3.0499999999999999E-2</v>
      </c>
      <c r="G18" s="225" t="s">
        <v>2257</v>
      </c>
    </row>
    <row r="19" spans="1:7" s="229" customFormat="1" ht="13.5" customHeight="1" x14ac:dyDescent="0.15">
      <c r="A19" s="261" t="s">
        <v>2258</v>
      </c>
      <c r="B19" s="216" t="s">
        <v>2259</v>
      </c>
      <c r="C19" s="217">
        <f ca="1">IF(G19="已包含在土地取得成本中","0",ROUND(D19*E19,0))</f>
        <v>109458</v>
      </c>
      <c r="D19" s="958">
        <f ca="1">D9+D10</f>
        <v>547.29</v>
      </c>
      <c r="E19" s="217">
        <f>'数据-取费表'!B31</f>
        <v>200</v>
      </c>
      <c r="F19" s="237"/>
      <c r="G19" s="2044"/>
    </row>
    <row r="20" spans="1:7" s="220" customFormat="1" ht="13.5" customHeight="1" x14ac:dyDescent="0.15">
      <c r="A20" s="261" t="s">
        <v>2260</v>
      </c>
      <c r="B20" s="216" t="s">
        <v>2261</v>
      </c>
      <c r="C20" s="238">
        <f ca="1">ROUND((C5+C19)*F20,0)</f>
        <v>4378</v>
      </c>
      <c r="D20" s="238"/>
      <c r="E20" s="238"/>
      <c r="F20" s="239">
        <f>'数据-取费表'!B37</f>
        <v>0.02</v>
      </c>
      <c r="G20" s="240" t="s">
        <v>2262</v>
      </c>
    </row>
    <row r="21" spans="1:7" s="220" customFormat="1" ht="13.5" customHeight="1" x14ac:dyDescent="0.15">
      <c r="A21" s="261" t="s">
        <v>2263</v>
      </c>
      <c r="B21" s="216" t="s">
        <v>2264</v>
      </c>
      <c r="C21" s="241">
        <f>F21</f>
        <v>0.02</v>
      </c>
      <c r="D21" s="242" t="s">
        <v>2265</v>
      </c>
      <c r="E21" s="238"/>
      <c r="F21" s="239">
        <f>'数据-取费表'!B38</f>
        <v>0.02</v>
      </c>
      <c r="G21" s="240" t="s">
        <v>2266</v>
      </c>
    </row>
    <row r="22" spans="1:7" s="220" customFormat="1" ht="13.5" customHeight="1" x14ac:dyDescent="0.15">
      <c r="A22" s="261" t="s">
        <v>2267</v>
      </c>
      <c r="B22" s="216" t="s">
        <v>2268</v>
      </c>
      <c r="C22" s="1289">
        <f ca="1">ROUND(SUM(C23:C25),0)</f>
        <v>21498</v>
      </c>
      <c r="D22" s="241">
        <f ca="1">C26</f>
        <v>1E-3</v>
      </c>
      <c r="E22" s="242" t="s">
        <v>2265</v>
      </c>
      <c r="F22" s="243">
        <f ca="1">'数据-取费表'!B40</f>
        <v>4.7500000000000001E-2</v>
      </c>
      <c r="G22" s="240" t="str">
        <f>IF('数据-取费表'!B22&lt;=1,"单利计息","复利计息")</f>
        <v>复利计息</v>
      </c>
    </row>
    <row r="23" spans="1:7" s="220" customFormat="1" ht="13.5" customHeight="1" x14ac:dyDescent="0.15">
      <c r="A23" s="888" t="s">
        <v>2158</v>
      </c>
      <c r="B23" s="221" t="s">
        <v>2269</v>
      </c>
      <c r="C23" s="1290">
        <f ca="1">ROUND(IF('数据-取费表'!B22&lt;=1,C5*F22*'数据-取费表'!B22,C5*(POWER((1+F22),'数据-取费表'!B22)-1)),0)</f>
        <v>10645</v>
      </c>
      <c r="D23" s="244"/>
      <c r="E23" s="244"/>
      <c r="F23" s="245"/>
      <c r="G23" s="246" t="s">
        <v>2270</v>
      </c>
    </row>
    <row r="24" spans="1:7" s="220" customFormat="1" ht="13.5" customHeight="1" x14ac:dyDescent="0.15">
      <c r="A24" s="888" t="s">
        <v>2160</v>
      </c>
      <c r="B24" s="221" t="s">
        <v>2271</v>
      </c>
      <c r="C24" s="1290">
        <f ca="1">ROUND(IF('数据-取费表'!B22&lt;=1,C19*F22*('数据-取费表'!B19/2+'数据-取费表'!B20),C19*(POWER((1+F22),('数据-取费表'!B19/2+'数据-取费表'!B20))-1)),0)</f>
        <v>10645</v>
      </c>
      <c r="D24" s="244"/>
      <c r="E24" s="244"/>
      <c r="F24" s="245"/>
      <c r="G24" s="246" t="s">
        <v>2272</v>
      </c>
    </row>
    <row r="25" spans="1:7" s="220" customFormat="1" ht="28" x14ac:dyDescent="0.15">
      <c r="A25" s="888" t="s">
        <v>2162</v>
      </c>
      <c r="B25" s="221" t="s">
        <v>2273</v>
      </c>
      <c r="C25" s="1290">
        <f ca="1">ROUND(IF('数据-取费表'!B22&lt;=1,C20*F22*'数据-取费表'!B22/2,C20*(POWER((1+F22),'数据-取费表'!B22/2)-1)),0)</f>
        <v>208</v>
      </c>
      <c r="D25" s="244"/>
      <c r="E25" s="247"/>
      <c r="F25" s="245"/>
      <c r="G25" s="248" t="s">
        <v>2274</v>
      </c>
    </row>
    <row r="26" spans="1:7" s="220" customFormat="1" ht="14" x14ac:dyDescent="0.15">
      <c r="A26" s="888" t="s">
        <v>795</v>
      </c>
      <c r="B26" s="221" t="s">
        <v>2197</v>
      </c>
      <c r="C26" s="244">
        <f ca="1">ROUND(IF('数据-取费表'!B22&lt;=1,F21*F22*'数据-取费表'!B22/2,F21*(POWER((1+F22),'数据-取费表'!B22/2)-1)),4)</f>
        <v>1E-3</v>
      </c>
      <c r="D26" s="244"/>
      <c r="E26" s="247"/>
      <c r="F26" s="245"/>
      <c r="G26" s="249"/>
    </row>
    <row r="27" spans="1:7" s="220" customFormat="1" ht="28" x14ac:dyDescent="0.15">
      <c r="A27" s="261" t="s">
        <v>2198</v>
      </c>
      <c r="B27" s="250" t="s">
        <v>2199</v>
      </c>
      <c r="C27" s="251">
        <f ca="1">C28</f>
        <v>55824</v>
      </c>
      <c r="D27" s="241">
        <f ca="1">C29</f>
        <v>5.0000000000000001E-3</v>
      </c>
      <c r="E27" s="242" t="s">
        <v>2200</v>
      </c>
      <c r="F27" s="252">
        <f ca="1">IF(B1="",'数据-取费表'!Q16,INDIRECT("'数据-取费表'!q"&amp;$G$1))</f>
        <v>0.25</v>
      </c>
      <c r="G27" s="253" t="s">
        <v>2201</v>
      </c>
    </row>
    <row r="28" spans="1:7" s="220" customFormat="1" ht="13.5" customHeight="1" x14ac:dyDescent="0.15">
      <c r="A28" s="888" t="s">
        <v>791</v>
      </c>
      <c r="B28" s="254" t="s">
        <v>2202</v>
      </c>
      <c r="C28" s="255">
        <f ca="1">ROUND((C5+C19+C20)*F27,0)</f>
        <v>55824</v>
      </c>
      <c r="D28" s="241"/>
      <c r="E28" s="242"/>
      <c r="F28" s="252"/>
      <c r="G28" s="253"/>
    </row>
    <row r="29" spans="1:7" s="220" customFormat="1" ht="13.5" customHeight="1" x14ac:dyDescent="0.15">
      <c r="A29" s="888" t="s">
        <v>792</v>
      </c>
      <c r="B29" s="254" t="s">
        <v>2203</v>
      </c>
      <c r="C29" s="244">
        <f ca="1">ROUND(C21*F27,4)</f>
        <v>5.0000000000000001E-3</v>
      </c>
      <c r="D29" s="241"/>
      <c r="E29" s="242"/>
      <c r="F29" s="252"/>
      <c r="G29" s="253"/>
    </row>
    <row r="30" spans="1:7" s="220" customFormat="1" ht="13.5" customHeight="1" x14ac:dyDescent="0.15">
      <c r="A30" s="261" t="s">
        <v>2204</v>
      </c>
      <c r="B30" s="216" t="s">
        <v>2205</v>
      </c>
      <c r="C30" s="241">
        <f>ROUND(F30/(1+'数据-取费表'!C42),4)</f>
        <v>5.33E-2</v>
      </c>
      <c r="D30" s="242" t="s">
        <v>2200</v>
      </c>
      <c r="E30" s="247"/>
      <c r="F30" s="243">
        <f>'数据-取费表'!B41</f>
        <v>5.6000000000000001E-2</v>
      </c>
      <c r="G30" s="240" t="s">
        <v>2206</v>
      </c>
    </row>
    <row r="31" spans="1:7" ht="16.5" customHeight="1" x14ac:dyDescent="0.2">
      <c r="A31" s="215">
        <v>1</v>
      </c>
      <c r="B31" s="216" t="s">
        <v>2207</v>
      </c>
      <c r="C31" s="217">
        <f ca="1">ROUND((C5+C19+C20+C22+C27)/(1-C21-D22-D27-C30),0)</f>
        <v>326508</v>
      </c>
      <c r="D31" s="236"/>
      <c r="E31" s="217"/>
      <c r="F31" s="256"/>
      <c r="G31" s="240" t="s">
        <v>2208</v>
      </c>
    </row>
    <row r="32" spans="1:7" s="214" customFormat="1" ht="16" x14ac:dyDescent="0.2">
      <c r="A32" s="258" t="s">
        <v>2275</v>
      </c>
      <c r="B32" s="259"/>
      <c r="C32" s="259"/>
      <c r="D32" s="259"/>
      <c r="E32" s="259"/>
      <c r="F32" s="259"/>
      <c r="G32" s="260"/>
    </row>
    <row r="33" spans="1:7" s="220" customFormat="1" ht="13.5" customHeight="1" x14ac:dyDescent="0.15">
      <c r="A33" s="261" t="s">
        <v>782</v>
      </c>
      <c r="B33" s="216" t="s">
        <v>2276</v>
      </c>
      <c r="C33" s="262">
        <f ca="1">SUM(C34:C38)</f>
        <v>2969049</v>
      </c>
      <c r="D33" s="238"/>
      <c r="E33" s="218"/>
      <c r="F33" s="247"/>
      <c r="G33" s="240"/>
    </row>
    <row r="34" spans="1:7" s="264" customFormat="1" ht="13.5" customHeight="1" x14ac:dyDescent="0.15">
      <c r="A34" s="888" t="s">
        <v>791</v>
      </c>
      <c r="B34" s="221" t="s">
        <v>2211</v>
      </c>
      <c r="C34" s="226">
        <f ca="1">ROUND(IF(B1="",SUMPRODUCT('数据-取费表'!K6:K14,'数据-取费表'!L6:L14),INDIRECT("'数据-取费表'!l"&amp;$G$1)*INDIRECT("'数据-取费表'!k"&amp;$G$1)+'数据-取费表'!L14*INDIRECT("'数据-取费表'!S"&amp;$G$1)),0)</f>
        <v>2736450</v>
      </c>
      <c r="D34" s="223"/>
      <c r="E34" s="226"/>
      <c r="F34" s="263"/>
      <c r="G34" s="225"/>
    </row>
    <row r="35" spans="1:7" ht="13.5" customHeight="1" x14ac:dyDescent="0.15">
      <c r="A35" s="888" t="s">
        <v>796</v>
      </c>
      <c r="B35" s="221" t="s">
        <v>2213</v>
      </c>
      <c r="C35" s="226">
        <f ca="1">ROUND(C34*F35,0)</f>
        <v>82094</v>
      </c>
      <c r="D35" s="226"/>
      <c r="E35" s="226"/>
      <c r="F35" s="265">
        <f>'数据-取费表'!B33</f>
        <v>0.03</v>
      </c>
      <c r="G35" s="225" t="s">
        <v>2214</v>
      </c>
    </row>
    <row r="36" spans="1:7" ht="28" x14ac:dyDescent="0.15">
      <c r="A36" s="888" t="s">
        <v>797</v>
      </c>
      <c r="B36" s="221" t="s">
        <v>2215</v>
      </c>
      <c r="C36" s="226">
        <f ca="1">ROUND(IF(B1="",SUM('数据-取费表'!AP6:AP13)*F36,IF(INDIRECT("'数据-取费表'!c"&amp;$G$1)="住宅",INDIRECT("'数据-取费表'!k"&amp;$G$1)*INDIRECT("'数据-取费表'!l"&amp;$G$1)*F36,0)),0)</f>
        <v>0</v>
      </c>
      <c r="D36" s="226"/>
      <c r="E36" s="226"/>
      <c r="F36" s="265">
        <f>'数据-取费表'!B34</f>
        <v>0.1</v>
      </c>
      <c r="G36" s="266" t="s">
        <v>2216</v>
      </c>
    </row>
    <row r="37" spans="1:7" s="264" customFormat="1" ht="13.5" customHeight="1" x14ac:dyDescent="0.15">
      <c r="A37" s="888" t="s">
        <v>798</v>
      </c>
      <c r="B37" s="221" t="s">
        <v>2217</v>
      </c>
      <c r="C37" s="255">
        <f ca="1">ROUND(E37*D37,0)</f>
        <v>109458</v>
      </c>
      <c r="D37" s="223">
        <f ca="1">D19</f>
        <v>547.29</v>
      </c>
      <c r="E37" s="255">
        <f>'数据-取费表'!B35</f>
        <v>200</v>
      </c>
      <c r="F37" s="265"/>
      <c r="G37" s="267"/>
    </row>
    <row r="38" spans="1:7" ht="13.5" customHeight="1" x14ac:dyDescent="0.15">
      <c r="A38" s="888" t="s">
        <v>799</v>
      </c>
      <c r="B38" s="221" t="s">
        <v>2219</v>
      </c>
      <c r="C38" s="226">
        <f ca="1">ROUND(C34*F38,0)</f>
        <v>41047</v>
      </c>
      <c r="D38" s="226"/>
      <c r="E38" s="226"/>
      <c r="F38" s="265">
        <f>'数据-取费表'!B36</f>
        <v>1.4999999999999999E-2</v>
      </c>
      <c r="G38" s="225" t="s">
        <v>2214</v>
      </c>
    </row>
    <row r="39" spans="1:7" s="220" customFormat="1" ht="13.5" customHeight="1" x14ac:dyDescent="0.15">
      <c r="A39" s="261" t="s">
        <v>2220</v>
      </c>
      <c r="B39" s="216" t="s">
        <v>2221</v>
      </c>
      <c r="C39" s="238">
        <f ca="1">ROUND(C33*F20,0)</f>
        <v>59381</v>
      </c>
      <c r="D39" s="238"/>
      <c r="E39" s="238"/>
      <c r="F39" s="2537">
        <f>F20</f>
        <v>0.02</v>
      </c>
      <c r="G39" s="240" t="s">
        <v>2222</v>
      </c>
    </row>
    <row r="40" spans="1:7" s="220" customFormat="1" ht="13.5" customHeight="1" x14ac:dyDescent="0.15">
      <c r="A40" s="261" t="s">
        <v>2223</v>
      </c>
      <c r="B40" s="216" t="s">
        <v>2224</v>
      </c>
      <c r="C40" s="1497">
        <f>F21</f>
        <v>0.02</v>
      </c>
      <c r="D40" s="242" t="s">
        <v>2225</v>
      </c>
      <c r="E40" s="238"/>
      <c r="F40" s="2537">
        <f>F21</f>
        <v>0.02</v>
      </c>
      <c r="G40" s="240" t="s">
        <v>2226</v>
      </c>
    </row>
    <row r="41" spans="1:7" s="220" customFormat="1" ht="13.5" customHeight="1" x14ac:dyDescent="0.15">
      <c r="A41" s="261" t="s">
        <v>2227</v>
      </c>
      <c r="B41" s="216" t="s">
        <v>2228</v>
      </c>
      <c r="C41" s="238">
        <f ca="1">ROUND(SUM(C42:C43),0)</f>
        <v>143851</v>
      </c>
      <c r="D41" s="241">
        <f ca="1">C44</f>
        <v>1E-3</v>
      </c>
      <c r="E41" s="242" t="s">
        <v>2225</v>
      </c>
      <c r="F41" s="2538">
        <f ca="1">F22</f>
        <v>4.7500000000000001E-2</v>
      </c>
      <c r="G41" s="240" t="str">
        <f>IF('数据-取费表'!B22&lt;=1,"单利计息","复利计息")</f>
        <v>复利计息</v>
      </c>
    </row>
    <row r="42" spans="1:7" ht="13.5" customHeight="1" x14ac:dyDescent="0.15">
      <c r="A42" s="888" t="s">
        <v>791</v>
      </c>
      <c r="B42" s="221" t="s">
        <v>2229</v>
      </c>
      <c r="C42" s="244">
        <f ca="1">ROUND(IF('数据-取费表'!B22&lt;=1,C33*F22*'数据-取费表'!B20/2,C33*(POWER((1+F22),'数据-取费表'!B20/2)-1)),0)</f>
        <v>141030</v>
      </c>
      <c r="D42" s="244"/>
      <c r="E42" s="244"/>
      <c r="F42" s="245"/>
      <c r="G42" s="3407" t="s">
        <v>2277</v>
      </c>
    </row>
    <row r="43" spans="1:7" ht="13.5" customHeight="1" x14ac:dyDescent="0.15">
      <c r="A43" s="888" t="s">
        <v>792</v>
      </c>
      <c r="B43" s="221" t="s">
        <v>2231</v>
      </c>
      <c r="C43" s="244">
        <f ca="1">ROUND(IF('数据-取费表'!B22&lt;=1,C39*F22*'数据-取费表'!B20/2,C39*(POWER((1+F22),'数据-取费表'!B20/2)-1)),0)</f>
        <v>2821</v>
      </c>
      <c r="D43" s="244"/>
      <c r="E43" s="244"/>
      <c r="F43" s="245"/>
      <c r="G43" s="3408"/>
    </row>
    <row r="44" spans="1:7" ht="13.5" customHeight="1" x14ac:dyDescent="0.15">
      <c r="A44" s="888" t="s">
        <v>793</v>
      </c>
      <c r="B44" s="221" t="s">
        <v>2232</v>
      </c>
      <c r="C44" s="244">
        <f ca="1">ROUND(IF('数据-取费表'!B22&lt;=1,C40*F22*'数据-取费表'!B20/2,C40*(POWER((1+F22),'数据-取费表'!B20/2)-1)),4)</f>
        <v>1E-3</v>
      </c>
      <c r="D44" s="244"/>
      <c r="E44" s="244"/>
      <c r="F44" s="245"/>
      <c r="G44" s="3409"/>
    </row>
    <row r="45" spans="1:7" s="220" customFormat="1" ht="13.5" customHeight="1" x14ac:dyDescent="0.15">
      <c r="A45" s="261" t="s">
        <v>2233</v>
      </c>
      <c r="B45" s="250" t="s">
        <v>2199</v>
      </c>
      <c r="C45" s="251">
        <f ca="1">C46</f>
        <v>757108</v>
      </c>
      <c r="D45" s="241">
        <f ca="1">C47</f>
        <v>5.0000000000000001E-3</v>
      </c>
      <c r="E45" s="242" t="s">
        <v>2225</v>
      </c>
      <c r="F45" s="2539">
        <f ca="1">F27</f>
        <v>0.25</v>
      </c>
      <c r="G45" s="253" t="s">
        <v>2234</v>
      </c>
    </row>
    <row r="46" spans="1:7" s="220" customFormat="1" ht="13.5" customHeight="1" x14ac:dyDescent="0.15">
      <c r="A46" s="888" t="s">
        <v>791</v>
      </c>
      <c r="B46" s="254" t="s">
        <v>2235</v>
      </c>
      <c r="C46" s="255">
        <f ca="1">ROUND((C33+C39)*F27,0)</f>
        <v>757108</v>
      </c>
      <c r="D46" s="269"/>
      <c r="E46" s="242"/>
      <c r="F46" s="252"/>
      <c r="G46" s="253"/>
    </row>
    <row r="47" spans="1:7" s="220" customFormat="1" ht="13.5" customHeight="1" x14ac:dyDescent="0.15">
      <c r="A47" s="888" t="s">
        <v>792</v>
      </c>
      <c r="B47" s="254" t="s">
        <v>2236</v>
      </c>
      <c r="C47" s="244">
        <f ca="1">ROUND(C40*F27,4)</f>
        <v>5.0000000000000001E-3</v>
      </c>
      <c r="D47" s="269"/>
      <c r="E47" s="242"/>
      <c r="F47" s="252"/>
      <c r="G47" s="253"/>
    </row>
    <row r="48" spans="1:7" s="220" customFormat="1" ht="13.5" customHeight="1" x14ac:dyDescent="0.15">
      <c r="A48" s="261" t="s">
        <v>2198</v>
      </c>
      <c r="B48" s="216" t="s">
        <v>2237</v>
      </c>
      <c r="C48" s="268">
        <f>ROUND(F30/(1+'数据-取费表'!C42),4)</f>
        <v>5.33E-2</v>
      </c>
      <c r="D48" s="242" t="s">
        <v>2225</v>
      </c>
      <c r="E48" s="238"/>
      <c r="F48" s="2538">
        <f>F30</f>
        <v>5.6000000000000001E-2</v>
      </c>
      <c r="G48" s="240" t="s">
        <v>2238</v>
      </c>
    </row>
    <row r="49" spans="1:7" ht="16.5" customHeight="1" x14ac:dyDescent="0.2">
      <c r="A49" s="261" t="s">
        <v>2204</v>
      </c>
      <c r="B49" s="216" t="s">
        <v>2278</v>
      </c>
      <c r="C49" s="238">
        <f ca="1">ROUND((C33+C39+C41+C45)/(1-C40-D41-D45-C48),0)</f>
        <v>4267828</v>
      </c>
      <c r="D49" s="238"/>
      <c r="E49" s="238"/>
      <c r="F49" s="270"/>
      <c r="G49" s="240" t="s">
        <v>2240</v>
      </c>
    </row>
    <row r="50" spans="1:7" s="264" customFormat="1" ht="14" x14ac:dyDescent="0.15">
      <c r="A50" s="261" t="s">
        <v>2241</v>
      </c>
      <c r="B50" s="216" t="s">
        <v>2242</v>
      </c>
      <c r="C50" s="238"/>
      <c r="D50" s="238"/>
      <c r="E50" s="238"/>
      <c r="F50" s="270">
        <f>IF('数据-取费表'!B24=0,'数据-取费表'!N16,1)</f>
        <v>0.8</v>
      </c>
      <c r="G50" s="253"/>
    </row>
    <row r="51" spans="1:7" ht="16.5" customHeight="1" x14ac:dyDescent="0.2">
      <c r="A51" s="261" t="s">
        <v>2244</v>
      </c>
      <c r="B51" s="216" t="s">
        <v>2279</v>
      </c>
      <c r="C51" s="238">
        <f ca="1">ROUND(C49*F50,0)</f>
        <v>3414262</v>
      </c>
      <c r="D51" s="238"/>
      <c r="E51" s="238"/>
      <c r="F51" s="270"/>
      <c r="G51" s="240" t="s">
        <v>2246</v>
      </c>
    </row>
    <row r="52" spans="1:7" s="214" customFormat="1" ht="17" thickBot="1" x14ac:dyDescent="0.25">
      <c r="A52" s="271" t="s">
        <v>2247</v>
      </c>
      <c r="B52" s="272"/>
      <c r="C52" s="273">
        <f ca="1">C31+C51</f>
        <v>3740770</v>
      </c>
      <c r="D52" s="272"/>
      <c r="E52" s="272"/>
      <c r="F52" s="272"/>
      <c r="G52" s="274"/>
    </row>
    <row r="55" spans="1:7" ht="16" x14ac:dyDescent="0.15">
      <c r="B55" s="276" t="s">
        <v>2248</v>
      </c>
      <c r="C55" s="277"/>
    </row>
    <row r="56" spans="1:7" ht="14" x14ac:dyDescent="0.15">
      <c r="B56" s="279" t="s">
        <v>1478</v>
      </c>
      <c r="C56" s="281">
        <f ca="1">1-C57</f>
        <v>8.6999999999999966E-2</v>
      </c>
    </row>
    <row r="57" spans="1:7" ht="14" x14ac:dyDescent="0.15">
      <c r="B57" s="279" t="s">
        <v>1479</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view="pageBreakPreview" zoomScale="70" zoomScaleNormal="70" zoomScaleSheetLayoutView="70" workbookViewId="0">
      <selection activeCell="Q10" sqref="Q10"/>
    </sheetView>
  </sheetViews>
  <sheetFormatPr baseColWidth="10" defaultColWidth="6.6640625" defaultRowHeight="13" x14ac:dyDescent="0.2"/>
  <cols>
    <col min="1" max="1" width="9.6640625" style="737" customWidth="1"/>
    <col min="2" max="2" width="25.6640625" style="889" customWidth="1"/>
    <col min="3" max="3" width="10.33203125" style="932" customWidth="1"/>
    <col min="4" max="4" width="9.83203125" style="889" customWidth="1"/>
    <col min="5" max="5" width="9.5" style="737" customWidth="1"/>
    <col min="6" max="6" width="10.1640625" style="889" customWidth="1"/>
    <col min="7" max="7" width="10.664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640625" style="889"/>
  </cols>
  <sheetData>
    <row r="1" spans="1:33" ht="20" x14ac:dyDescent="0.2">
      <c r="A1" s="202" t="s">
        <v>2280</v>
      </c>
      <c r="B1" s="1353"/>
      <c r="C1" s="1354"/>
      <c r="D1" s="1352"/>
      <c r="E1" s="3037"/>
      <c r="F1" s="3037"/>
      <c r="G1" s="2900"/>
      <c r="H1" s="3037"/>
      <c r="I1" s="3037"/>
      <c r="J1" s="3037"/>
      <c r="K1" s="3038">
        <f>MATCH(C1,'数据-取费表'!A6:A16,0)+5</f>
        <v>7</v>
      </c>
    </row>
    <row r="2" spans="1:33" ht="18" customHeight="1" x14ac:dyDescent="0.2">
      <c r="A2" s="207" t="s">
        <v>2148</v>
      </c>
      <c r="B2" s="210">
        <f ca="1">C32</f>
        <v>234</v>
      </c>
      <c r="C2" s="282" t="s">
        <v>2281</v>
      </c>
      <c r="D2" s="282"/>
      <c r="E2" s="3037"/>
      <c r="F2" s="3037"/>
      <c r="G2" s="3037"/>
      <c r="H2" s="3037"/>
      <c r="I2" s="3037"/>
      <c r="J2" s="3037"/>
      <c r="K2" s="3037"/>
    </row>
    <row r="3" spans="1:33" ht="18" customHeight="1" thickBot="1" x14ac:dyDescent="0.25">
      <c r="A3" s="209" t="s">
        <v>2150</v>
      </c>
      <c r="B3" s="210">
        <f ca="1">ROUND(B2*10000/IF(C1="",'数据-汇总表'!E3,INDIRECT("'数据-取费表'!K"&amp;$K$1)),0)</f>
        <v>4276</v>
      </c>
      <c r="C3" s="282" t="s">
        <v>2282</v>
      </c>
      <c r="D3" s="282"/>
      <c r="E3" s="3037"/>
      <c r="F3" s="3037"/>
      <c r="G3" s="3037"/>
      <c r="H3" s="3037"/>
      <c r="I3" s="3037"/>
      <c r="J3" s="3037"/>
      <c r="K3" s="3037"/>
    </row>
    <row r="4" spans="1:33" s="893" customFormat="1" ht="16.5" customHeight="1" x14ac:dyDescent="0.2">
      <c r="A4" s="890" t="s">
        <v>2283</v>
      </c>
      <c r="B4" s="891"/>
      <c r="C4" s="933">
        <f>SUM(C8:K8)</f>
        <v>0</v>
      </c>
      <c r="D4" s="891"/>
      <c r="E4" s="891"/>
      <c r="F4" s="891"/>
      <c r="G4" s="891"/>
      <c r="H4" s="891"/>
      <c r="I4" s="891"/>
      <c r="J4" s="891"/>
      <c r="K4" s="892"/>
    </row>
    <row r="5" spans="1:33" s="897" customFormat="1" ht="28" x14ac:dyDescent="0.2">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x14ac:dyDescent="0.2">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x14ac:dyDescent="0.2">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x14ac:dyDescent="0.25">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x14ac:dyDescent="0.2">
      <c r="A9" s="890" t="s">
        <v>2294</v>
      </c>
      <c r="B9" s="891"/>
      <c r="C9" s="891"/>
      <c r="D9" s="891"/>
      <c r="E9" s="891"/>
      <c r="F9" s="891"/>
      <c r="G9" s="891"/>
      <c r="H9" s="891"/>
      <c r="I9" s="891"/>
      <c r="J9" s="891"/>
      <c r="K9" s="892"/>
    </row>
    <row r="10" spans="1:33" s="907" customFormat="1" ht="13.5" customHeight="1" x14ac:dyDescent="0.2">
      <c r="A10" s="894" t="s">
        <v>2295</v>
      </c>
      <c r="B10" s="8" t="s">
        <v>2296</v>
      </c>
      <c r="C10" s="903" t="s">
        <v>2297</v>
      </c>
      <c r="D10" s="904" t="s">
        <v>2298</v>
      </c>
      <c r="E10" s="904" t="s">
        <v>2299</v>
      </c>
      <c r="F10" s="904" t="s">
        <v>2300</v>
      </c>
      <c r="G10" s="8"/>
      <c r="H10" s="905"/>
      <c r="I10" s="905"/>
      <c r="J10" s="905"/>
      <c r="K10" s="906"/>
    </row>
    <row r="11" spans="1:33" s="912" customFormat="1" ht="13.5" customHeight="1" x14ac:dyDescent="0.2">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x14ac:dyDescent="0.2">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x14ac:dyDescent="0.2">
      <c r="A13" s="908" t="s">
        <v>1302</v>
      </c>
      <c r="B13" s="909" t="s">
        <v>2304</v>
      </c>
      <c r="C13" s="24">
        <f ca="1">ROUND(IF(C1="",SUMIF('数据-取费表'!C:C,"住宅",'数据-取费表'!P:P)*F13,IF(INDIRECT("'数据-取费表'!c"&amp;$K$1)="住宅",INDIRECT("'数据-取费表'!P"&amp;$K$1)*F13,0)),0)</f>
        <v>0</v>
      </c>
      <c r="D13" s="955"/>
      <c r="E13" s="335"/>
      <c r="F13" s="913">
        <f>'数据-取费表'!B34</f>
        <v>0.1</v>
      </c>
      <c r="G13" s="8" t="s">
        <v>2305</v>
      </c>
      <c r="H13" s="905"/>
      <c r="I13" s="905"/>
      <c r="J13" s="905"/>
      <c r="K13" s="906"/>
    </row>
    <row r="14" spans="1:33" s="914" customFormat="1" ht="13.5" customHeight="1" x14ac:dyDescent="0.2">
      <c r="A14" s="908" t="s">
        <v>1303</v>
      </c>
      <c r="B14" s="909" t="s">
        <v>2306</v>
      </c>
      <c r="C14" s="24">
        <f ca="1">ROUND(D14*E14*F11/10000,0)</f>
        <v>0</v>
      </c>
      <c r="D14" s="955">
        <f ca="1">IF(C1="",'数据-汇总表'!E3,INDIRECT("'数据-取费表'!K"&amp;$K$1)+INDIRECT("'数据-取费表'!S"&amp;$K$1))</f>
        <v>547.29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x14ac:dyDescent="0.2">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x14ac:dyDescent="0.2">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x14ac:dyDescent="0.2">
      <c r="A17" s="908" t="s">
        <v>804</v>
      </c>
      <c r="B17" s="909" t="s">
        <v>2311</v>
      </c>
      <c r="C17" s="24">
        <f ca="1">ROUND(D17*E17/10000,0)</f>
        <v>0</v>
      </c>
      <c r="D17" s="955">
        <f ca="1">D14</f>
        <v>547.29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x14ac:dyDescent="0.2">
      <c r="A18" s="908" t="s">
        <v>1305</v>
      </c>
      <c r="B18" s="909" t="s">
        <v>2313</v>
      </c>
      <c r="C18" s="24">
        <f ca="1">C19+C20-IF(C1="",'数据-取费表'!B29,IF(G18="已全部缴纳",C19+C20,H18))</f>
        <v>-189</v>
      </c>
      <c r="D18" s="955"/>
      <c r="E18" s="24"/>
      <c r="F18" s="913"/>
      <c r="G18" s="2050"/>
      <c r="H18" s="1349"/>
      <c r="I18" s="2051" t="s">
        <v>2314</v>
      </c>
      <c r="J18" s="916"/>
      <c r="K18" s="917"/>
    </row>
    <row r="19" spans="1:33" s="912" customFormat="1" ht="13.5" customHeight="1" x14ac:dyDescent="0.2">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x14ac:dyDescent="0.2">
      <c r="A20" s="908" t="s">
        <v>806</v>
      </c>
      <c r="B20" s="909" t="s">
        <v>2316</v>
      </c>
      <c r="C20" s="24">
        <f ca="1">ROUND(D20*E20/10000,0)</f>
        <v>11</v>
      </c>
      <c r="D20" s="955">
        <f ca="1">IF(C1="",'数据-汇总表'!E6,IF(INDIRECT("'数据-取费表'!c"&amp;$K$1)="住宅",INDIRECT("'数据-取费表'!s"&amp;$K$1),INDIRECT("'数据-取费表'!k"&amp;$K$1)+INDIRECT("'数据-取费表'!s"&amp;$K$1)))</f>
        <v>547.29</v>
      </c>
      <c r="E20" s="24">
        <f>'数据-取费表'!B28</f>
        <v>200</v>
      </c>
      <c r="F20" s="913"/>
      <c r="G20" s="15"/>
      <c r="H20" s="918"/>
      <c r="I20" s="918"/>
      <c r="J20" s="918"/>
      <c r="K20" s="919"/>
    </row>
    <row r="21" spans="1:33" s="912" customFormat="1" ht="13.5" customHeight="1" x14ac:dyDescent="0.2">
      <c r="A21" s="898" t="s">
        <v>802</v>
      </c>
      <c r="B21" s="922" t="s">
        <v>2317</v>
      </c>
      <c r="C21" s="923">
        <f ca="1">C16+C17+C18</f>
        <v>-189</v>
      </c>
      <c r="D21" s="924"/>
      <c r="E21" s="287"/>
      <c r="F21" s="287"/>
      <c r="G21" s="136" t="s">
        <v>2318</v>
      </c>
      <c r="H21" s="916"/>
      <c r="I21" s="916"/>
      <c r="J21" s="916"/>
      <c r="K21" s="917"/>
    </row>
    <row r="22" spans="1:33" s="912" customFormat="1" ht="13.5" customHeight="1" x14ac:dyDescent="0.2">
      <c r="A22" s="898" t="s">
        <v>2290</v>
      </c>
      <c r="B22" s="922" t="s">
        <v>2319</v>
      </c>
      <c r="C22" s="923">
        <f ca="1">ROUND(C21*F22,0)</f>
        <v>-4</v>
      </c>
      <c r="D22" s="287"/>
      <c r="E22" s="287"/>
      <c r="F22" s="925">
        <f>'数据-取费表'!B37</f>
        <v>0.02</v>
      </c>
      <c r="G22" s="8" t="s">
        <v>2320</v>
      </c>
      <c r="H22" s="905"/>
      <c r="I22" s="905"/>
      <c r="J22" s="905"/>
      <c r="K22" s="906"/>
    </row>
    <row r="23" spans="1:33" s="912" customFormat="1" ht="13.5" customHeight="1" x14ac:dyDescent="0.2">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x14ac:dyDescent="0.2">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x14ac:dyDescent="0.2">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x14ac:dyDescent="0.15">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x14ac:dyDescent="0.15">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x14ac:dyDescent="0.2">
      <c r="A28" s="898" t="s">
        <v>2330</v>
      </c>
      <c r="B28" s="2053" t="s">
        <v>2331</v>
      </c>
      <c r="C28" s="293">
        <f ca="1">C30</f>
        <v>-48</v>
      </c>
      <c r="D28" s="286">
        <f ca="1">C29</f>
        <v>0</v>
      </c>
      <c r="E28" s="288" t="s">
        <v>15</v>
      </c>
      <c r="F28" s="294">
        <f ca="1">IF(C1="",'数据-取费表'!Q16,INDIRECT("'数据-取费表'!q"&amp;$K$1))</f>
        <v>0.25</v>
      </c>
      <c r="G28" s="926"/>
      <c r="H28" s="927"/>
      <c r="I28" s="927"/>
      <c r="J28" s="927"/>
      <c r="K28" s="928"/>
    </row>
    <row r="29" spans="1:33" s="297" customFormat="1" ht="13.5" customHeight="1" x14ac:dyDescent="0.2">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x14ac:dyDescent="0.2">
      <c r="A30" s="908" t="s">
        <v>804</v>
      </c>
      <c r="B30" s="931" t="s">
        <v>2334</v>
      </c>
      <c r="C30" s="298">
        <f ca="1">ROUND((C21+C22+C23)*F28,0)</f>
        <v>-48</v>
      </c>
      <c r="D30" s="290"/>
      <c r="E30" s="291"/>
      <c r="F30" s="296"/>
      <c r="G30" s="136"/>
      <c r="H30" s="916"/>
      <c r="I30" s="916"/>
      <c r="J30" s="916"/>
      <c r="K30" s="917"/>
    </row>
    <row r="31" spans="1:33" s="912" customFormat="1" ht="13.5" customHeight="1" thickBot="1" x14ac:dyDescent="0.25">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x14ac:dyDescent="0.25">
      <c r="A32" s="937" t="s">
        <v>2338</v>
      </c>
      <c r="B32" s="938"/>
      <c r="C32" s="939">
        <f ca="1">ROUND((C4-C21-C22-C23-C25-C28-C31)/(1+C24+D25+D28),0)</f>
        <v>234</v>
      </c>
      <c r="D32" s="938"/>
      <c r="E32" s="938"/>
      <c r="F32" s="938"/>
      <c r="G32" s="940" t="s">
        <v>2339</v>
      </c>
      <c r="H32" s="938"/>
      <c r="I32" s="938"/>
      <c r="J32" s="938"/>
      <c r="K32" s="941"/>
    </row>
    <row r="34" ht="12.75" customHeight="1" x14ac:dyDescent="0.2"/>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baseColWidth="10" defaultColWidth="9" defaultRowHeight="15" x14ac:dyDescent="0.2"/>
  <cols>
    <col min="1" max="1" width="3.5" style="952" customWidth="1"/>
    <col min="2" max="9" width="10" style="952" customWidth="1"/>
    <col min="10" max="16384" width="9" style="952"/>
  </cols>
  <sheetData>
    <row r="36" spans="1:9" x14ac:dyDescent="0.2">
      <c r="A36" s="951" t="s">
        <v>818</v>
      </c>
      <c r="B36" s="951" t="s">
        <v>819</v>
      </c>
    </row>
    <row r="37" spans="1:9" ht="27.75" customHeight="1" x14ac:dyDescent="0.2">
      <c r="A37" s="951"/>
      <c r="B37" s="3218" t="str">
        <f>项目基本情况!B1</f>
        <v>北京市房地产市场价值预评估</v>
      </c>
      <c r="C37" s="3218"/>
      <c r="D37" s="3218"/>
      <c r="E37" s="3218"/>
      <c r="F37" s="3218"/>
      <c r="G37" s="3218"/>
      <c r="H37" s="3218"/>
      <c r="I37" s="3218"/>
    </row>
    <row r="38" spans="1:9" x14ac:dyDescent="0.2">
      <c r="A38" s="953"/>
      <c r="B38" s="953"/>
    </row>
    <row r="39" spans="1:9" x14ac:dyDescent="0.2">
      <c r="A39" s="951" t="s">
        <v>818</v>
      </c>
      <c r="B39" s="951" t="s">
        <v>820</v>
      </c>
    </row>
    <row r="40" spans="1:9" x14ac:dyDescent="0.2">
      <c r="A40" s="951"/>
      <c r="B40" s="1661" t="str">
        <f>项目基本情况!B5</f>
        <v>中行</v>
      </c>
    </row>
    <row r="41" spans="1:9" x14ac:dyDescent="0.2">
      <c r="A41" s="951"/>
      <c r="B41" s="951"/>
    </row>
    <row r="42" spans="1:9" x14ac:dyDescent="0.2">
      <c r="A42" s="951" t="s">
        <v>818</v>
      </c>
      <c r="B42" s="951" t="s">
        <v>821</v>
      </c>
    </row>
    <row r="43" spans="1:9" x14ac:dyDescent="0.2">
      <c r="A43" s="951"/>
      <c r="B43" s="1661" t="s">
        <v>822</v>
      </c>
    </row>
    <row r="44" spans="1:9" x14ac:dyDescent="0.2">
      <c r="A44" s="951"/>
      <c r="B44" s="951"/>
    </row>
    <row r="45" spans="1:9" x14ac:dyDescent="0.2">
      <c r="A45" s="951" t="s">
        <v>818</v>
      </c>
      <c r="B45" s="951" t="s">
        <v>823</v>
      </c>
    </row>
    <row r="46" spans="1:9" s="951" customFormat="1" ht="14" x14ac:dyDescent="0.2">
      <c r="B46" s="1661" t="str">
        <f ca="1">项目基本情况!K4</f>
        <v>陈颖（注册号：0)、叶凌（注册号：1119970111)</v>
      </c>
    </row>
    <row r="47" spans="1:9" x14ac:dyDescent="0.2">
      <c r="A47" s="951"/>
      <c r="B47" s="951" t="str">
        <f>项目基本情况!K5</f>
        <v>（注册号：0)、（注册号：0)</v>
      </c>
    </row>
    <row r="48" spans="1:9" x14ac:dyDescent="0.2">
      <c r="A48" s="951" t="s">
        <v>818</v>
      </c>
      <c r="B48" s="951" t="s">
        <v>824</v>
      </c>
    </row>
    <row r="49" spans="2:2" x14ac:dyDescent="0.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6"/>
  <sheetViews>
    <sheetView view="pageBreakPreview" topLeftCell="A18" zoomScale="70" zoomScaleNormal="70" zoomScaleSheetLayoutView="70" workbookViewId="0">
      <selection activeCell="B4" sqref="B4"/>
    </sheetView>
  </sheetViews>
  <sheetFormatPr baseColWidth="10" defaultColWidth="9" defaultRowHeight="14" x14ac:dyDescent="0.2"/>
  <cols>
    <col min="1" max="1" width="10.5" style="363" customWidth="1"/>
    <col min="2" max="2" width="15.6640625" style="363" customWidth="1"/>
    <col min="3" max="3" width="18.1640625" style="363" customWidth="1"/>
    <col min="4" max="4" width="12.1640625" style="363" customWidth="1"/>
    <col min="5" max="5" width="17.1640625" style="363" bestFit="1" customWidth="1"/>
    <col min="6" max="6" width="12.1640625" style="363" customWidth="1"/>
    <col min="7" max="7" width="16.6640625" style="363" customWidth="1"/>
    <col min="8" max="8" width="12.1640625" style="363" customWidth="1"/>
    <col min="9" max="9" width="18.1640625" style="363" customWidth="1"/>
    <col min="10" max="10" width="12.1640625" style="363" customWidth="1"/>
    <col min="11" max="11" width="12.1640625" style="452" customWidth="1"/>
    <col min="12" max="12" width="12.1640625" style="453" customWidth="1"/>
    <col min="13" max="15" width="12.1640625" style="363" customWidth="1"/>
    <col min="16" max="16" width="4.6640625" style="1037"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x14ac:dyDescent="0.25">
      <c r="A1" s="1390" t="s">
        <v>2349</v>
      </c>
      <c r="B1" s="3184"/>
      <c r="C1" s="1392" t="s">
        <v>2351</v>
      </c>
      <c r="D1" s="1393" t="s">
        <v>1343</v>
      </c>
      <c r="E1" s="1402"/>
      <c r="F1" s="2067" t="s">
        <v>3204</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x14ac:dyDescent="0.2">
      <c r="A2" s="1389" t="s">
        <v>2148</v>
      </c>
      <c r="B2" s="1326">
        <f>IF(C2="——",ROUND(C50*D3/10000,0),ROUND(C50*D3/10000,0)-D2)</f>
        <v>0</v>
      </c>
      <c r="C2" s="2069" t="s">
        <v>70</v>
      </c>
      <c r="D2" s="1275" t="e">
        <f ca="1">SUMIF(INDIRECT("'"&amp;F2&amp;"'"&amp;"!A:A"),"承租人权益价值",INDIRECT("'"&amp;F2&amp;"'"&amp;"!c:c"))</f>
        <v>#REF!</v>
      </c>
      <c r="E2" s="2070" t="s">
        <v>2149</v>
      </c>
      <c r="F2" s="2071"/>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x14ac:dyDescent="0.25">
      <c r="A3" s="209" t="s">
        <v>2150</v>
      </c>
      <c r="B3" s="566">
        <f>IF(C2="——",C50,ROUND(B2*10000/D3,0))</f>
        <v>9.1999999999999993</v>
      </c>
      <c r="C3" s="360" t="s">
        <v>2465</v>
      </c>
      <c r="D3" s="359">
        <f>IF(D1="",'数据-汇总表'!E3,SUMIF('数据-汇总表'!$C19:$C33,D1,'数据-汇总表'!$E19:$E33))</f>
        <v>0</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x14ac:dyDescent="0.2">
      <c r="A4" s="361" t="s">
        <v>2466</v>
      </c>
      <c r="B4" s="362"/>
      <c r="C4" s="3429" t="s">
        <v>2467</v>
      </c>
      <c r="D4" s="3430"/>
      <c r="E4" s="3431" t="s">
        <v>2468</v>
      </c>
      <c r="F4" s="3432"/>
      <c r="G4" s="3429" t="s">
        <v>2469</v>
      </c>
      <c r="H4" s="3430"/>
      <c r="I4" s="3429" t="s">
        <v>2470</v>
      </c>
      <c r="J4" s="3430"/>
      <c r="K4" s="567" t="s">
        <v>2471</v>
      </c>
      <c r="L4" s="2944"/>
      <c r="M4" s="2945"/>
      <c r="N4" s="2945"/>
      <c r="O4" s="2945"/>
      <c r="P4" s="3433" t="s">
        <v>2472</v>
      </c>
      <c r="Q4" s="3434"/>
      <c r="R4" s="3439" t="s">
        <v>2468</v>
      </c>
      <c r="S4" s="3440"/>
      <c r="T4" s="3439" t="s">
        <v>2469</v>
      </c>
      <c r="U4" s="3440"/>
      <c r="V4" s="3445" t="s">
        <v>2470</v>
      </c>
      <c r="W4" s="3445"/>
      <c r="X4" s="2146"/>
      <c r="Y4" s="3439" t="s">
        <v>2472</v>
      </c>
      <c r="Z4" s="3440"/>
      <c r="AA4" s="3457" t="s">
        <v>2468</v>
      </c>
      <c r="AB4" s="3457" t="s">
        <v>2469</v>
      </c>
      <c r="AC4" s="3426" t="s">
        <v>2470</v>
      </c>
    </row>
    <row r="5" spans="1:29" x14ac:dyDescent="0.2">
      <c r="A5" s="364"/>
      <c r="B5" s="365"/>
      <c r="C5" s="3453" t="s">
        <v>3304</v>
      </c>
      <c r="D5" s="3454"/>
      <c r="E5" s="3447" t="s">
        <v>3307</v>
      </c>
      <c r="F5" s="3448"/>
      <c r="G5" s="3447" t="s">
        <v>3305</v>
      </c>
      <c r="H5" s="3448"/>
      <c r="I5" s="3447" t="s">
        <v>3306</v>
      </c>
      <c r="J5" s="3448"/>
      <c r="K5" s="567"/>
      <c r="L5" s="2944"/>
      <c r="M5" s="2945"/>
      <c r="N5" s="2945"/>
      <c r="O5" s="2945"/>
      <c r="P5" s="3435"/>
      <c r="Q5" s="3436"/>
      <c r="R5" s="3441"/>
      <c r="S5" s="3442"/>
      <c r="T5" s="3441"/>
      <c r="U5" s="3442"/>
      <c r="V5" s="3446"/>
      <c r="W5" s="3446"/>
      <c r="X5" s="1541"/>
      <c r="Y5" s="3441"/>
      <c r="Z5" s="3442"/>
      <c r="AA5" s="3458"/>
      <c r="AB5" s="3458"/>
      <c r="AC5" s="3427"/>
    </row>
    <row r="6" spans="1:29" ht="15" thickBot="1" x14ac:dyDescent="0.25">
      <c r="A6" s="366"/>
      <c r="B6" s="367"/>
      <c r="C6" s="3455"/>
      <c r="D6" s="3456"/>
      <c r="E6" s="3447"/>
      <c r="F6" s="3448"/>
      <c r="G6" s="3447"/>
      <c r="H6" s="3448"/>
      <c r="I6" s="3447"/>
      <c r="J6" s="3448"/>
      <c r="K6" s="567" t="s">
        <v>2368</v>
      </c>
      <c r="L6" s="2944"/>
      <c r="M6" s="2945"/>
      <c r="N6" s="2945"/>
      <c r="O6" s="2945"/>
      <c r="P6" s="3437"/>
      <c r="Q6" s="3438"/>
      <c r="R6" s="3441"/>
      <c r="S6" s="3442"/>
      <c r="T6" s="3443"/>
      <c r="U6" s="3444"/>
      <c r="V6" s="3446"/>
      <c r="W6" s="3446"/>
      <c r="X6" s="1541"/>
      <c r="Y6" s="3443"/>
      <c r="Z6" s="3444"/>
      <c r="AA6" s="3459"/>
      <c r="AB6" s="3459"/>
      <c r="AC6" s="3428"/>
    </row>
    <row r="7" spans="1:29" s="113" customFormat="1" ht="15" thickBot="1" x14ac:dyDescent="0.25">
      <c r="A7" s="368" t="s">
        <v>2369</v>
      </c>
      <c r="B7" s="369"/>
      <c r="C7" s="370">
        <f>'数据-取费表'!B2</f>
        <v>44606</v>
      </c>
      <c r="D7" s="371">
        <v>100</v>
      </c>
      <c r="E7" s="3182">
        <f>C7</f>
        <v>44606</v>
      </c>
      <c r="F7" s="607">
        <f>SUMIF(59:59,YEAR(E7)&amp;"-"&amp;MONTH(E7),60:60)</f>
        <v>100</v>
      </c>
      <c r="G7" s="3182">
        <f>C7</f>
        <v>44606</v>
      </c>
      <c r="H7" s="606">
        <f>SUMIF(59:59,YEAR(G7)&amp;"-"&amp;MONTH(G7),60:60)</f>
        <v>100</v>
      </c>
      <c r="I7" s="3182">
        <f>C7</f>
        <v>44606</v>
      </c>
      <c r="J7" s="606">
        <f>SUMIF(59:59,YEAR(I7)&amp;"-"&amp;MONTH(I7),60:60)</f>
        <v>100</v>
      </c>
      <c r="K7" s="568"/>
      <c r="L7" s="2946"/>
      <c r="M7" s="2947"/>
      <c r="N7" s="2947"/>
      <c r="O7" s="2947"/>
      <c r="P7" s="3449" t="s">
        <v>2370</v>
      </c>
      <c r="Q7" s="3452"/>
      <c r="R7" s="710" t="s">
        <v>17</v>
      </c>
      <c r="S7" s="711">
        <f t="shared" ref="S7:S15" si="0">F7</f>
        <v>100</v>
      </c>
      <c r="T7" s="710" t="s">
        <v>17</v>
      </c>
      <c r="U7" s="711">
        <f t="shared" ref="U7:U15" si="1">H7</f>
        <v>100</v>
      </c>
      <c r="V7" s="710" t="s">
        <v>17</v>
      </c>
      <c r="W7" s="711">
        <f t="shared" ref="W7:W15" si="2">J7</f>
        <v>100</v>
      </c>
      <c r="X7" s="712"/>
      <c r="Y7" s="3451" t="s">
        <v>2370</v>
      </c>
      <c r="Z7" s="3450"/>
      <c r="AA7" s="713">
        <f>D7/F7</f>
        <v>1</v>
      </c>
      <c r="AB7" s="713">
        <f>D7/H7</f>
        <v>1</v>
      </c>
      <c r="AC7" s="2147">
        <f>D7/J7</f>
        <v>1</v>
      </c>
    </row>
    <row r="8" spans="1:29" s="113" customFormat="1" ht="15" thickBot="1" x14ac:dyDescent="0.25">
      <c r="A8" s="368" t="s">
        <v>2371</v>
      </c>
      <c r="B8" s="369"/>
      <c r="C8" s="374" t="s">
        <v>2473</v>
      </c>
      <c r="D8" s="371">
        <v>100</v>
      </c>
      <c r="E8" s="374" t="s">
        <v>3212</v>
      </c>
      <c r="F8" s="3126">
        <f>SUMIF(62:62,E8,63:63)-SUMIF(62:62,C8,63:63)+100</f>
        <v>102</v>
      </c>
      <c r="G8" s="374" t="s">
        <v>3212</v>
      </c>
      <c r="H8" s="371">
        <f>SUMIF(62:62,G8,63:63)-SUMIF(62:62,C8,63:63)+100</f>
        <v>102</v>
      </c>
      <c r="I8" s="374" t="s">
        <v>3212</v>
      </c>
      <c r="J8" s="371">
        <f>SUMIF(62:62,I8,63:63)-SUMIF(62:62,C8,63:63)+100</f>
        <v>102</v>
      </c>
      <c r="K8" s="568"/>
      <c r="L8" s="2946"/>
      <c r="M8" s="2947"/>
      <c r="N8" s="2947"/>
      <c r="O8" s="2947"/>
      <c r="P8" s="3449" t="s">
        <v>2373</v>
      </c>
      <c r="Q8" s="3450"/>
      <c r="R8" s="710" t="s">
        <v>17</v>
      </c>
      <c r="S8" s="711">
        <f t="shared" si="0"/>
        <v>102</v>
      </c>
      <c r="T8" s="710" t="s">
        <v>17</v>
      </c>
      <c r="U8" s="711">
        <f t="shared" si="1"/>
        <v>102</v>
      </c>
      <c r="V8" s="710" t="s">
        <v>17</v>
      </c>
      <c r="W8" s="711">
        <f t="shared" si="2"/>
        <v>102</v>
      </c>
      <c r="X8" s="712"/>
      <c r="Y8" s="3451" t="s">
        <v>2373</v>
      </c>
      <c r="Z8" s="3450"/>
      <c r="AA8" s="713">
        <f t="shared" ref="AA8:AA47" si="3">D8/F8</f>
        <v>0.98039215686274506</v>
      </c>
      <c r="AB8" s="713">
        <f t="shared" ref="AB8:AB47" si="4">D8/H8</f>
        <v>0.98039215686274506</v>
      </c>
      <c r="AC8" s="2147">
        <f t="shared" ref="AC8:AC47" si="5">D8/J8</f>
        <v>0.98039215686274506</v>
      </c>
    </row>
    <row r="9" spans="1:29" s="113" customFormat="1" x14ac:dyDescent="0.2">
      <c r="A9" s="375" t="s">
        <v>2374</v>
      </c>
      <c r="B9" s="67" t="s">
        <v>2375</v>
      </c>
      <c r="C9" s="3123" t="s">
        <v>3214</v>
      </c>
      <c r="D9" s="131">
        <v>100</v>
      </c>
      <c r="E9" s="379" t="s">
        <v>27</v>
      </c>
      <c r="F9" s="131">
        <f>SUMIF(64:64,E9,65:65)-SUMIF(64:64,C9,65:65)+100</f>
        <v>100</v>
      </c>
      <c r="G9" s="377" t="s">
        <v>27</v>
      </c>
      <c r="H9" s="131">
        <f>SUMIF(64:64,G9,65:65)-SUMIF(64:64,C9,65:65)+100</f>
        <v>100</v>
      </c>
      <c r="I9" s="377" t="s">
        <v>27</v>
      </c>
      <c r="J9" s="131">
        <f>SUMIF(64:64,I9,65:65)-SUMIF(64:64,C9,65:65)+100</f>
        <v>100</v>
      </c>
      <c r="K9" s="568"/>
      <c r="L9" s="2946"/>
      <c r="M9" s="2947"/>
      <c r="N9" s="2947"/>
      <c r="O9" s="2947"/>
      <c r="P9" s="3410" t="s">
        <v>2376</v>
      </c>
      <c r="Q9" s="1529" t="str">
        <f t="shared" ref="Q9:Q15" si="6">B9</f>
        <v>用途</v>
      </c>
      <c r="R9" s="710" t="s">
        <v>17</v>
      </c>
      <c r="S9" s="711">
        <f t="shared" si="0"/>
        <v>100</v>
      </c>
      <c r="T9" s="710" t="s">
        <v>17</v>
      </c>
      <c r="U9" s="711">
        <f t="shared" si="1"/>
        <v>100</v>
      </c>
      <c r="V9" s="710" t="s">
        <v>17</v>
      </c>
      <c r="W9" s="711">
        <f t="shared" si="2"/>
        <v>100</v>
      </c>
      <c r="X9" s="712"/>
      <c r="Y9" s="3311" t="s">
        <v>2377</v>
      </c>
      <c r="Z9" s="55" t="str">
        <f t="shared" ref="Z9:Z15" si="7">Q9</f>
        <v>用途</v>
      </c>
      <c r="AA9" s="713">
        <f t="shared" si="3"/>
        <v>1</v>
      </c>
      <c r="AB9" s="713">
        <f t="shared" si="4"/>
        <v>1</v>
      </c>
      <c r="AC9" s="2147">
        <f t="shared" si="5"/>
        <v>1</v>
      </c>
    </row>
    <row r="10" spans="1:29" s="386" customFormat="1" ht="29" thickBot="1" x14ac:dyDescent="0.25">
      <c r="A10" s="380"/>
      <c r="B10" s="381" t="s">
        <v>2378</v>
      </c>
      <c r="C10" s="382" t="s">
        <v>3308</v>
      </c>
      <c r="D10" s="132">
        <v>100</v>
      </c>
      <c r="E10" s="382" t="s">
        <v>3308</v>
      </c>
      <c r="F10" s="132">
        <f>SUMIF(66:66,E10,67:67)-SUMIF(66:66,C10,67:67)+100</f>
        <v>100</v>
      </c>
      <c r="G10" s="382" t="s">
        <v>3308</v>
      </c>
      <c r="H10" s="132">
        <f>SUMIF(66:66,G10,67:67)-SUMIF(66:66,C10,67:67)+100</f>
        <v>100</v>
      </c>
      <c r="I10" s="382" t="s">
        <v>3308</v>
      </c>
      <c r="J10" s="132">
        <f>SUMIF(66:66,I10,67:67)-SUMIF(66:66,C10,67:67)+100</f>
        <v>100</v>
      </c>
      <c r="K10" s="569">
        <v>0</v>
      </c>
      <c r="L10" s="2948"/>
      <c r="M10" s="2949"/>
      <c r="N10" s="2949"/>
      <c r="O10" s="2949"/>
      <c r="P10" s="3410"/>
      <c r="Q10" s="1529"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2147">
        <f t="shared" si="5"/>
        <v>1</v>
      </c>
    </row>
    <row r="11" spans="1:29" ht="16" hidden="1" x14ac:dyDescent="0.2">
      <c r="A11" s="387"/>
      <c r="B11" s="381" t="s">
        <v>2379</v>
      </c>
      <c r="C11" s="388">
        <v>2.5</v>
      </c>
      <c r="D11" s="132">
        <v>100</v>
      </c>
      <c r="E11" s="388">
        <f>C11</f>
        <v>2.5</v>
      </c>
      <c r="F11" s="132">
        <f>LOOKUP(E11,69:69,70:70)-LOOKUP(C11,69:69,70:70)+100</f>
        <v>100</v>
      </c>
      <c r="G11" s="389">
        <f>C11</f>
        <v>2.5</v>
      </c>
      <c r="H11" s="132">
        <f>LOOKUP(G11,69:69,70:70)-LOOKUP(C11,69:69,70:70)+100</f>
        <v>100</v>
      </c>
      <c r="I11" s="388">
        <f>C11</f>
        <v>2.5</v>
      </c>
      <c r="J11" s="132">
        <f>LOOKUP(I11,69:69,70:70)-LOOKUP(C11,69:69,70:70)+100</f>
        <v>100</v>
      </c>
      <c r="K11" s="569"/>
      <c r="L11" s="2950"/>
      <c r="M11" s="2945"/>
      <c r="N11" s="2945"/>
      <c r="O11" s="2945"/>
      <c r="P11" s="3410"/>
      <c r="Q11" s="1529" t="str">
        <f t="shared" si="6"/>
        <v>容积率</v>
      </c>
      <c r="R11" s="710" t="s">
        <v>17</v>
      </c>
      <c r="S11" s="711">
        <f t="shared" si="0"/>
        <v>100</v>
      </c>
      <c r="T11" s="710" t="s">
        <v>17</v>
      </c>
      <c r="U11" s="711">
        <f t="shared" si="1"/>
        <v>100</v>
      </c>
      <c r="V11" s="710" t="s">
        <v>17</v>
      </c>
      <c r="W11" s="711">
        <f t="shared" si="2"/>
        <v>100</v>
      </c>
      <c r="X11" s="712"/>
      <c r="Y11" s="3311"/>
      <c r="Z11" s="55" t="str">
        <f t="shared" si="7"/>
        <v>容积率</v>
      </c>
      <c r="AA11" s="713">
        <f t="shared" si="3"/>
        <v>1</v>
      </c>
      <c r="AB11" s="713">
        <f t="shared" si="4"/>
        <v>1</v>
      </c>
      <c r="AC11" s="2147">
        <f t="shared" si="5"/>
        <v>1</v>
      </c>
    </row>
    <row r="12" spans="1:29" s="113" customFormat="1" ht="16" hidden="1" x14ac:dyDescent="0.2">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410"/>
      <c r="Q12" s="1529">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2147">
        <f>D12/J12</f>
        <v>1</v>
      </c>
    </row>
    <row r="13" spans="1:29" ht="16" hidden="1" x14ac:dyDescent="0.2">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410"/>
      <c r="Q13" s="1529">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2147">
        <f t="shared" si="5"/>
        <v>1</v>
      </c>
    </row>
    <row r="14" spans="1:29" ht="17" hidden="1" thickBot="1" x14ac:dyDescent="0.25">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410"/>
      <c r="Q14" s="1529">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2147">
        <f t="shared" si="5"/>
        <v>1</v>
      </c>
    </row>
    <row r="15" spans="1:29" ht="56" x14ac:dyDescent="0.2">
      <c r="A15" s="399" t="s">
        <v>2380</v>
      </c>
      <c r="B15" s="3183" t="str">
        <f>估价对象房地状况!B4</f>
        <v>商业繁华度</v>
      </c>
      <c r="C15" s="2151" t="s">
        <v>3253</v>
      </c>
      <c r="D15" s="400">
        <v>100</v>
      </c>
      <c r="E15" s="403"/>
      <c r="F15" s="400">
        <f>SUMIF(77:77,E16,78:78)-SUMIF(77:77,C16,78:78)+100</f>
        <v>100</v>
      </c>
      <c r="G15" s="401"/>
      <c r="H15" s="400">
        <f>SUMIF(77:77,G16,78:78)-SUMIF(77:77,C16,78:78)+100</f>
        <v>100</v>
      </c>
      <c r="I15" s="401"/>
      <c r="J15" s="400">
        <f>SUMIF(77:77,I16,78:78)-SUMIF(77:77,C16,78:78)+100</f>
        <v>100</v>
      </c>
      <c r="K15" s="571">
        <v>2</v>
      </c>
      <c r="L15" s="2951"/>
      <c r="M15" s="2945"/>
      <c r="N15" s="2945"/>
      <c r="O15" s="2945"/>
      <c r="P15" s="3416" t="s">
        <v>2381</v>
      </c>
      <c r="Q15" s="1538" t="str">
        <f t="shared" si="6"/>
        <v>商业繁华度</v>
      </c>
      <c r="R15" s="714" t="s">
        <v>17</v>
      </c>
      <c r="S15" s="715">
        <f t="shared" si="0"/>
        <v>100</v>
      </c>
      <c r="T15" s="714" t="s">
        <v>17</v>
      </c>
      <c r="U15" s="715">
        <f t="shared" si="1"/>
        <v>100</v>
      </c>
      <c r="V15" s="714" t="s">
        <v>17</v>
      </c>
      <c r="W15" s="715">
        <f t="shared" si="2"/>
        <v>100</v>
      </c>
      <c r="X15" s="1541"/>
      <c r="Y15" s="3418" t="s">
        <v>2381</v>
      </c>
      <c r="Z15" s="1542" t="str">
        <f t="shared" si="7"/>
        <v>商业繁华度</v>
      </c>
      <c r="AA15" s="1539">
        <f t="shared" si="3"/>
        <v>1</v>
      </c>
      <c r="AB15" s="1539">
        <f t="shared" si="4"/>
        <v>1</v>
      </c>
      <c r="AC15" s="2150">
        <f t="shared" si="5"/>
        <v>1</v>
      </c>
    </row>
    <row r="16" spans="1:29" ht="16" x14ac:dyDescent="0.2">
      <c r="A16" s="387"/>
      <c r="B16" s="586"/>
      <c r="C16" s="2092" t="s">
        <v>3209</v>
      </c>
      <c r="D16" s="407"/>
      <c r="E16" s="2092" t="s">
        <v>3209</v>
      </c>
      <c r="F16" s="407"/>
      <c r="G16" s="2092" t="s">
        <v>3209</v>
      </c>
      <c r="H16" s="409"/>
      <c r="I16" s="2092" t="s">
        <v>3209</v>
      </c>
      <c r="J16" s="407"/>
      <c r="K16" s="572"/>
      <c r="L16" s="2951"/>
      <c r="M16" s="2945"/>
      <c r="N16" s="2945"/>
      <c r="O16" s="2945"/>
      <c r="P16" s="3417"/>
      <c r="Q16" s="1538"/>
      <c r="R16" s="714"/>
      <c r="S16" s="715"/>
      <c r="T16" s="714"/>
      <c r="U16" s="715"/>
      <c r="V16" s="714"/>
      <c r="W16" s="715"/>
      <c r="X16" s="1541"/>
      <c r="Y16" s="3419"/>
      <c r="Z16" s="1542"/>
      <c r="AA16" s="1539">
        <v>1</v>
      </c>
      <c r="AB16" s="1539">
        <v>1</v>
      </c>
      <c r="AC16" s="2150">
        <v>1</v>
      </c>
    </row>
    <row r="17" spans="1:29" ht="70" x14ac:dyDescent="0.2">
      <c r="A17" s="387"/>
      <c r="B17" s="587" t="s">
        <v>1945</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51"/>
      <c r="M17" s="2945"/>
      <c r="N17" s="2945"/>
      <c r="O17" s="2945"/>
      <c r="P17" s="3417"/>
      <c r="Q17" s="1538" t="str">
        <f>B17</f>
        <v>交通便捷度</v>
      </c>
      <c r="R17" s="714" t="s">
        <v>17</v>
      </c>
      <c r="S17" s="715">
        <f>F17</f>
        <v>100</v>
      </c>
      <c r="T17" s="714" t="s">
        <v>17</v>
      </c>
      <c r="U17" s="715">
        <f>H17</f>
        <v>100</v>
      </c>
      <c r="V17" s="714" t="s">
        <v>17</v>
      </c>
      <c r="W17" s="715">
        <f>J17</f>
        <v>100</v>
      </c>
      <c r="X17" s="1541"/>
      <c r="Y17" s="3419"/>
      <c r="Z17" s="1542" t="str">
        <f>Q17</f>
        <v>交通便捷度</v>
      </c>
      <c r="AA17" s="1539">
        <f t="shared" si="3"/>
        <v>1</v>
      </c>
      <c r="AB17" s="1539">
        <f t="shared" si="4"/>
        <v>1</v>
      </c>
      <c r="AC17" s="2150">
        <f t="shared" si="5"/>
        <v>1</v>
      </c>
    </row>
    <row r="18" spans="1:29" ht="16" x14ac:dyDescent="0.2">
      <c r="A18" s="387"/>
      <c r="B18" s="588"/>
      <c r="C18" s="2092" t="s">
        <v>3209</v>
      </c>
      <c r="D18" s="409"/>
      <c r="E18" s="2092" t="s">
        <v>3209</v>
      </c>
      <c r="F18" s="409"/>
      <c r="G18" s="2092" t="s">
        <v>3209</v>
      </c>
      <c r="H18" s="407"/>
      <c r="I18" s="2092" t="s">
        <v>3209</v>
      </c>
      <c r="J18" s="407"/>
      <c r="K18" s="572"/>
      <c r="L18" s="2951"/>
      <c r="M18" s="2945"/>
      <c r="N18" s="2945"/>
      <c r="O18" s="2945"/>
      <c r="P18" s="3417"/>
      <c r="Q18" s="1538"/>
      <c r="R18" s="714"/>
      <c r="S18" s="715"/>
      <c r="T18" s="714"/>
      <c r="U18" s="715"/>
      <c r="V18" s="714"/>
      <c r="W18" s="715"/>
      <c r="X18" s="1541"/>
      <c r="Y18" s="3419"/>
      <c r="Z18" s="1542"/>
      <c r="AA18" s="1539">
        <v>1</v>
      </c>
      <c r="AB18" s="1539">
        <v>1</v>
      </c>
      <c r="AC18" s="2150">
        <v>1</v>
      </c>
    </row>
    <row r="19" spans="1:29" ht="28" x14ac:dyDescent="0.2">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1"/>
      <c r="M19" s="2945"/>
      <c r="N19" s="2945"/>
      <c r="O19" s="2945"/>
      <c r="P19" s="3417"/>
      <c r="Q19" s="1538" t="str">
        <f>B19</f>
        <v>公共配套设施</v>
      </c>
      <c r="R19" s="714" t="s">
        <v>17</v>
      </c>
      <c r="S19" s="715">
        <f>F19</f>
        <v>100</v>
      </c>
      <c r="T19" s="714" t="s">
        <v>17</v>
      </c>
      <c r="U19" s="715">
        <f>H19</f>
        <v>100</v>
      </c>
      <c r="V19" s="714" t="s">
        <v>17</v>
      </c>
      <c r="W19" s="715">
        <f>J19</f>
        <v>100</v>
      </c>
      <c r="X19" s="1541"/>
      <c r="Y19" s="3419"/>
      <c r="Z19" s="1542" t="str">
        <f>Q19</f>
        <v>公共配套设施</v>
      </c>
      <c r="AA19" s="1539">
        <f t="shared" si="3"/>
        <v>1</v>
      </c>
      <c r="AB19" s="1539">
        <f t="shared" si="4"/>
        <v>1</v>
      </c>
      <c r="AC19" s="2150">
        <f t="shared" si="5"/>
        <v>1</v>
      </c>
    </row>
    <row r="20" spans="1:29" ht="16" x14ac:dyDescent="0.2">
      <c r="A20" s="387"/>
      <c r="B20" s="588"/>
      <c r="C20" s="2092" t="s">
        <v>3209</v>
      </c>
      <c r="D20" s="407"/>
      <c r="E20" s="2092" t="s">
        <v>3209</v>
      </c>
      <c r="F20" s="407"/>
      <c r="G20" s="2092" t="s">
        <v>3209</v>
      </c>
      <c r="H20" s="407"/>
      <c r="I20" s="2092" t="s">
        <v>3209</v>
      </c>
      <c r="J20" s="407"/>
      <c r="K20" s="572"/>
      <c r="L20" s="2951"/>
      <c r="M20" s="2945"/>
      <c r="N20" s="2945"/>
      <c r="O20" s="2945"/>
      <c r="P20" s="3417"/>
      <c r="Q20" s="1538"/>
      <c r="R20" s="714"/>
      <c r="S20" s="715"/>
      <c r="T20" s="714"/>
      <c r="U20" s="715"/>
      <c r="V20" s="714"/>
      <c r="W20" s="715"/>
      <c r="X20" s="1541"/>
      <c r="Y20" s="3419"/>
      <c r="Z20" s="1542"/>
      <c r="AA20" s="1539">
        <v>1</v>
      </c>
      <c r="AB20" s="1539">
        <v>1</v>
      </c>
      <c r="AC20" s="2150">
        <v>1</v>
      </c>
    </row>
    <row r="21" spans="1:29" ht="28" x14ac:dyDescent="0.2">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417"/>
      <c r="Q21" s="1538" t="str">
        <f>B21</f>
        <v>基础设施水平</v>
      </c>
      <c r="R21" s="714" t="s">
        <v>17</v>
      </c>
      <c r="S21" s="715">
        <f>F21</f>
        <v>100</v>
      </c>
      <c r="T21" s="714" t="s">
        <v>17</v>
      </c>
      <c r="U21" s="715">
        <f>H21</f>
        <v>100</v>
      </c>
      <c r="V21" s="714" t="s">
        <v>17</v>
      </c>
      <c r="W21" s="715">
        <f>J21</f>
        <v>100</v>
      </c>
      <c r="X21" s="1541"/>
      <c r="Y21" s="3419"/>
      <c r="Z21" s="1542" t="str">
        <f>Q21</f>
        <v>基础设施水平</v>
      </c>
      <c r="AA21" s="1539">
        <f t="shared" ref="AA21" si="8">D21/F21</f>
        <v>1</v>
      </c>
      <c r="AB21" s="1539">
        <f t="shared" ref="AB21" si="9">D21/H21</f>
        <v>1</v>
      </c>
      <c r="AC21" s="2150">
        <f t="shared" ref="AC21" si="10">D21/J21</f>
        <v>1</v>
      </c>
    </row>
    <row r="22" spans="1:29" ht="16" x14ac:dyDescent="0.2">
      <c r="A22" s="387"/>
      <c r="B22" s="589"/>
      <c r="C22" s="2152" t="s">
        <v>3216</v>
      </c>
      <c r="D22" s="407"/>
      <c r="E22" s="2152" t="s">
        <v>3216</v>
      </c>
      <c r="F22" s="407"/>
      <c r="G22" s="2152" t="s">
        <v>3216</v>
      </c>
      <c r="H22" s="407"/>
      <c r="I22" s="2152" t="s">
        <v>3216</v>
      </c>
      <c r="J22" s="407"/>
      <c r="K22" s="1292"/>
      <c r="L22" s="2951"/>
      <c r="M22" s="2945"/>
      <c r="N22" s="2945"/>
      <c r="O22" s="2945"/>
      <c r="P22" s="3417"/>
      <c r="Q22" s="1538"/>
      <c r="R22" s="714"/>
      <c r="S22" s="715"/>
      <c r="T22" s="714"/>
      <c r="U22" s="715"/>
      <c r="V22" s="714"/>
      <c r="W22" s="715"/>
      <c r="X22" s="1541"/>
      <c r="Y22" s="3419"/>
      <c r="Z22" s="1542"/>
      <c r="AA22" s="1539">
        <v>1</v>
      </c>
      <c r="AB22" s="1539">
        <v>1</v>
      </c>
      <c r="AC22" s="2150">
        <v>1</v>
      </c>
    </row>
    <row r="23" spans="1:29" ht="42" x14ac:dyDescent="0.2">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1"/>
      <c r="M23" s="2945"/>
      <c r="N23" s="2945"/>
      <c r="O23" s="2945"/>
      <c r="P23" s="3417"/>
      <c r="Q23" s="1538" t="str">
        <f>B23</f>
        <v>环境质量</v>
      </c>
      <c r="R23" s="714" t="s">
        <v>17</v>
      </c>
      <c r="S23" s="715">
        <f>F23</f>
        <v>100</v>
      </c>
      <c r="T23" s="714" t="s">
        <v>17</v>
      </c>
      <c r="U23" s="715">
        <f>H23</f>
        <v>100</v>
      </c>
      <c r="V23" s="714" t="s">
        <v>17</v>
      </c>
      <c r="W23" s="715">
        <f>J23</f>
        <v>100</v>
      </c>
      <c r="X23" s="1541"/>
      <c r="Y23" s="3419"/>
      <c r="Z23" s="1542" t="str">
        <f>Q23</f>
        <v>环境质量</v>
      </c>
      <c r="AA23" s="1539">
        <f t="shared" si="3"/>
        <v>1</v>
      </c>
      <c r="AB23" s="1539">
        <f t="shared" si="4"/>
        <v>1</v>
      </c>
      <c r="AC23" s="2150">
        <f t="shared" si="5"/>
        <v>1</v>
      </c>
    </row>
    <row r="24" spans="1:29" ht="16" x14ac:dyDescent="0.2">
      <c r="A24" s="387"/>
      <c r="B24" s="589"/>
      <c r="C24" s="2092" t="s">
        <v>3209</v>
      </c>
      <c r="D24" s="407"/>
      <c r="E24" s="2092" t="s">
        <v>3209</v>
      </c>
      <c r="F24" s="407"/>
      <c r="G24" s="2092" t="s">
        <v>3209</v>
      </c>
      <c r="H24" s="407"/>
      <c r="I24" s="2092" t="s">
        <v>3209</v>
      </c>
      <c r="J24" s="407"/>
      <c r="K24" s="572"/>
      <c r="L24" s="2951"/>
      <c r="M24" s="2945"/>
      <c r="N24" s="2945"/>
      <c r="O24" s="2945"/>
      <c r="P24" s="3417"/>
      <c r="Q24" s="1538"/>
      <c r="R24" s="714"/>
      <c r="S24" s="715"/>
      <c r="T24" s="714"/>
      <c r="U24" s="715"/>
      <c r="V24" s="714"/>
      <c r="W24" s="715"/>
      <c r="X24" s="1541"/>
      <c r="Y24" s="3419"/>
      <c r="Z24" s="1542"/>
      <c r="AA24" s="1539">
        <v>1</v>
      </c>
      <c r="AB24" s="1539">
        <v>1</v>
      </c>
      <c r="AC24" s="2150">
        <v>1</v>
      </c>
    </row>
    <row r="25" spans="1:29" ht="28" x14ac:dyDescent="0.2">
      <c r="A25" s="364"/>
      <c r="B25" s="587" t="s">
        <v>2512</v>
      </c>
      <c r="C25" s="3131"/>
      <c r="D25" s="394">
        <v>100</v>
      </c>
      <c r="E25" s="3131"/>
      <c r="F25" s="394">
        <f>SUMIF(87:87,E26,88:88)-SUMIF(87:87,C26,88:88)+100</f>
        <v>100</v>
      </c>
      <c r="G25" s="3131"/>
      <c r="H25" s="394">
        <f>SUMIF(87:87,G26,88:88)-SUMIF(87:87,C26,88:88)+100</f>
        <v>100</v>
      </c>
      <c r="I25" s="3131"/>
      <c r="J25" s="394">
        <f>SUMIF(87:87,I26,88:88)-SUMIF(87:87,C26,88:88)+100</f>
        <v>100</v>
      </c>
      <c r="K25" s="571">
        <v>2</v>
      </c>
      <c r="L25" s="2951"/>
      <c r="M25" s="2945"/>
      <c r="N25" s="2945"/>
      <c r="O25" s="2945"/>
      <c r="P25" s="3417"/>
      <c r="Q25" s="1538" t="str">
        <f>B25</f>
        <v>毗邻道路的类型与等级</v>
      </c>
      <c r="R25" s="714" t="s">
        <v>17</v>
      </c>
      <c r="S25" s="715">
        <f>F25</f>
        <v>100</v>
      </c>
      <c r="T25" s="714" t="s">
        <v>17</v>
      </c>
      <c r="U25" s="715">
        <f>H25</f>
        <v>100</v>
      </c>
      <c r="V25" s="714" t="s">
        <v>17</v>
      </c>
      <c r="W25" s="715">
        <f>J25</f>
        <v>100</v>
      </c>
      <c r="X25" s="1541"/>
      <c r="Y25" s="3419"/>
      <c r="Z25" s="1542" t="str">
        <f>Q25</f>
        <v>毗邻道路的类型与等级</v>
      </c>
      <c r="AA25" s="1539">
        <f t="shared" si="3"/>
        <v>1</v>
      </c>
      <c r="AB25" s="1539">
        <f t="shared" si="4"/>
        <v>1</v>
      </c>
      <c r="AC25" s="2150">
        <f t="shared" si="5"/>
        <v>1</v>
      </c>
    </row>
    <row r="26" spans="1:29" ht="16" x14ac:dyDescent="0.2">
      <c r="A26" s="364"/>
      <c r="B26" s="588"/>
      <c r="C26" s="590" t="s">
        <v>3219</v>
      </c>
      <c r="D26" s="394"/>
      <c r="E26" s="590" t="s">
        <v>3219</v>
      </c>
      <c r="F26" s="394"/>
      <c r="G26" s="590" t="s">
        <v>3219</v>
      </c>
      <c r="H26" s="394"/>
      <c r="I26" s="590" t="s">
        <v>3219</v>
      </c>
      <c r="J26" s="394"/>
      <c r="K26" s="572"/>
      <c r="L26" s="2951"/>
      <c r="M26" s="2945"/>
      <c r="N26" s="2945"/>
      <c r="O26" s="2945"/>
      <c r="P26" s="3417"/>
      <c r="Q26" s="1538"/>
      <c r="R26" s="714"/>
      <c r="S26" s="715"/>
      <c r="T26" s="714"/>
      <c r="U26" s="715"/>
      <c r="V26" s="714"/>
      <c r="W26" s="715"/>
      <c r="X26" s="1541"/>
      <c r="Y26" s="3419"/>
      <c r="Z26" s="1542"/>
      <c r="AA26" s="1539">
        <v>1</v>
      </c>
      <c r="AB26" s="1539">
        <v>1</v>
      </c>
      <c r="AC26" s="2150">
        <v>1</v>
      </c>
    </row>
    <row r="27" spans="1:29" ht="16" hidden="1" x14ac:dyDescent="0.2">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17"/>
      <c r="Q27" s="1538" t="str">
        <f t="shared" ref="Q27:Q47" si="11">B27</f>
        <v>楼层</v>
      </c>
      <c r="R27" s="714" t="s">
        <v>17</v>
      </c>
      <c r="S27" s="715">
        <f>F27</f>
        <v>100</v>
      </c>
      <c r="T27" s="714" t="s">
        <v>17</v>
      </c>
      <c r="U27" s="715">
        <f>H27</f>
        <v>100</v>
      </c>
      <c r="V27" s="714" t="s">
        <v>17</v>
      </c>
      <c r="W27" s="715">
        <f>J27</f>
        <v>100</v>
      </c>
      <c r="X27" s="1541"/>
      <c r="Y27" s="3419"/>
      <c r="Z27" s="1542" t="str">
        <f>Q27</f>
        <v>楼层</v>
      </c>
      <c r="AA27" s="1539">
        <f t="shared" si="3"/>
        <v>1</v>
      </c>
      <c r="AB27" s="1539">
        <f t="shared" si="4"/>
        <v>1</v>
      </c>
      <c r="AC27" s="2150">
        <f t="shared" si="5"/>
        <v>1</v>
      </c>
    </row>
    <row r="28" spans="1:29" s="113" customFormat="1" ht="16" hidden="1" x14ac:dyDescent="0.2">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417"/>
      <c r="Q28" s="1529" t="str">
        <f t="shared" si="11"/>
        <v>朝向</v>
      </c>
      <c r="R28" s="710" t="s">
        <v>17</v>
      </c>
      <c r="S28" s="711">
        <f>F28</f>
        <v>100</v>
      </c>
      <c r="T28" s="710" t="s">
        <v>17</v>
      </c>
      <c r="U28" s="711">
        <f>H28</f>
        <v>100</v>
      </c>
      <c r="V28" s="710" t="s">
        <v>17</v>
      </c>
      <c r="W28" s="711">
        <f>J28</f>
        <v>100</v>
      </c>
      <c r="X28" s="712"/>
      <c r="Y28" s="3419"/>
      <c r="Z28" s="55" t="str">
        <f>Q28</f>
        <v>朝向</v>
      </c>
      <c r="AA28" s="1539">
        <f>D28/F28</f>
        <v>1</v>
      </c>
      <c r="AB28" s="1539">
        <f>D28/H28</f>
        <v>1</v>
      </c>
      <c r="AC28" s="2150">
        <f>D28/J28</f>
        <v>1</v>
      </c>
    </row>
    <row r="29" spans="1:29" ht="17" thickBot="1" x14ac:dyDescent="0.25">
      <c r="A29" s="387"/>
      <c r="B29" s="3125" t="s">
        <v>3217</v>
      </c>
      <c r="C29" s="3132" t="s">
        <v>3309</v>
      </c>
      <c r="D29" s="394">
        <v>100</v>
      </c>
      <c r="E29" s="3216" t="s">
        <v>3310</v>
      </c>
      <c r="F29" s="394">
        <f>SUMIF(93:93,E29,94:94)-SUMIF(93:93,C29,94:94)+100</f>
        <v>102</v>
      </c>
      <c r="G29" s="3216" t="s">
        <v>3311</v>
      </c>
      <c r="H29" s="394">
        <f>SUMIF(93:93,G29,94:94)-SUMIF(93:93,C29,94:94)+100</f>
        <v>102</v>
      </c>
      <c r="I29" s="3216" t="s">
        <v>3310</v>
      </c>
      <c r="J29" s="394">
        <f>SUMIF(93:93,I29,94:94)-SUMIF(93:93,C29,94:94)+100</f>
        <v>102</v>
      </c>
      <c r="K29" s="570"/>
      <c r="L29" s="2951"/>
      <c r="M29" s="2945"/>
      <c r="N29" s="2945"/>
      <c r="O29" s="2945"/>
      <c r="P29" s="3417"/>
      <c r="Q29" s="1538" t="str">
        <f t="shared" si="11"/>
        <v>楼层</v>
      </c>
      <c r="R29" s="714" t="s">
        <v>17</v>
      </c>
      <c r="S29" s="715">
        <f t="shared" ref="S29:S47" si="12">F29</f>
        <v>102</v>
      </c>
      <c r="T29" s="714" t="s">
        <v>17</v>
      </c>
      <c r="U29" s="715">
        <f t="shared" ref="U29:U47" si="13">H29</f>
        <v>102</v>
      </c>
      <c r="V29" s="714" t="s">
        <v>17</v>
      </c>
      <c r="W29" s="715">
        <f t="shared" ref="W29:W47" si="14">J29</f>
        <v>102</v>
      </c>
      <c r="X29" s="1541"/>
      <c r="Y29" s="3419"/>
      <c r="Z29" s="1542" t="str">
        <f t="shared" ref="Z29:Z47" si="15">Q29</f>
        <v>楼层</v>
      </c>
      <c r="AA29" s="1539">
        <f t="shared" si="3"/>
        <v>0.98039215686274506</v>
      </c>
      <c r="AB29" s="1539">
        <f t="shared" si="4"/>
        <v>0.98039215686274506</v>
      </c>
      <c r="AC29" s="2150">
        <f t="shared" si="5"/>
        <v>0.98039215686274506</v>
      </c>
    </row>
    <row r="30" spans="1:29" ht="16" hidden="1" x14ac:dyDescent="0.2">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417"/>
      <c r="Q30" s="1538">
        <f t="shared" si="11"/>
        <v>111</v>
      </c>
      <c r="R30" s="714" t="s">
        <v>17</v>
      </c>
      <c r="S30" s="715">
        <f t="shared" si="12"/>
        <v>100</v>
      </c>
      <c r="T30" s="714" t="s">
        <v>17</v>
      </c>
      <c r="U30" s="715">
        <f t="shared" si="13"/>
        <v>100</v>
      </c>
      <c r="V30" s="714" t="s">
        <v>17</v>
      </c>
      <c r="W30" s="715">
        <f t="shared" si="14"/>
        <v>100</v>
      </c>
      <c r="X30" s="1541"/>
      <c r="Y30" s="3419"/>
      <c r="Z30" s="1542">
        <f t="shared" si="15"/>
        <v>111</v>
      </c>
      <c r="AA30" s="1539">
        <f t="shared" si="3"/>
        <v>1</v>
      </c>
      <c r="AB30" s="1539">
        <f t="shared" si="4"/>
        <v>1</v>
      </c>
      <c r="AC30" s="2150">
        <f t="shared" si="5"/>
        <v>1</v>
      </c>
    </row>
    <row r="31" spans="1:29" ht="16" hidden="1" x14ac:dyDescent="0.2">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417"/>
      <c r="Q31" s="1538">
        <f t="shared" si="11"/>
        <v>111</v>
      </c>
      <c r="R31" s="714" t="s">
        <v>17</v>
      </c>
      <c r="S31" s="715">
        <f t="shared" si="12"/>
        <v>100</v>
      </c>
      <c r="T31" s="714" t="s">
        <v>17</v>
      </c>
      <c r="U31" s="715">
        <f t="shared" si="13"/>
        <v>100</v>
      </c>
      <c r="V31" s="714" t="s">
        <v>17</v>
      </c>
      <c r="W31" s="715">
        <f t="shared" si="14"/>
        <v>100</v>
      </c>
      <c r="X31" s="1541"/>
      <c r="Y31" s="3419"/>
      <c r="Z31" s="1542">
        <f t="shared" si="15"/>
        <v>111</v>
      </c>
      <c r="AA31" s="1539">
        <f t="shared" si="3"/>
        <v>1</v>
      </c>
      <c r="AB31" s="1539">
        <f t="shared" si="4"/>
        <v>1</v>
      </c>
      <c r="AC31" s="2150">
        <f t="shared" si="5"/>
        <v>1</v>
      </c>
    </row>
    <row r="32" spans="1:29" ht="17" hidden="1" thickBot="1" x14ac:dyDescent="0.25">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417"/>
      <c r="Q32" s="1538">
        <f t="shared" si="11"/>
        <v>111</v>
      </c>
      <c r="R32" s="714" t="s">
        <v>17</v>
      </c>
      <c r="S32" s="715">
        <f t="shared" si="12"/>
        <v>100</v>
      </c>
      <c r="T32" s="714" t="s">
        <v>17</v>
      </c>
      <c r="U32" s="715">
        <f t="shared" si="13"/>
        <v>100</v>
      </c>
      <c r="V32" s="714" t="s">
        <v>17</v>
      </c>
      <c r="W32" s="715">
        <f t="shared" si="14"/>
        <v>100</v>
      </c>
      <c r="X32" s="1541"/>
      <c r="Y32" s="3419"/>
      <c r="Z32" s="1542">
        <f t="shared" si="15"/>
        <v>111</v>
      </c>
      <c r="AA32" s="1539">
        <f t="shared" si="3"/>
        <v>1</v>
      </c>
      <c r="AB32" s="1539">
        <f t="shared" si="4"/>
        <v>1</v>
      </c>
      <c r="AC32" s="2150">
        <f t="shared" si="5"/>
        <v>1</v>
      </c>
    </row>
    <row r="33" spans="1:29" ht="16" x14ac:dyDescent="0.2">
      <c r="A33" s="399" t="s">
        <v>2384</v>
      </c>
      <c r="B33" s="67" t="s">
        <v>2514</v>
      </c>
      <c r="C33" s="2155" t="s">
        <v>3314</v>
      </c>
      <c r="D33" s="426">
        <v>100</v>
      </c>
      <c r="E33" s="2155" t="s">
        <v>3314</v>
      </c>
      <c r="F33" s="420">
        <f>SUMIF(101:101,E33,102:102)-SUMIF(101:101,C33,102:102)+100</f>
        <v>100</v>
      </c>
      <c r="G33" s="2155" t="s">
        <v>3314</v>
      </c>
      <c r="H33" s="394">
        <f>SUMIF(101:101,G33,102:102)-SUMIF(101:101,C33,102:102)+100</f>
        <v>100</v>
      </c>
      <c r="I33" s="2155" t="s">
        <v>3314</v>
      </c>
      <c r="J33" s="426">
        <f>SUMIF(101:101,I33,102:102)-SUMIF(101:101,C33,102:102)+100</f>
        <v>100</v>
      </c>
      <c r="K33" s="569">
        <v>6</v>
      </c>
      <c r="L33" s="2951"/>
      <c r="M33" s="2945"/>
      <c r="N33" s="2945"/>
      <c r="O33" s="2945"/>
      <c r="P33" s="3420" t="s">
        <v>2386</v>
      </c>
      <c r="Q33" s="1538" t="str">
        <f t="shared" si="11"/>
        <v>建筑类型</v>
      </c>
      <c r="R33" s="714" t="s">
        <v>17</v>
      </c>
      <c r="S33" s="715">
        <f t="shared" si="12"/>
        <v>100</v>
      </c>
      <c r="T33" s="714" t="s">
        <v>17</v>
      </c>
      <c r="U33" s="715">
        <f t="shared" si="13"/>
        <v>100</v>
      </c>
      <c r="V33" s="714" t="s">
        <v>17</v>
      </c>
      <c r="W33" s="715">
        <f t="shared" si="14"/>
        <v>100</v>
      </c>
      <c r="X33" s="1541"/>
      <c r="Y33" s="3423" t="s">
        <v>2386</v>
      </c>
      <c r="Z33" s="1542" t="str">
        <f t="shared" si="15"/>
        <v>建筑类型</v>
      </c>
      <c r="AA33" s="1539">
        <f t="shared" si="3"/>
        <v>1</v>
      </c>
      <c r="AB33" s="1539">
        <f t="shared" si="4"/>
        <v>1</v>
      </c>
      <c r="AC33" s="2150">
        <f t="shared" si="5"/>
        <v>1</v>
      </c>
    </row>
    <row r="34" spans="1:29" s="3156" customFormat="1" ht="16" hidden="1" x14ac:dyDescent="0.2">
      <c r="A34" s="3139"/>
      <c r="B34" s="3140" t="s">
        <v>2387</v>
      </c>
      <c r="C34" s="3141">
        <f>'数据-汇总表'!E3</f>
        <v>547.29</v>
      </c>
      <c r="D34" s="3142">
        <v>100</v>
      </c>
      <c r="E34" s="3143">
        <v>6100</v>
      </c>
      <c r="F34" s="3144">
        <f>LOOKUP(E34,104:104,105:105)-LOOKUP(C34,104:104,105:105)+100</f>
        <v>100</v>
      </c>
      <c r="G34" s="3145">
        <v>1000</v>
      </c>
      <c r="H34" s="3142">
        <f>LOOKUP(G34,104:104,105:105)-LOOKUP(C34,104:104,105:105)+100</f>
        <v>100</v>
      </c>
      <c r="I34" s="3145">
        <v>400</v>
      </c>
      <c r="J34" s="3142">
        <f>LOOKUP(I34,104:104,105:105)-LOOKUP(C34,104:104,105:105)+100</f>
        <v>100</v>
      </c>
      <c r="K34" s="3146"/>
      <c r="L34" s="3147"/>
      <c r="M34" s="3148"/>
      <c r="N34" s="3148"/>
      <c r="O34" s="3148"/>
      <c r="P34" s="3421"/>
      <c r="Q34" s="3149" t="str">
        <f t="shared" si="11"/>
        <v>项目建筑规模</v>
      </c>
      <c r="R34" s="3150" t="s">
        <v>17</v>
      </c>
      <c r="S34" s="3151">
        <f t="shared" si="12"/>
        <v>100</v>
      </c>
      <c r="T34" s="3150" t="s">
        <v>17</v>
      </c>
      <c r="U34" s="3151">
        <f t="shared" si="13"/>
        <v>100</v>
      </c>
      <c r="V34" s="3150" t="s">
        <v>17</v>
      </c>
      <c r="W34" s="3151">
        <f t="shared" si="14"/>
        <v>100</v>
      </c>
      <c r="X34" s="3152"/>
      <c r="Y34" s="3423"/>
      <c r="Z34" s="3153" t="str">
        <f t="shared" si="15"/>
        <v>项目建筑规模</v>
      </c>
      <c r="AA34" s="3154">
        <f t="shared" si="3"/>
        <v>1</v>
      </c>
      <c r="AB34" s="3154">
        <f t="shared" si="4"/>
        <v>1</v>
      </c>
      <c r="AC34" s="3155">
        <f t="shared" si="5"/>
        <v>1</v>
      </c>
    </row>
    <row r="35" spans="1:29" ht="16" x14ac:dyDescent="0.2">
      <c r="A35" s="431"/>
      <c r="B35" s="381" t="s">
        <v>2388</v>
      </c>
      <c r="C35" s="419" t="s">
        <v>3222</v>
      </c>
      <c r="D35" s="394">
        <v>100</v>
      </c>
      <c r="E35" s="419" t="s">
        <v>3222</v>
      </c>
      <c r="F35" s="420">
        <f>SUMIF(106:106,E35,107:107)-SUMIF(106:106,C35,107:107)+100</f>
        <v>100</v>
      </c>
      <c r="G35" s="419" t="s">
        <v>3222</v>
      </c>
      <c r="H35" s="394">
        <f>SUMIF(106:106,G35,107:107)-SUMIF(106:106,C35,107:107)+100</f>
        <v>100</v>
      </c>
      <c r="I35" s="419" t="s">
        <v>3222</v>
      </c>
      <c r="J35" s="394">
        <f>SUMIF(106:106,I35,107:107)-SUMIF(106:106,C35,107:107)+100</f>
        <v>100</v>
      </c>
      <c r="K35" s="569">
        <v>2</v>
      </c>
      <c r="L35" s="2951"/>
      <c r="M35" s="2945"/>
      <c r="N35" s="2945"/>
      <c r="O35" s="2945"/>
      <c r="P35" s="3421"/>
      <c r="Q35" s="1538" t="str">
        <f t="shared" si="11"/>
        <v>建筑结构</v>
      </c>
      <c r="R35" s="714" t="s">
        <v>17</v>
      </c>
      <c r="S35" s="715">
        <f t="shared" si="12"/>
        <v>100</v>
      </c>
      <c r="T35" s="714" t="s">
        <v>17</v>
      </c>
      <c r="U35" s="715">
        <f t="shared" si="13"/>
        <v>100</v>
      </c>
      <c r="V35" s="714" t="s">
        <v>17</v>
      </c>
      <c r="W35" s="715">
        <f t="shared" si="14"/>
        <v>100</v>
      </c>
      <c r="X35" s="1541"/>
      <c r="Y35" s="3423"/>
      <c r="Z35" s="1542" t="str">
        <f t="shared" si="15"/>
        <v>建筑结构</v>
      </c>
      <c r="AA35" s="1539">
        <f t="shared" si="3"/>
        <v>1</v>
      </c>
      <c r="AB35" s="1539">
        <f t="shared" si="4"/>
        <v>1</v>
      </c>
      <c r="AC35" s="2150">
        <f t="shared" si="5"/>
        <v>1</v>
      </c>
    </row>
    <row r="36" spans="1:29" ht="16" x14ac:dyDescent="0.2">
      <c r="A36" s="431"/>
      <c r="B36" s="381" t="s">
        <v>2482</v>
      </c>
      <c r="C36" s="419" t="s">
        <v>3224</v>
      </c>
      <c r="D36" s="394">
        <v>100</v>
      </c>
      <c r="E36" s="419" t="s">
        <v>3224</v>
      </c>
      <c r="F36" s="420">
        <f>SUMIF(108:108,E36,109:109)-SUMIF(108:108,C36,109:109)+100</f>
        <v>100</v>
      </c>
      <c r="G36" s="419" t="s">
        <v>3224</v>
      </c>
      <c r="H36" s="394">
        <f>SUMIF(108:108,G36,109:109)-SUMIF(108:108,C36,109:109)+100</f>
        <v>100</v>
      </c>
      <c r="I36" s="419" t="s">
        <v>3224</v>
      </c>
      <c r="J36" s="394">
        <f>SUMIF(108:108,I36,109:109)-SUMIF(108:108,C36,109:109)+100</f>
        <v>100</v>
      </c>
      <c r="K36" s="569">
        <v>2</v>
      </c>
      <c r="L36" s="2951"/>
      <c r="M36" s="2945"/>
      <c r="N36" s="2945"/>
      <c r="O36" s="2945"/>
      <c r="P36" s="3421"/>
      <c r="Q36" s="1538" t="str">
        <f t="shared" si="11"/>
        <v>公共部分装修</v>
      </c>
      <c r="R36" s="714" t="s">
        <v>17</v>
      </c>
      <c r="S36" s="715">
        <f t="shared" si="12"/>
        <v>100</v>
      </c>
      <c r="T36" s="714" t="s">
        <v>17</v>
      </c>
      <c r="U36" s="715">
        <f t="shared" si="13"/>
        <v>100</v>
      </c>
      <c r="V36" s="714" t="s">
        <v>17</v>
      </c>
      <c r="W36" s="715">
        <f t="shared" si="14"/>
        <v>100</v>
      </c>
      <c r="X36" s="1541"/>
      <c r="Y36" s="3423"/>
      <c r="Z36" s="1542" t="str">
        <f t="shared" si="15"/>
        <v>公共部分装修</v>
      </c>
      <c r="AA36" s="1539">
        <f t="shared" si="3"/>
        <v>1</v>
      </c>
      <c r="AB36" s="1539">
        <f t="shared" si="4"/>
        <v>1</v>
      </c>
      <c r="AC36" s="2150">
        <f t="shared" si="5"/>
        <v>1</v>
      </c>
    </row>
    <row r="37" spans="1:29" ht="16" hidden="1" x14ac:dyDescent="0.2">
      <c r="A37" s="431"/>
      <c r="B37" s="381" t="s">
        <v>2483</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51"/>
      <c r="M37" s="2945"/>
      <c r="N37" s="2945"/>
      <c r="O37" s="2945"/>
      <c r="P37" s="3421"/>
      <c r="Q37" s="1538" t="str">
        <f t="shared" si="11"/>
        <v>成新度</v>
      </c>
      <c r="R37" s="714" t="s">
        <v>17</v>
      </c>
      <c r="S37" s="715">
        <f t="shared" si="12"/>
        <v>100</v>
      </c>
      <c r="T37" s="714" t="s">
        <v>17</v>
      </c>
      <c r="U37" s="715">
        <f t="shared" si="13"/>
        <v>100</v>
      </c>
      <c r="V37" s="714" t="s">
        <v>17</v>
      </c>
      <c r="W37" s="715">
        <f t="shared" si="14"/>
        <v>100</v>
      </c>
      <c r="X37" s="1541"/>
      <c r="Y37" s="3423"/>
      <c r="Z37" s="1542" t="str">
        <f t="shared" si="15"/>
        <v>成新度</v>
      </c>
      <c r="AA37" s="1539">
        <f t="shared" si="3"/>
        <v>1</v>
      </c>
      <c r="AB37" s="1539">
        <f t="shared" si="4"/>
        <v>1</v>
      </c>
      <c r="AC37" s="2150">
        <f t="shared" si="5"/>
        <v>1</v>
      </c>
    </row>
    <row r="38" spans="1:29" s="113" customFormat="1" ht="16" hidden="1" x14ac:dyDescent="0.2">
      <c r="A38" s="432"/>
      <c r="B38" s="381" t="s">
        <v>2515</v>
      </c>
      <c r="C38" s="3134"/>
      <c r="D38" s="3135">
        <v>100</v>
      </c>
      <c r="E38" s="3134"/>
      <c r="F38" s="3136">
        <f>SUMIF(113:113,E38,114:114)-SUMIF(113:113,C38,114:114)+100</f>
        <v>100</v>
      </c>
      <c r="G38" s="3134"/>
      <c r="H38" s="3135">
        <f>SUMIF(113:113,G38,114:114)-SUMIF(113:113,C38,114:114)+100</f>
        <v>100</v>
      </c>
      <c r="I38" s="3134"/>
      <c r="J38" s="394">
        <f>SUMIF(113:113,I38,114:114)-SUMIF(113:113,C38,114:114)+100</f>
        <v>100</v>
      </c>
      <c r="K38" s="569">
        <v>1</v>
      </c>
      <c r="L38" s="2946"/>
      <c r="M38" s="2947"/>
      <c r="N38" s="2947"/>
      <c r="O38" s="2947"/>
      <c r="P38" s="3421"/>
      <c r="Q38" s="1529" t="str">
        <f t="shared" si="11"/>
        <v>写字楼等级</v>
      </c>
      <c r="R38" s="710" t="s">
        <v>17</v>
      </c>
      <c r="S38" s="711">
        <f t="shared" si="12"/>
        <v>100</v>
      </c>
      <c r="T38" s="710" t="s">
        <v>17</v>
      </c>
      <c r="U38" s="711">
        <f t="shared" si="13"/>
        <v>100</v>
      </c>
      <c r="V38" s="710" t="s">
        <v>17</v>
      </c>
      <c r="W38" s="711">
        <f t="shared" si="14"/>
        <v>100</v>
      </c>
      <c r="X38" s="712"/>
      <c r="Y38" s="3423"/>
      <c r="Z38" s="55" t="str">
        <f t="shared" si="15"/>
        <v>写字楼等级</v>
      </c>
      <c r="AA38" s="713">
        <f t="shared" si="3"/>
        <v>1</v>
      </c>
      <c r="AB38" s="713">
        <f t="shared" si="4"/>
        <v>1</v>
      </c>
      <c r="AC38" s="2147">
        <f t="shared" si="5"/>
        <v>1</v>
      </c>
    </row>
    <row r="39" spans="1:29" ht="16" hidden="1" x14ac:dyDescent="0.2">
      <c r="A39" s="431"/>
      <c r="B39" s="381" t="s">
        <v>2516</v>
      </c>
      <c r="C39" s="419" t="s">
        <v>3226</v>
      </c>
      <c r="D39" s="394">
        <v>100</v>
      </c>
      <c r="E39" s="419" t="s">
        <v>3226</v>
      </c>
      <c r="F39" s="420">
        <f>SUMIF(115:115,E39,116:116)-SUMIF(115:115,C39,116:116)+100</f>
        <v>100</v>
      </c>
      <c r="G39" s="419" t="s">
        <v>3226</v>
      </c>
      <c r="H39" s="394">
        <f>SUMIF(115:115,G39,116:116)-SUMIF(115:115,C39,116:116)+100</f>
        <v>100</v>
      </c>
      <c r="I39" s="419" t="s">
        <v>3226</v>
      </c>
      <c r="J39" s="394">
        <f>SUMIF(115:115,I39,116:116)-SUMIF(115:115,C39,116:116)+100</f>
        <v>100</v>
      </c>
      <c r="K39" s="569">
        <v>2</v>
      </c>
      <c r="L39" s="2951"/>
      <c r="M39" s="2945"/>
      <c r="N39" s="2945"/>
      <c r="O39" s="2945"/>
      <c r="P39" s="3421" t="s">
        <v>2386</v>
      </c>
      <c r="Q39" s="1538" t="str">
        <f t="shared" si="11"/>
        <v>物业管理</v>
      </c>
      <c r="R39" s="714" t="s">
        <v>17</v>
      </c>
      <c r="S39" s="715">
        <f t="shared" si="12"/>
        <v>100</v>
      </c>
      <c r="T39" s="714" t="s">
        <v>17</v>
      </c>
      <c r="U39" s="715">
        <f t="shared" si="13"/>
        <v>100</v>
      </c>
      <c r="V39" s="714" t="s">
        <v>17</v>
      </c>
      <c r="W39" s="715">
        <f t="shared" si="14"/>
        <v>100</v>
      </c>
      <c r="X39" s="1541"/>
      <c r="Y39" s="3423" t="s">
        <v>2386</v>
      </c>
      <c r="Z39" s="1542" t="str">
        <f t="shared" si="15"/>
        <v>物业管理</v>
      </c>
      <c r="AA39" s="1539">
        <f t="shared" si="3"/>
        <v>1</v>
      </c>
      <c r="AB39" s="1539">
        <f t="shared" si="4"/>
        <v>1</v>
      </c>
      <c r="AC39" s="2150">
        <f t="shared" si="5"/>
        <v>1</v>
      </c>
    </row>
    <row r="40" spans="1:29" ht="16" x14ac:dyDescent="0.2">
      <c r="A40" s="431"/>
      <c r="B40" s="381" t="s">
        <v>2484</v>
      </c>
      <c r="C40" s="419" t="s">
        <v>3216</v>
      </c>
      <c r="D40" s="394">
        <v>100</v>
      </c>
      <c r="E40" s="419" t="s">
        <v>3216</v>
      </c>
      <c r="F40" s="420">
        <f>SUMIF(117:117,E40,118:118)-SUMIF(117:117,C40,118:118)+100</f>
        <v>100</v>
      </c>
      <c r="G40" s="419" t="s">
        <v>3216</v>
      </c>
      <c r="H40" s="394">
        <f>SUMIF(117:117,G40,118:118)-SUMIF(117:117,C40,118:118)+100</f>
        <v>100</v>
      </c>
      <c r="I40" s="419" t="s">
        <v>3216</v>
      </c>
      <c r="J40" s="394">
        <f>SUMIF(117:117,I40,118:118)-SUMIF(117:117,C40,118:118)+100</f>
        <v>100</v>
      </c>
      <c r="K40" s="569">
        <v>1</v>
      </c>
      <c r="L40" s="2951"/>
      <c r="M40" s="2945"/>
      <c r="N40" s="2945"/>
      <c r="O40" s="2945"/>
      <c r="P40" s="3421"/>
      <c r="Q40" s="1538" t="str">
        <f t="shared" si="11"/>
        <v>市政基础设施</v>
      </c>
      <c r="R40" s="714" t="s">
        <v>17</v>
      </c>
      <c r="S40" s="715">
        <f t="shared" si="12"/>
        <v>100</v>
      </c>
      <c r="T40" s="714" t="s">
        <v>17</v>
      </c>
      <c r="U40" s="715">
        <f t="shared" si="13"/>
        <v>100</v>
      </c>
      <c r="V40" s="714" t="s">
        <v>17</v>
      </c>
      <c r="W40" s="715">
        <f t="shared" si="14"/>
        <v>100</v>
      </c>
      <c r="X40" s="1541"/>
      <c r="Y40" s="3423"/>
      <c r="Z40" s="1542" t="str">
        <f t="shared" si="15"/>
        <v>市政基础设施</v>
      </c>
      <c r="AA40" s="1539">
        <f t="shared" si="3"/>
        <v>1</v>
      </c>
      <c r="AB40" s="1539">
        <f t="shared" si="4"/>
        <v>1</v>
      </c>
      <c r="AC40" s="2150">
        <f t="shared" si="5"/>
        <v>1</v>
      </c>
    </row>
    <row r="41" spans="1:29" ht="16" x14ac:dyDescent="0.2">
      <c r="A41" s="431"/>
      <c r="B41" s="381" t="s">
        <v>2486</v>
      </c>
      <c r="C41" s="573" t="s">
        <v>3230</v>
      </c>
      <c r="D41" s="394">
        <v>100</v>
      </c>
      <c r="E41" s="573" t="s">
        <v>3230</v>
      </c>
      <c r="F41" s="420">
        <f>SUMIF(119:119,E41,120:120)-SUMIF(119:119,C41,120:120)+100</f>
        <v>100</v>
      </c>
      <c r="G41" s="573" t="s">
        <v>3230</v>
      </c>
      <c r="H41" s="394">
        <f>SUMIF(119:119,G41,120:120)-SUMIF(119:119,C41,120:120)+100</f>
        <v>100</v>
      </c>
      <c r="I41" s="573" t="s">
        <v>3230</v>
      </c>
      <c r="J41" s="394">
        <f>SUMIF(119:119,I41,120:120)-SUMIF(119:119,C41,120:120)+100</f>
        <v>100</v>
      </c>
      <c r="K41" s="569">
        <v>1</v>
      </c>
      <c r="L41" s="2951"/>
      <c r="M41" s="2945"/>
      <c r="N41" s="2945"/>
      <c r="O41" s="2945"/>
      <c r="P41" s="3421"/>
      <c r="Q41" s="1538" t="str">
        <f t="shared" si="11"/>
        <v>层高</v>
      </c>
      <c r="R41" s="714" t="s">
        <v>17</v>
      </c>
      <c r="S41" s="715">
        <f t="shared" si="12"/>
        <v>100</v>
      </c>
      <c r="T41" s="714" t="s">
        <v>17</v>
      </c>
      <c r="U41" s="715">
        <f t="shared" si="13"/>
        <v>100</v>
      </c>
      <c r="V41" s="714" t="s">
        <v>17</v>
      </c>
      <c r="W41" s="715">
        <f t="shared" si="14"/>
        <v>100</v>
      </c>
      <c r="X41" s="1541"/>
      <c r="Y41" s="3423"/>
      <c r="Z41" s="1542" t="str">
        <f t="shared" si="15"/>
        <v>层高</v>
      </c>
      <c r="AA41" s="1539">
        <f t="shared" si="3"/>
        <v>1</v>
      </c>
      <c r="AB41" s="1539">
        <f t="shared" si="4"/>
        <v>1</v>
      </c>
      <c r="AC41" s="2150">
        <f t="shared" si="5"/>
        <v>1</v>
      </c>
    </row>
    <row r="42" spans="1:29" s="430" customFormat="1" ht="16" hidden="1" x14ac:dyDescent="0.2">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21"/>
      <c r="Q42" s="716" t="str">
        <f t="shared" si="11"/>
        <v>单套建筑面积</v>
      </c>
      <c r="R42" s="717" t="s">
        <v>17</v>
      </c>
      <c r="S42" s="718">
        <f t="shared" si="12"/>
        <v>100</v>
      </c>
      <c r="T42" s="717" t="s">
        <v>17</v>
      </c>
      <c r="U42" s="718">
        <f t="shared" si="13"/>
        <v>100</v>
      </c>
      <c r="V42" s="717" t="s">
        <v>17</v>
      </c>
      <c r="W42" s="718">
        <f t="shared" si="14"/>
        <v>100</v>
      </c>
      <c r="X42" s="719"/>
      <c r="Y42" s="3423"/>
      <c r="Z42" s="720" t="str">
        <f t="shared" si="15"/>
        <v>单套建筑面积</v>
      </c>
      <c r="AA42" s="1539">
        <f t="shared" si="3"/>
        <v>1</v>
      </c>
      <c r="AB42" s="1539">
        <f t="shared" si="4"/>
        <v>1</v>
      </c>
      <c r="AC42" s="2150">
        <f t="shared" si="5"/>
        <v>1</v>
      </c>
    </row>
    <row r="43" spans="1:29" ht="16" x14ac:dyDescent="0.2">
      <c r="A43" s="431"/>
      <c r="B43" s="381" t="s">
        <v>2489</v>
      </c>
      <c r="C43" s="419" t="s">
        <v>3224</v>
      </c>
      <c r="D43" s="394">
        <v>100</v>
      </c>
      <c r="E43" s="419" t="s">
        <v>3224</v>
      </c>
      <c r="F43" s="420">
        <f>SUMIF(123:123,E43,124:124)-SUMIF(123:123,C43,124:124)+100</f>
        <v>100</v>
      </c>
      <c r="G43" s="419" t="s">
        <v>3224</v>
      </c>
      <c r="H43" s="394">
        <f>SUMIF(123:123,G43,124:124)-SUMIF(123:123,C43,124:124)+100</f>
        <v>100</v>
      </c>
      <c r="I43" s="419" t="s">
        <v>3224</v>
      </c>
      <c r="J43" s="394">
        <f>SUMIF(123:123,I43,124:124)-SUMIF(123:123,C43,124:124)+100</f>
        <v>100</v>
      </c>
      <c r="K43" s="569">
        <v>2</v>
      </c>
      <c r="L43" s="2951"/>
      <c r="M43" s="2945"/>
      <c r="N43" s="2945"/>
      <c r="O43" s="2945"/>
      <c r="P43" s="3421"/>
      <c r="Q43" s="1538" t="str">
        <f t="shared" si="11"/>
        <v>内部装修</v>
      </c>
      <c r="R43" s="714" t="s">
        <v>17</v>
      </c>
      <c r="S43" s="715">
        <f t="shared" si="12"/>
        <v>100</v>
      </c>
      <c r="T43" s="714" t="s">
        <v>17</v>
      </c>
      <c r="U43" s="715">
        <f t="shared" si="13"/>
        <v>100</v>
      </c>
      <c r="V43" s="714" t="s">
        <v>17</v>
      </c>
      <c r="W43" s="715">
        <f t="shared" si="14"/>
        <v>100</v>
      </c>
      <c r="X43" s="1541"/>
      <c r="Y43" s="3423"/>
      <c r="Z43" s="1542" t="str">
        <f t="shared" si="15"/>
        <v>内部装修</v>
      </c>
      <c r="AA43" s="1539">
        <f t="shared" si="3"/>
        <v>1</v>
      </c>
      <c r="AB43" s="1539">
        <f t="shared" si="4"/>
        <v>1</v>
      </c>
      <c r="AC43" s="2150">
        <f t="shared" si="5"/>
        <v>1</v>
      </c>
    </row>
    <row r="44" spans="1:29" ht="16" x14ac:dyDescent="0.2">
      <c r="A44" s="431"/>
      <c r="B44" s="381" t="s">
        <v>2397</v>
      </c>
      <c r="C44" s="3130" t="s">
        <v>3209</v>
      </c>
      <c r="D44" s="394">
        <v>100</v>
      </c>
      <c r="E44" s="3130" t="s">
        <v>3209</v>
      </c>
      <c r="F44" s="420">
        <f>SUMIF(125:125,E44,126:126)-SUMIF(125:125,C44,126:126)+100</f>
        <v>100</v>
      </c>
      <c r="G44" s="3130" t="s">
        <v>3209</v>
      </c>
      <c r="H44" s="394">
        <f>SUMIF(125:125,G44,126:126)-SUMIF(125:125,C44,126:126)+100</f>
        <v>100</v>
      </c>
      <c r="I44" s="3130" t="s">
        <v>3209</v>
      </c>
      <c r="J44" s="394">
        <f>SUMIF(125:125,I44,126:126)-SUMIF(125:125,C44,126:126)+100</f>
        <v>100</v>
      </c>
      <c r="K44" s="569">
        <v>2</v>
      </c>
      <c r="L44" s="2951"/>
      <c r="M44" s="2945"/>
      <c r="N44" s="2945"/>
      <c r="O44" s="2945"/>
      <c r="P44" s="3421"/>
      <c r="Q44" s="1538" t="str">
        <f t="shared" si="11"/>
        <v>内部装修维护情况</v>
      </c>
      <c r="R44" s="714" t="s">
        <v>17</v>
      </c>
      <c r="S44" s="715">
        <f t="shared" si="12"/>
        <v>100</v>
      </c>
      <c r="T44" s="714" t="s">
        <v>17</v>
      </c>
      <c r="U44" s="715">
        <f t="shared" si="13"/>
        <v>100</v>
      </c>
      <c r="V44" s="714" t="s">
        <v>17</v>
      </c>
      <c r="W44" s="715">
        <f t="shared" si="14"/>
        <v>100</v>
      </c>
      <c r="X44" s="1541"/>
      <c r="Y44" s="3423"/>
      <c r="Z44" s="1542" t="str">
        <f t="shared" si="15"/>
        <v>内部装修维护情况</v>
      </c>
      <c r="AA44" s="1539">
        <f t="shared" si="3"/>
        <v>1</v>
      </c>
      <c r="AB44" s="1539">
        <f t="shared" si="4"/>
        <v>1</v>
      </c>
      <c r="AC44" s="2150">
        <f t="shared" si="5"/>
        <v>1</v>
      </c>
    </row>
    <row r="45" spans="1:29" s="3166" customFormat="1" ht="16" x14ac:dyDescent="0.2">
      <c r="A45" s="3206"/>
      <c r="B45" s="3193" t="s">
        <v>3329</v>
      </c>
      <c r="C45" s="3194" t="s">
        <v>3330</v>
      </c>
      <c r="D45" s="3195">
        <v>100</v>
      </c>
      <c r="E45" s="3196">
        <v>0</v>
      </c>
      <c r="F45" s="3197">
        <f>SUMIF(127:127,E45,128:128)-SUMIF(127:127,C45,128:128)+100</f>
        <v>90</v>
      </c>
      <c r="G45" s="3196">
        <v>0</v>
      </c>
      <c r="H45" s="3195">
        <f>SUMIF(127:127,G45,128:128)-SUMIF(127:127,C45,128:128)+100</f>
        <v>90</v>
      </c>
      <c r="I45" s="3196">
        <v>0</v>
      </c>
      <c r="J45" s="3195">
        <f>SUMIF(127:127,I45,128:128)-SUMIF(127:127,C45,128:128)+100</f>
        <v>90</v>
      </c>
      <c r="K45" s="3146"/>
      <c r="L45" s="3157"/>
      <c r="M45" s="3158"/>
      <c r="N45" s="3158"/>
      <c r="O45" s="3158"/>
      <c r="P45" s="3421"/>
      <c r="Q45" s="3159" t="str">
        <f t="shared" si="11"/>
        <v>展示面</v>
      </c>
      <c r="R45" s="3160" t="s">
        <v>17</v>
      </c>
      <c r="S45" s="3161">
        <f t="shared" si="12"/>
        <v>90</v>
      </c>
      <c r="T45" s="3160" t="s">
        <v>17</v>
      </c>
      <c r="U45" s="3161">
        <f t="shared" si="13"/>
        <v>90</v>
      </c>
      <c r="V45" s="3160" t="s">
        <v>17</v>
      </c>
      <c r="W45" s="3161">
        <f t="shared" si="14"/>
        <v>90</v>
      </c>
      <c r="X45" s="3162"/>
      <c r="Y45" s="3423"/>
      <c r="Z45" s="3163" t="str">
        <f t="shared" si="15"/>
        <v>展示面</v>
      </c>
      <c r="AA45" s="3164">
        <f t="shared" si="3"/>
        <v>1.1111111111111112</v>
      </c>
      <c r="AB45" s="3164">
        <f t="shared" si="4"/>
        <v>1.1111111111111112</v>
      </c>
      <c r="AC45" s="3165">
        <f t="shared" si="5"/>
        <v>1.1111111111111112</v>
      </c>
    </row>
    <row r="46" spans="1:29" ht="16" hidden="1" x14ac:dyDescent="0.2">
      <c r="A46" s="3207"/>
      <c r="B46" s="3193" t="s">
        <v>3247</v>
      </c>
      <c r="C46" s="3198"/>
      <c r="D46" s="3199">
        <v>100</v>
      </c>
      <c r="E46" s="3200"/>
      <c r="F46" s="3201">
        <f>SUMIF(129:129,E46,130:130)-SUMIF(129:129,C46,130:130)+100</f>
        <v>100</v>
      </c>
      <c r="G46" s="3200"/>
      <c r="H46" s="3199">
        <f>SUMIF(129:129,G46,130:130)-SUMIF(129:129,C46,130:130)+100</f>
        <v>100</v>
      </c>
      <c r="I46" s="3200"/>
      <c r="J46" s="3199">
        <f>SUMIF(129:129,I46,130:130)-SUMIF(129:129,C46,130:130)+100</f>
        <v>100</v>
      </c>
      <c r="K46" s="570"/>
      <c r="L46" s="2951"/>
      <c r="M46" s="2945"/>
      <c r="N46" s="2945"/>
      <c r="O46" s="2945"/>
      <c r="P46" s="3421"/>
      <c r="Q46" s="1538" t="str">
        <f t="shared" si="11"/>
        <v>房型</v>
      </c>
      <c r="R46" s="714" t="s">
        <v>17</v>
      </c>
      <c r="S46" s="715">
        <f t="shared" si="12"/>
        <v>100</v>
      </c>
      <c r="T46" s="714" t="s">
        <v>17</v>
      </c>
      <c r="U46" s="715">
        <f t="shared" si="13"/>
        <v>100</v>
      </c>
      <c r="V46" s="714" t="s">
        <v>17</v>
      </c>
      <c r="W46" s="715">
        <f t="shared" si="14"/>
        <v>100</v>
      </c>
      <c r="X46" s="1541"/>
      <c r="Y46" s="3423"/>
      <c r="Z46" s="1542" t="str">
        <f t="shared" si="15"/>
        <v>房型</v>
      </c>
      <c r="AA46" s="1539">
        <f t="shared" si="3"/>
        <v>1</v>
      </c>
      <c r="AB46" s="1539">
        <f t="shared" si="4"/>
        <v>1</v>
      </c>
      <c r="AC46" s="2150">
        <f t="shared" si="5"/>
        <v>1</v>
      </c>
    </row>
    <row r="47" spans="1:29" s="3177" customFormat="1" ht="17" thickBot="1" x14ac:dyDescent="0.25">
      <c r="A47" s="3208"/>
      <c r="B47" s="3202" t="s">
        <v>3282</v>
      </c>
      <c r="C47" s="3203">
        <f>'数据-汇总表'!E3</f>
        <v>547.29</v>
      </c>
      <c r="D47" s="3204">
        <v>100</v>
      </c>
      <c r="E47" s="3196">
        <v>350</v>
      </c>
      <c r="F47" s="3205">
        <v>98</v>
      </c>
      <c r="G47" s="3196">
        <v>1400</v>
      </c>
      <c r="H47" s="3204">
        <v>92</v>
      </c>
      <c r="I47" s="3196">
        <v>260</v>
      </c>
      <c r="J47" s="3204">
        <f>F132</f>
        <v>98</v>
      </c>
      <c r="K47" s="3167"/>
      <c r="L47" s="3168"/>
      <c r="M47" s="3169"/>
      <c r="N47" s="3169"/>
      <c r="O47" s="3169"/>
      <c r="P47" s="3422"/>
      <c r="Q47" s="3170" t="str">
        <f t="shared" si="11"/>
        <v>建筑面积</v>
      </c>
      <c r="R47" s="3171" t="s">
        <v>17</v>
      </c>
      <c r="S47" s="3172">
        <f t="shared" si="12"/>
        <v>98</v>
      </c>
      <c r="T47" s="3171" t="s">
        <v>17</v>
      </c>
      <c r="U47" s="3172">
        <f t="shared" si="13"/>
        <v>92</v>
      </c>
      <c r="V47" s="3171" t="s">
        <v>17</v>
      </c>
      <c r="W47" s="3172">
        <f t="shared" si="14"/>
        <v>98</v>
      </c>
      <c r="X47" s="3173"/>
      <c r="Y47" s="3424"/>
      <c r="Z47" s="3174" t="str">
        <f t="shared" si="15"/>
        <v>建筑面积</v>
      </c>
      <c r="AA47" s="3175">
        <f t="shared" si="3"/>
        <v>1.0204081632653061</v>
      </c>
      <c r="AB47" s="3175">
        <f t="shared" si="4"/>
        <v>1.0869565217391304</v>
      </c>
      <c r="AC47" s="3176">
        <f t="shared" si="5"/>
        <v>1.0204081632653061</v>
      </c>
    </row>
    <row r="48" spans="1:29" x14ac:dyDescent="0.2">
      <c r="A48" s="438" t="s">
        <v>2398</v>
      </c>
      <c r="B48" s="439"/>
      <c r="C48" s="1316" t="s">
        <v>1</v>
      </c>
      <c r="D48" s="1317"/>
      <c r="E48" s="1318">
        <v>8.5</v>
      </c>
      <c r="F48" s="1319"/>
      <c r="G48" s="1320">
        <v>8.1999999999999993</v>
      </c>
      <c r="H48" s="1321"/>
      <c r="I48" s="1318">
        <v>8</v>
      </c>
      <c r="J48" s="444"/>
      <c r="K48" s="723"/>
      <c r="L48" s="2953"/>
      <c r="M48" s="2945"/>
      <c r="N48" s="2945"/>
      <c r="O48" s="2945"/>
      <c r="P48" s="3410" t="str">
        <f>A48</f>
        <v>成交单价（元/平方米）</v>
      </c>
      <c r="Q48" s="3411"/>
      <c r="R48" s="3425">
        <f>E48</f>
        <v>8.5</v>
      </c>
      <c r="S48" s="3425"/>
      <c r="T48" s="3425">
        <f>G48</f>
        <v>8.1999999999999993</v>
      </c>
      <c r="U48" s="3425"/>
      <c r="V48" s="3425">
        <f>I48</f>
        <v>8</v>
      </c>
      <c r="W48" s="3425"/>
      <c r="X48" s="405"/>
      <c r="Y48" s="721"/>
      <c r="Z48" s="405"/>
      <c r="AA48" s="405"/>
      <c r="AB48" s="405"/>
      <c r="AC48" s="586"/>
    </row>
    <row r="49" spans="1:29" ht="15" thickBot="1" x14ac:dyDescent="0.25">
      <c r="A49" s="445" t="s">
        <v>2490</v>
      </c>
      <c r="B49" s="446"/>
      <c r="C49" s="1322">
        <f>R50</f>
        <v>9.1999999999999993</v>
      </c>
      <c r="D49" s="2540" t="s">
        <v>2879</v>
      </c>
      <c r="E49" s="1323">
        <f>R49</f>
        <v>9.3000000000000007</v>
      </c>
      <c r="F49" s="2541"/>
      <c r="G49" s="1322">
        <f>T49</f>
        <v>9.5</v>
      </c>
      <c r="H49" s="2541"/>
      <c r="I49" s="1323">
        <f>V49</f>
        <v>8.6999999999999993</v>
      </c>
      <c r="J49" s="2541"/>
      <c r="K49" s="2543">
        <f>F49+H49+J49</f>
        <v>0</v>
      </c>
      <c r="L49" s="2953"/>
      <c r="M49" s="2945"/>
      <c r="N49" s="2945"/>
      <c r="O49" s="2945"/>
      <c r="P49" s="3410" t="str">
        <f>A49</f>
        <v>比较价值（元/平方米）</v>
      </c>
      <c r="Q49" s="3411"/>
      <c r="R49" s="3412">
        <f>IF(F1="售价",ROUND(PRODUCT(R48,AA7:AA47),1),ROUND(PRODUCT(R48,AA7:AA47),1))</f>
        <v>9.3000000000000007</v>
      </c>
      <c r="S49" s="3412"/>
      <c r="T49" s="3412">
        <f>IF(F1="售价",ROUND(PRODUCT(T48,AB7:AB47),1),ROUND(PRODUCT(T48,AB7:AB47),1))</f>
        <v>9.5</v>
      </c>
      <c r="U49" s="3412"/>
      <c r="V49" s="3412">
        <f>IF(F1="售价",ROUND(PRODUCT(V48,AC7:AC47),1),ROUND(PRODUCT(V48,AC7:AC47),1))</f>
        <v>8.6999999999999993</v>
      </c>
      <c r="W49" s="3412"/>
      <c r="X49" s="405"/>
      <c r="Y49" s="405"/>
      <c r="Z49" s="405"/>
      <c r="AA49" s="405"/>
      <c r="AB49" s="405"/>
      <c r="AC49" s="586"/>
    </row>
    <row r="50" spans="1:29" ht="15" thickBot="1" x14ac:dyDescent="0.25">
      <c r="A50" s="449" t="s">
        <v>2491</v>
      </c>
      <c r="B50" s="450"/>
      <c r="C50" s="1325">
        <f>R50</f>
        <v>9.1999999999999993</v>
      </c>
      <c r="D50" s="1325"/>
      <c r="E50" s="1325"/>
      <c r="F50" s="1325"/>
      <c r="G50" s="1325"/>
      <c r="H50" s="1325"/>
      <c r="I50" s="1325"/>
      <c r="J50" s="451"/>
      <c r="K50" s="724"/>
      <c r="L50" s="2953"/>
      <c r="M50" s="2945"/>
      <c r="N50" s="2945"/>
      <c r="O50" s="2945"/>
      <c r="P50" s="3413" t="str">
        <f>A50</f>
        <v>估价对象XX用房的比较价值（楼面单价，元/平方米）</v>
      </c>
      <c r="Q50" s="3414"/>
      <c r="R50" s="3415">
        <f>IF(F1="售价",ROUND(IF(D49="简单平均",AVERAGE(R49:V49),R49*F49+T49*H49+V49*J49),1),ROUND(IF(D49="简单平均",AVERAGE(R49:V49),R49*F49+T49*H49+V49*J49),1))</f>
        <v>9.1999999999999993</v>
      </c>
      <c r="S50" s="3415"/>
      <c r="T50" s="3415"/>
      <c r="U50" s="3415"/>
      <c r="V50" s="3415"/>
      <c r="W50" s="3415"/>
      <c r="X50" s="2134"/>
      <c r="Y50" s="2134"/>
      <c r="Z50" s="2134"/>
      <c r="AA50" s="2134"/>
      <c r="AB50" s="2134"/>
      <c r="AC50" s="2135"/>
    </row>
    <row r="51" spans="1:29" x14ac:dyDescent="0.2">
      <c r="A51" s="2954"/>
      <c r="B51" s="2954"/>
      <c r="C51" s="2954">
        <v>0</v>
      </c>
      <c r="D51" s="2954">
        <v>200</v>
      </c>
      <c r="E51" s="2954">
        <v>400</v>
      </c>
      <c r="F51" s="2954">
        <v>600</v>
      </c>
      <c r="G51" s="2954">
        <v>800</v>
      </c>
      <c r="H51" s="2954">
        <v>1000</v>
      </c>
      <c r="I51" s="2954">
        <v>1200</v>
      </c>
      <c r="J51" s="2954">
        <v>1400</v>
      </c>
      <c r="K51" s="2959"/>
      <c r="L51" s="2955"/>
      <c r="M51" s="2954"/>
      <c r="N51" s="2954"/>
      <c r="O51" s="2954"/>
      <c r="P51" s="2985"/>
      <c r="Q51" s="2954"/>
      <c r="R51" s="2954"/>
      <c r="S51" s="2954"/>
      <c r="T51" s="2954"/>
      <c r="U51" s="2954"/>
      <c r="V51" s="2954"/>
      <c r="W51" s="2954"/>
      <c r="X51" s="2954"/>
      <c r="Y51" s="2954"/>
      <c r="Z51" s="2954"/>
      <c r="AA51" s="2954"/>
      <c r="AB51" s="2954"/>
      <c r="AC51" s="2954"/>
    </row>
    <row r="52" spans="1:29" x14ac:dyDescent="0.2">
      <c r="A52" s="2954"/>
      <c r="B52" s="2954"/>
      <c r="C52" s="2954">
        <v>94</v>
      </c>
      <c r="D52" s="2954">
        <v>96</v>
      </c>
      <c r="E52" s="2954">
        <v>98</v>
      </c>
      <c r="F52" s="2954">
        <v>100</v>
      </c>
      <c r="G52" s="2954">
        <v>98</v>
      </c>
      <c r="H52" s="2954">
        <v>96</v>
      </c>
      <c r="I52" s="2954">
        <v>94</v>
      </c>
      <c r="J52" s="2954">
        <v>92</v>
      </c>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x14ac:dyDescent="0.2">
      <c r="A53" s="2954"/>
      <c r="B53" s="2954"/>
      <c r="C53" s="454" t="s">
        <v>2492</v>
      </c>
      <c r="D53" s="455"/>
      <c r="E53" s="456">
        <f>IF(E48&lt;E49,E49/E48-1,E48/E49-1)</f>
        <v>9.4117647058823639E-2</v>
      </c>
      <c r="F53" s="457" t="str">
        <f>IF(OR(E53&gt;=0.3,E53&lt;=-0.3),"超过30%","")</f>
        <v/>
      </c>
      <c r="G53" s="456">
        <f>IF(G48&lt;G49,G49/G48-1,G48/G49-1)</f>
        <v>0.1585365853658538</v>
      </c>
      <c r="H53" s="457" t="str">
        <f>IF(OR(G53&gt;=0.3,G53&lt;=-0.3),"超过30%","")</f>
        <v/>
      </c>
      <c r="I53" s="456">
        <f>IF(I48&lt;I49,I49/I48-1,I48/I49-1)</f>
        <v>8.7499999999999911E-2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x14ac:dyDescent="0.2">
      <c r="A54" s="2954"/>
      <c r="B54" s="2954"/>
      <c r="C54" s="454" t="s">
        <v>2493</v>
      </c>
      <c r="D54" s="458"/>
      <c r="E54" s="456">
        <f>IF(E49&lt;G49,G49/E49-1,E49/G49-1)</f>
        <v>2.1505376344086002E-2</v>
      </c>
      <c r="F54" s="457" t="str">
        <f>IF(OR(E54&gt;=0.2,E54&lt;=-0.2),"超过20%","")</f>
        <v/>
      </c>
      <c r="G54" s="456">
        <f>IF(G49&lt;I49,I49/G49-1,G49/I49-1)</f>
        <v>9.1954022988505857E-2</v>
      </c>
      <c r="H54" s="457" t="str">
        <f>IF(OR(G54&gt;=0.2,G54&lt;=-0.2),"超过20%","")</f>
        <v/>
      </c>
      <c r="I54" s="456">
        <f>IF(I49&lt;E49,E49/I49-1,I49/E49-1)</f>
        <v>6.8965517241379448E-2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x14ac:dyDescent="0.2">
      <c r="A55" s="2957"/>
      <c r="B55" s="2957"/>
      <c r="C55" s="454" t="s">
        <v>2494</v>
      </c>
      <c r="D55" s="458"/>
      <c r="E55" s="456">
        <f>IF(E48&lt;G48,G48/E48-1,E48/G48-1)</f>
        <v>3.6585365853658569E-2</v>
      </c>
      <c r="F55" s="457" t="str">
        <f>IF(OR(E55&gt;=0.3,E55&lt;=-0.3),"超过30%","")</f>
        <v/>
      </c>
      <c r="G55" s="456">
        <f>IF(G48&lt;I48,I48/G48-1,G48/I48-1)</f>
        <v>2.4999999999999911E-2</v>
      </c>
      <c r="H55" s="457" t="str">
        <f>IF(OR(G55&gt;=0.3,G55&lt;=-0.3),"超过30%","")</f>
        <v/>
      </c>
      <c r="I55" s="456">
        <f>IF(I48&lt;E48,E48/I48-1,I48/E48-1)</f>
        <v>6.25E-2</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x14ac:dyDescent="0.2">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x14ac:dyDescent="0.2">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 thickBot="1" x14ac:dyDescent="0.25">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x14ac:dyDescent="0.2">
      <c r="A59" s="462" t="s">
        <v>2369</v>
      </c>
      <c r="B59" s="463"/>
      <c r="C59" s="1346" t="str">
        <f>YEAR(C7)&amp;"-"&amp;MONTH(C7)</f>
        <v>2022-2</v>
      </c>
      <c r="D59" s="1347">
        <f>EDATE(C59,-1)</f>
        <v>44562</v>
      </c>
      <c r="E59" s="1347">
        <f>EDATE(D59,-1)</f>
        <v>44531</v>
      </c>
      <c r="F59" s="1347">
        <f t="shared" ref="F59:O59" si="16">EDATE(E59,-1)</f>
        <v>44501</v>
      </c>
      <c r="G59" s="1347">
        <f t="shared" si="16"/>
        <v>44470</v>
      </c>
      <c r="H59" s="1347">
        <f t="shared" si="16"/>
        <v>44440</v>
      </c>
      <c r="I59" s="1347">
        <f t="shared" si="16"/>
        <v>44409</v>
      </c>
      <c r="J59" s="1347">
        <f t="shared" si="16"/>
        <v>44378</v>
      </c>
      <c r="K59" s="1347">
        <f t="shared" si="16"/>
        <v>44348</v>
      </c>
      <c r="L59" s="1347">
        <f t="shared" si="16"/>
        <v>44317</v>
      </c>
      <c r="M59" s="1347">
        <f t="shared" si="16"/>
        <v>44287</v>
      </c>
      <c r="N59" s="1347">
        <f t="shared" si="16"/>
        <v>44256</v>
      </c>
      <c r="O59" s="1347">
        <f t="shared" si="16"/>
        <v>44228</v>
      </c>
      <c r="P59" s="2988"/>
      <c r="Q59" s="2970"/>
      <c r="R59" s="2970"/>
      <c r="S59" s="2970"/>
      <c r="T59" s="2970"/>
      <c r="U59" s="2970"/>
      <c r="V59" s="2970"/>
      <c r="W59" s="2970"/>
      <c r="X59" s="2970"/>
      <c r="Y59" s="2970"/>
      <c r="Z59" s="2970"/>
      <c r="AA59" s="2970"/>
      <c r="AB59" s="2970"/>
      <c r="AC59" s="2970"/>
    </row>
    <row r="60" spans="1:29" s="113" customFormat="1" x14ac:dyDescent="0.2">
      <c r="A60" s="466"/>
      <c r="B60" s="467"/>
      <c r="C60" s="1345">
        <v>100</v>
      </c>
      <c r="D60" s="469">
        <v>100</v>
      </c>
      <c r="E60" s="469">
        <v>100</v>
      </c>
      <c r="F60" s="469">
        <v>99.5</v>
      </c>
      <c r="G60" s="469">
        <v>99.5</v>
      </c>
      <c r="H60" s="469">
        <v>99.5</v>
      </c>
      <c r="I60" s="469">
        <v>99.5</v>
      </c>
      <c r="J60" s="469">
        <v>99.5</v>
      </c>
      <c r="K60" s="469">
        <v>99.5</v>
      </c>
      <c r="L60" s="469">
        <v>100.5</v>
      </c>
      <c r="M60" s="470">
        <v>100.5</v>
      </c>
      <c r="N60" s="469"/>
      <c r="O60" s="470"/>
      <c r="P60" s="2989"/>
      <c r="Q60" s="2888"/>
      <c r="R60" s="2888"/>
      <c r="S60" s="2888"/>
      <c r="T60" s="2888"/>
      <c r="U60" s="2888"/>
      <c r="V60" s="2888"/>
      <c r="W60" s="2888"/>
      <c r="X60" s="2888"/>
      <c r="Y60" s="2888"/>
      <c r="Z60" s="2888"/>
      <c r="AA60" s="2888"/>
      <c r="AB60" s="2888"/>
      <c r="AC60" s="2888"/>
    </row>
    <row r="61" spans="1:29" s="113" customFormat="1" ht="15" thickBot="1" x14ac:dyDescent="0.25">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x14ac:dyDescent="0.2">
      <c r="A62" s="478" t="s">
        <v>2371</v>
      </c>
      <c r="B62" s="467"/>
      <c r="C62" s="479" t="s">
        <v>2473</v>
      </c>
      <c r="D62" s="3121" t="s">
        <v>3213</v>
      </c>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 thickBot="1" x14ac:dyDescent="0.25">
      <c r="A63" s="478"/>
      <c r="B63" s="467"/>
      <c r="C63" s="468">
        <v>100</v>
      </c>
      <c r="D63" s="469">
        <v>102</v>
      </c>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x14ac:dyDescent="0.2">
      <c r="A64" s="484" t="s">
        <v>2409</v>
      </c>
      <c r="B64" s="485" t="s">
        <v>2375</v>
      </c>
      <c r="C64" s="486" t="str">
        <f>C9</f>
        <v>办公</v>
      </c>
      <c r="D64" s="3122" t="s">
        <v>3214</v>
      </c>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 thickBot="1" x14ac:dyDescent="0.25">
      <c r="A65" s="491"/>
      <c r="B65" s="492"/>
      <c r="C65" s="493">
        <v>100</v>
      </c>
      <c r="D65" s="493">
        <v>100</v>
      </c>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9" thickTop="1" x14ac:dyDescent="0.2">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 thickBot="1" x14ac:dyDescent="0.25">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 thickTop="1" x14ac:dyDescent="0.2">
      <c r="A68" s="491"/>
      <c r="B68" s="503" t="s">
        <v>2379</v>
      </c>
      <c r="C68" s="504" t="str">
        <f>C69&amp;"（含）"&amp;"-"&amp;D69</f>
        <v>1（含）-2</v>
      </c>
      <c r="D68" s="504" t="str">
        <f t="shared" ref="D68:L68" si="17">D69&amp;"（含）"&amp;"-"&amp;E69</f>
        <v>2（含）-3</v>
      </c>
      <c r="E68" s="504" t="str">
        <f t="shared" si="17"/>
        <v>3（含）-4</v>
      </c>
      <c r="F68" s="504" t="str">
        <f t="shared" si="17"/>
        <v>4（含）-5</v>
      </c>
      <c r="G68" s="504" t="str">
        <f t="shared" si="17"/>
        <v>5（含）-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x14ac:dyDescent="0.2">
      <c r="A69" s="491"/>
      <c r="B69" s="505"/>
      <c r="C69" s="506">
        <v>1</v>
      </c>
      <c r="D69" s="506">
        <v>2</v>
      </c>
      <c r="E69" s="506">
        <v>3</v>
      </c>
      <c r="F69" s="506">
        <v>4</v>
      </c>
      <c r="G69" s="506">
        <v>5</v>
      </c>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 thickBot="1" x14ac:dyDescent="0.25">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 thickTop="1" x14ac:dyDescent="0.2">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 thickBot="1" x14ac:dyDescent="0.25">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 thickTop="1" x14ac:dyDescent="0.2">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 thickBot="1" x14ac:dyDescent="0.25">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 thickTop="1" x14ac:dyDescent="0.2">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 thickBot="1" x14ac:dyDescent="0.25">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x14ac:dyDescent="0.2">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 thickBot="1" x14ac:dyDescent="0.25">
      <c r="A78" s="491"/>
      <c r="B78" s="500"/>
      <c r="C78" s="501">
        <v>100</v>
      </c>
      <c r="D78" s="501">
        <f>C78-$K15</f>
        <v>98</v>
      </c>
      <c r="E78" s="501">
        <f>D78-$K15</f>
        <v>96</v>
      </c>
      <c r="F78" s="501">
        <f>E78-$K15</f>
        <v>94</v>
      </c>
      <c r="G78" s="501">
        <f>F78-$K15</f>
        <v>92</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 thickTop="1" x14ac:dyDescent="0.2">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 thickBot="1" x14ac:dyDescent="0.25">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 thickTop="1" x14ac:dyDescent="0.2">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 thickBot="1" x14ac:dyDescent="0.25">
      <c r="A82" s="491"/>
      <c r="B82" s="500"/>
      <c r="C82" s="501">
        <v>100</v>
      </c>
      <c r="D82" s="501">
        <f>C82-$K19</f>
        <v>98</v>
      </c>
      <c r="E82" s="501">
        <f>D82-$K19</f>
        <v>96</v>
      </c>
      <c r="F82" s="501">
        <f>E82-$K19</f>
        <v>94</v>
      </c>
      <c r="G82" s="501">
        <f>F82-$K19</f>
        <v>92</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 thickTop="1" x14ac:dyDescent="0.2">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 thickBot="1" x14ac:dyDescent="0.25">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 thickTop="1" x14ac:dyDescent="0.2">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 thickBot="1" x14ac:dyDescent="0.25">
      <c r="A86" s="491"/>
      <c r="B86" s="500"/>
      <c r="C86" s="501">
        <v>100</v>
      </c>
      <c r="D86" s="501">
        <f>C86-$K23</f>
        <v>98</v>
      </c>
      <c r="E86" s="501">
        <f>D86-$K23</f>
        <v>96</v>
      </c>
      <c r="F86" s="501">
        <f>E86-$K23</f>
        <v>94</v>
      </c>
      <c r="G86" s="501">
        <f>F86-$K23</f>
        <v>92</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9" thickTop="1" x14ac:dyDescent="0.2">
      <c r="A87" s="536"/>
      <c r="B87" s="495" t="s">
        <v>2520</v>
      </c>
      <c r="C87" s="511" t="s">
        <v>3218</v>
      </c>
      <c r="D87" s="511" t="s">
        <v>3219</v>
      </c>
      <c r="E87" s="511" t="s">
        <v>3220</v>
      </c>
      <c r="F87" s="511" t="s">
        <v>3221</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 thickBot="1" x14ac:dyDescent="0.25">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3"/>
      <c r="O88" s="2983"/>
      <c r="P88" s="2991"/>
      <c r="Q88" s="2968"/>
      <c r="R88" s="2888"/>
      <c r="S88" s="2888"/>
      <c r="T88" s="2888"/>
      <c r="U88" s="2888"/>
      <c r="V88" s="2888"/>
      <c r="W88" s="2888"/>
      <c r="X88" s="2888"/>
      <c r="Y88" s="2888"/>
      <c r="Z88" s="2888"/>
      <c r="AA88" s="2888"/>
      <c r="AB88" s="2888"/>
      <c r="AC88" s="2888"/>
    </row>
    <row r="89" spans="1:29" s="113" customFormat="1" ht="15" thickTop="1" x14ac:dyDescent="0.2">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 thickBot="1" x14ac:dyDescent="0.25">
      <c r="A90" s="536"/>
      <c r="B90" s="500"/>
      <c r="C90" s="539">
        <v>100</v>
      </c>
      <c r="D90" s="501">
        <f t="shared" ref="D90:M90" si="20">C90-$K27</f>
        <v>100</v>
      </c>
      <c r="E90" s="501">
        <f t="shared" si="20"/>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 thickTop="1" x14ac:dyDescent="0.2">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 thickBot="1" x14ac:dyDescent="0.25">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 thickTop="1" x14ac:dyDescent="0.2">
      <c r="A93" s="491"/>
      <c r="B93" s="495" t="str">
        <f>B29</f>
        <v>楼层</v>
      </c>
      <c r="C93" s="3133" t="s">
        <v>3309</v>
      </c>
      <c r="D93" s="3217" t="s">
        <v>3312</v>
      </c>
      <c r="E93" s="3217" t="s">
        <v>3313</v>
      </c>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 thickBot="1" x14ac:dyDescent="0.25">
      <c r="A94" s="491"/>
      <c r="B94" s="500"/>
      <c r="C94" s="517">
        <v>100</v>
      </c>
      <c r="D94" s="493">
        <v>102</v>
      </c>
      <c r="E94" s="493">
        <v>102</v>
      </c>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 thickTop="1" x14ac:dyDescent="0.2">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 thickBot="1" x14ac:dyDescent="0.25">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 thickTop="1" x14ac:dyDescent="0.2">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 thickBot="1" x14ac:dyDescent="0.25">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 thickTop="1" x14ac:dyDescent="0.2">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 thickBot="1" x14ac:dyDescent="0.25">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x14ac:dyDescent="0.2">
      <c r="A101" s="484" t="s">
        <v>2384</v>
      </c>
      <c r="B101" s="485" t="s">
        <v>2433</v>
      </c>
      <c r="C101" s="3192" t="s">
        <v>3315</v>
      </c>
      <c r="D101" s="3122" t="s">
        <v>3262</v>
      </c>
      <c r="E101" s="3122" t="s">
        <v>3278</v>
      </c>
      <c r="F101" s="3122" t="s">
        <v>3279</v>
      </c>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 thickBot="1" x14ac:dyDescent="0.25">
      <c r="A102" s="491"/>
      <c r="B102" s="500"/>
      <c r="C102" s="501">
        <v>100</v>
      </c>
      <c r="D102" s="501">
        <f t="shared" ref="D102:M102" si="22">C102-$K33</f>
        <v>94</v>
      </c>
      <c r="E102" s="501">
        <f t="shared" si="22"/>
        <v>88</v>
      </c>
      <c r="F102" s="501">
        <f t="shared" si="22"/>
        <v>82</v>
      </c>
      <c r="G102" s="501">
        <f t="shared" si="22"/>
        <v>76</v>
      </c>
      <c r="H102" s="501">
        <f t="shared" si="22"/>
        <v>70</v>
      </c>
      <c r="I102" s="501">
        <f t="shared" si="22"/>
        <v>64</v>
      </c>
      <c r="J102" s="501">
        <f t="shared" si="22"/>
        <v>58</v>
      </c>
      <c r="K102" s="501">
        <f t="shared" si="22"/>
        <v>52</v>
      </c>
      <c r="L102" s="501">
        <f t="shared" si="22"/>
        <v>46</v>
      </c>
      <c r="M102" s="502">
        <f t="shared" si="22"/>
        <v>40</v>
      </c>
      <c r="N102" s="2983"/>
      <c r="O102" s="2983"/>
      <c r="P102" s="2991"/>
      <c r="Q102" s="2968"/>
      <c r="R102" s="2954"/>
      <c r="S102" s="2954"/>
      <c r="T102" s="2954"/>
      <c r="U102" s="2954"/>
      <c r="V102" s="2954"/>
      <c r="W102" s="2954"/>
      <c r="X102" s="2954"/>
      <c r="Y102" s="2954"/>
      <c r="Z102" s="2954"/>
      <c r="AA102" s="2954"/>
      <c r="AB102" s="2954"/>
      <c r="AC102" s="2954"/>
    </row>
    <row r="103" spans="1:29" ht="29" thickTop="1" x14ac:dyDescent="0.2">
      <c r="A103" s="491"/>
      <c r="B103" s="495" t="s">
        <v>2434</v>
      </c>
      <c r="C103" s="535" t="str">
        <f>C104&amp;"(含)"&amp;"-"&amp;D104</f>
        <v>0(含)-1000</v>
      </c>
      <c r="D103" s="535" t="str">
        <f t="shared" ref="D103:L103" si="23">D104&amp;"(含)"&amp;"-"&amp;E104</f>
        <v>1000(含)-2000</v>
      </c>
      <c r="E103" s="535" t="str">
        <f t="shared" si="23"/>
        <v>2000(含)-3000</v>
      </c>
      <c r="F103" s="535" t="str">
        <f t="shared" si="23"/>
        <v>3000(含)-4000</v>
      </c>
      <c r="G103" s="535" t="str">
        <f t="shared" si="23"/>
        <v>4000(含)-5000</v>
      </c>
      <c r="H103" s="535" t="str">
        <f t="shared" si="23"/>
        <v>5000(含)-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x14ac:dyDescent="0.2">
      <c r="A104" s="550"/>
      <c r="B104" s="551"/>
      <c r="C104" s="552">
        <v>0</v>
      </c>
      <c r="D104" s="552">
        <v>1000</v>
      </c>
      <c r="E104" s="552">
        <v>2000</v>
      </c>
      <c r="F104" s="552">
        <v>3000</v>
      </c>
      <c r="G104" s="552">
        <v>4000</v>
      </c>
      <c r="H104" s="552">
        <v>5000</v>
      </c>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 thickBot="1" x14ac:dyDescent="0.25">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x14ac:dyDescent="0.2">
      <c r="A106" s="556"/>
      <c r="B106" s="495" t="s">
        <v>2435</v>
      </c>
      <c r="C106" s="3127" t="s">
        <v>3223</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 thickBot="1" x14ac:dyDescent="0.25">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3"/>
      <c r="O107" s="2983"/>
      <c r="P107" s="2991"/>
      <c r="Q107" s="2968"/>
      <c r="R107" s="2954"/>
      <c r="S107" s="2954"/>
      <c r="T107" s="2954"/>
      <c r="U107" s="2954"/>
      <c r="V107" s="2954"/>
      <c r="W107" s="2954"/>
      <c r="X107" s="2954"/>
      <c r="Y107" s="2954"/>
      <c r="Z107" s="2954"/>
      <c r="AA107" s="2954"/>
      <c r="AB107" s="2954"/>
      <c r="AC107" s="2954"/>
    </row>
    <row r="108" spans="1:29" ht="15" thickTop="1" x14ac:dyDescent="0.2">
      <c r="A108" s="556"/>
      <c r="B108" s="495" t="s">
        <v>2437</v>
      </c>
      <c r="C108" s="3127" t="s">
        <v>3264</v>
      </c>
      <c r="D108" s="3127" t="s">
        <v>3280</v>
      </c>
      <c r="E108" s="3127" t="s">
        <v>3281</v>
      </c>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 thickBot="1" x14ac:dyDescent="0.25">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3"/>
      <c r="O109" s="2983"/>
      <c r="P109" s="2991"/>
      <c r="Q109" s="2968"/>
      <c r="R109" s="2954"/>
      <c r="S109" s="2954"/>
      <c r="T109" s="2954"/>
      <c r="U109" s="2954"/>
      <c r="V109" s="2954"/>
      <c r="W109" s="2954"/>
      <c r="X109" s="2954"/>
      <c r="Y109" s="2954"/>
      <c r="Z109" s="2954"/>
      <c r="AA109" s="2954"/>
      <c r="AB109" s="2954"/>
      <c r="AC109" s="2954"/>
    </row>
    <row r="110" spans="1:29" ht="15" thickTop="1" x14ac:dyDescent="0.2">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x14ac:dyDescent="0.2">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 thickBot="1" x14ac:dyDescent="0.25">
      <c r="A112" s="491"/>
      <c r="B112" s="500"/>
      <c r="C112" s="539">
        <v>100</v>
      </c>
      <c r="D112" s="501">
        <f t="shared" ref="D112:M112" si="26">C112+$K37</f>
        <v>100</v>
      </c>
      <c r="E112" s="501">
        <f t="shared" si="26"/>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x14ac:dyDescent="0.2">
      <c r="A113" s="550"/>
      <c r="B113" s="495" t="s">
        <v>2521</v>
      </c>
      <c r="C113" s="3127" t="s">
        <v>3225</v>
      </c>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 thickBot="1" x14ac:dyDescent="0.25">
      <c r="A114" s="510"/>
      <c r="B114" s="500"/>
      <c r="C114" s="501">
        <v>100</v>
      </c>
      <c r="D114" s="501">
        <f t="shared" ref="D114:M114" si="27">C114-$K38</f>
        <v>99</v>
      </c>
      <c r="E114" s="501">
        <f t="shared" si="27"/>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4"/>
      <c r="O114" s="2984"/>
      <c r="P114" s="2992"/>
      <c r="Q114" s="2975"/>
      <c r="R114" s="2976"/>
      <c r="S114" s="2976"/>
      <c r="T114" s="2976"/>
      <c r="U114" s="2976"/>
      <c r="V114" s="2976"/>
      <c r="W114" s="2976"/>
      <c r="X114" s="2976"/>
      <c r="Y114" s="2976"/>
      <c r="Z114" s="2976"/>
      <c r="AA114" s="2976"/>
      <c r="AB114" s="2976"/>
      <c r="AC114" s="2976"/>
    </row>
    <row r="115" spans="1:29" ht="15" thickTop="1" x14ac:dyDescent="0.2">
      <c r="A115" s="556"/>
      <c r="B115" s="495" t="s">
        <v>2438</v>
      </c>
      <c r="C115" s="3127" t="s">
        <v>3227</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 thickBot="1" x14ac:dyDescent="0.25">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3"/>
      <c r="O116" s="2983"/>
      <c r="P116" s="2991"/>
      <c r="Q116" s="2968"/>
      <c r="R116" s="2954"/>
      <c r="S116" s="2954"/>
      <c r="T116" s="2954"/>
      <c r="U116" s="2954"/>
      <c r="V116" s="2954"/>
      <c r="W116" s="2954"/>
      <c r="X116" s="2954"/>
      <c r="Y116" s="2954"/>
      <c r="Z116" s="2954"/>
      <c r="AA116" s="2954"/>
      <c r="AB116" s="2954"/>
      <c r="AC116" s="2954"/>
    </row>
    <row r="117" spans="1:29" ht="15" thickTop="1" x14ac:dyDescent="0.2">
      <c r="A117" s="556"/>
      <c r="B117" s="495" t="s">
        <v>2439</v>
      </c>
      <c r="C117" s="3127" t="s">
        <v>3228</v>
      </c>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 thickBot="1" x14ac:dyDescent="0.25">
      <c r="A118" s="491"/>
      <c r="B118" s="500"/>
      <c r="C118" s="501">
        <v>100</v>
      </c>
      <c r="D118" s="501">
        <f>C118-$K40</f>
        <v>99</v>
      </c>
      <c r="E118" s="501">
        <f>D118-$K40</f>
        <v>98</v>
      </c>
      <c r="F118" s="501">
        <f>E118-$K40</f>
        <v>97</v>
      </c>
      <c r="G118" s="501">
        <f>F118-$K40</f>
        <v>96</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x14ac:dyDescent="0.2">
      <c r="A119" s="556"/>
      <c r="B119" s="592" t="s">
        <v>2522</v>
      </c>
      <c r="C119" s="3128" t="s">
        <v>3231</v>
      </c>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 thickBot="1" x14ac:dyDescent="0.25">
      <c r="A120" s="491"/>
      <c r="B120" s="500"/>
      <c r="C120" s="539">
        <v>100</v>
      </c>
      <c r="D120" s="501">
        <f t="shared" ref="D120:M120" si="29">C120-$K41</f>
        <v>99</v>
      </c>
      <c r="E120" s="501">
        <f t="shared" si="29"/>
        <v>98</v>
      </c>
      <c r="F120" s="501">
        <f t="shared" si="29"/>
        <v>97</v>
      </c>
      <c r="G120" s="501">
        <f t="shared" si="29"/>
        <v>96</v>
      </c>
      <c r="H120" s="501">
        <f t="shared" si="29"/>
        <v>95</v>
      </c>
      <c r="I120" s="501">
        <f t="shared" si="29"/>
        <v>94</v>
      </c>
      <c r="J120" s="501">
        <f t="shared" si="29"/>
        <v>93</v>
      </c>
      <c r="K120" s="501">
        <f t="shared" si="29"/>
        <v>92</v>
      </c>
      <c r="L120" s="501">
        <f t="shared" si="29"/>
        <v>91</v>
      </c>
      <c r="M120" s="501">
        <f t="shared" si="29"/>
        <v>90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x14ac:dyDescent="0.2">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 thickBot="1" x14ac:dyDescent="0.25">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x14ac:dyDescent="0.2">
      <c r="A123" s="556"/>
      <c r="B123" s="495" t="s">
        <v>2441</v>
      </c>
      <c r="C123" s="3127" t="s">
        <v>3232</v>
      </c>
      <c r="D123" s="3127" t="s">
        <v>3234</v>
      </c>
      <c r="E123" s="3127" t="s">
        <v>3235</v>
      </c>
      <c r="F123" s="3128" t="s">
        <v>3236</v>
      </c>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 thickBot="1" x14ac:dyDescent="0.25">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3"/>
      <c r="O124" s="2983"/>
      <c r="P124" s="2991"/>
      <c r="Q124" s="2968"/>
      <c r="R124" s="2954"/>
      <c r="S124" s="2954"/>
      <c r="T124" s="2954"/>
      <c r="U124" s="2954"/>
      <c r="V124" s="2954"/>
      <c r="W124" s="2954"/>
      <c r="X124" s="2954"/>
      <c r="Y124" s="2954"/>
      <c r="Z124" s="2954"/>
      <c r="AA124" s="2954"/>
      <c r="AB124" s="2954"/>
      <c r="AC124" s="2954"/>
    </row>
    <row r="125" spans="1:29" ht="15" thickTop="1" x14ac:dyDescent="0.2">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 thickBot="1" x14ac:dyDescent="0.25">
      <c r="A126" s="491"/>
      <c r="B126" s="500"/>
      <c r="C126" s="501">
        <v>100</v>
      </c>
      <c r="D126" s="501">
        <f>C126-$K44</f>
        <v>98</v>
      </c>
      <c r="E126" s="501">
        <f>D126-$K44</f>
        <v>96</v>
      </c>
      <c r="F126" s="501">
        <f>E126-$K44</f>
        <v>94</v>
      </c>
      <c r="G126" s="501">
        <f>F126-$K44</f>
        <v>92</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x14ac:dyDescent="0.2">
      <c r="A127" s="550"/>
      <c r="B127" s="495" t="str">
        <f>B45</f>
        <v>展示面</v>
      </c>
      <c r="C127" s="511" t="s">
        <v>3330</v>
      </c>
      <c r="D127" s="511">
        <v>0</v>
      </c>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 thickBot="1" x14ac:dyDescent="0.25">
      <c r="A128" s="510"/>
      <c r="B128" s="500"/>
      <c r="C128" s="517">
        <v>100</v>
      </c>
      <c r="D128" s="493">
        <v>90</v>
      </c>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x14ac:dyDescent="0.2">
      <c r="A129" s="556"/>
      <c r="B129" s="495" t="str">
        <f>B46</f>
        <v>房型</v>
      </c>
      <c r="C129" s="3127"/>
      <c r="D129" s="3127"/>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 thickBot="1" x14ac:dyDescent="0.25">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x14ac:dyDescent="0.2">
      <c r="A131" s="556"/>
      <c r="B131" s="503" t="str">
        <f>B47</f>
        <v>建筑面积</v>
      </c>
      <c r="C131" s="480">
        <f>C47</f>
        <v>547.29</v>
      </c>
      <c r="D131" s="480">
        <f>E47</f>
        <v>350</v>
      </c>
      <c r="E131" s="480">
        <f>G47</f>
        <v>1400</v>
      </c>
      <c r="F131" s="480">
        <f>I47</f>
        <v>260</v>
      </c>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 thickBot="1" x14ac:dyDescent="0.25">
      <c r="A132" s="2116"/>
      <c r="B132" s="526"/>
      <c r="C132" s="527">
        <v>100</v>
      </c>
      <c r="D132" s="527">
        <v>100</v>
      </c>
      <c r="E132" s="527">
        <v>104</v>
      </c>
      <c r="F132" s="527">
        <v>98</v>
      </c>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row r="135" spans="1:29" x14ac:dyDescent="0.2">
      <c r="C135" s="363">
        <v>0</v>
      </c>
      <c r="D135" s="363">
        <v>300</v>
      </c>
      <c r="E135" s="363">
        <v>600</v>
      </c>
      <c r="F135" s="363">
        <v>900</v>
      </c>
    </row>
    <row r="136" spans="1:29" x14ac:dyDescent="0.2">
      <c r="D136" s="363">
        <v>98</v>
      </c>
      <c r="E136" s="363">
        <v>96</v>
      </c>
      <c r="F136" s="363">
        <v>94</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5" priority="20" stopIfTrue="1" operator="containsText" text="超过">
      <formula>NOT(ISERROR(SEARCH("超过",F53)))</formula>
    </cfRule>
  </conditionalFormatting>
  <conditionalFormatting sqref="H55">
    <cfRule type="containsText" dxfId="184" priority="19" stopIfTrue="1" operator="containsText" text="超过">
      <formula>NOT(ISERROR(SEARCH("超过",H55)))</formula>
    </cfRule>
  </conditionalFormatting>
  <conditionalFormatting sqref="F55">
    <cfRule type="containsText" dxfId="183" priority="18" stopIfTrue="1" operator="containsText" text="超过">
      <formula>NOT(ISERROR(SEARCH("超过",F55)))</formula>
    </cfRule>
  </conditionalFormatting>
  <conditionalFormatting sqref="F54 H54">
    <cfRule type="containsText" dxfId="182" priority="17" stopIfTrue="1" operator="containsText" text="超过">
      <formula>NOT(ISERROR(SEARCH("超过",F54)))</formula>
    </cfRule>
  </conditionalFormatting>
  <conditionalFormatting sqref="E53">
    <cfRule type="expression" dxfId="181" priority="16" stopIfTrue="1">
      <formula>$F$53="超过30%"</formula>
    </cfRule>
  </conditionalFormatting>
  <conditionalFormatting sqref="E54">
    <cfRule type="expression" dxfId="180" priority="15" stopIfTrue="1">
      <formula>$F$54="超过20%"</formula>
    </cfRule>
  </conditionalFormatting>
  <conditionalFormatting sqref="E55">
    <cfRule type="expression" dxfId="179" priority="14" stopIfTrue="1">
      <formula>$F$55="超过30%"</formula>
    </cfRule>
  </conditionalFormatting>
  <conditionalFormatting sqref="G55">
    <cfRule type="expression" dxfId="178" priority="13" stopIfTrue="1">
      <formula>$H$55="超过30%"</formula>
    </cfRule>
  </conditionalFormatting>
  <conditionalFormatting sqref="G53">
    <cfRule type="expression" dxfId="177" priority="12" stopIfTrue="1">
      <formula>$H$53="超过30%"</formula>
    </cfRule>
  </conditionalFormatting>
  <conditionalFormatting sqref="G54">
    <cfRule type="expression" dxfId="176" priority="11" stopIfTrue="1">
      <formula>$H$54="超过20%"</formula>
    </cfRule>
  </conditionalFormatting>
  <conditionalFormatting sqref="J53">
    <cfRule type="containsText" dxfId="175" priority="10" stopIfTrue="1" operator="containsText" text="超过">
      <formula>NOT(ISERROR(SEARCH("超过",J53)))</formula>
    </cfRule>
  </conditionalFormatting>
  <conditionalFormatting sqref="J55">
    <cfRule type="containsText" dxfId="174" priority="9" stopIfTrue="1" operator="containsText" text="超过">
      <formula>NOT(ISERROR(SEARCH("超过",J55)))</formula>
    </cfRule>
  </conditionalFormatting>
  <conditionalFormatting sqref="J54">
    <cfRule type="containsText" dxfId="173" priority="8" stopIfTrue="1" operator="containsText" text="超过">
      <formula>NOT(ISERROR(SEARCH("超过",J54)))</formula>
    </cfRule>
  </conditionalFormatting>
  <conditionalFormatting sqref="I53">
    <cfRule type="expression" dxfId="172" priority="7" stopIfTrue="1">
      <formula>$J$53="超过30%"</formula>
    </cfRule>
  </conditionalFormatting>
  <conditionalFormatting sqref="I54">
    <cfRule type="expression" dxfId="171" priority="6" stopIfTrue="1">
      <formula>$J$53+$J$54="超过20%"</formula>
    </cfRule>
  </conditionalFormatting>
  <conditionalFormatting sqref="I55">
    <cfRule type="expression" dxfId="170" priority="5" stopIfTrue="1">
      <formula>$J$55="超过30%"</formula>
    </cfRule>
  </conditionalFormatting>
  <conditionalFormatting sqref="F49">
    <cfRule type="expression" dxfId="169" priority="4">
      <formula>$D$49="简单平均"</formula>
    </cfRule>
  </conditionalFormatting>
  <conditionalFormatting sqref="H49">
    <cfRule type="expression" dxfId="168" priority="3">
      <formula>$D$49="简单平均"</formula>
    </cfRule>
  </conditionalFormatting>
  <conditionalFormatting sqref="J49">
    <cfRule type="expression" dxfId="167" priority="2">
      <formula>$D$49="简单平均"</formula>
    </cfRule>
  </conditionalFormatting>
  <conditionalFormatting sqref="F7:F47 H7:H47 J7:J47">
    <cfRule type="cellIs" dxfId="16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C10 G10 E10 I10">
      <formula1>土地年限区间</formula1>
    </dataValidation>
    <dataValidation type="list" allowBlank="1" showInputMessage="1" showErrorMessage="1" sqref="E9 G9 I9">
      <formula1>办公用途</formula1>
    </dataValidation>
    <dataValidation type="list" allowBlank="1" showInputMessage="1" showErrorMessage="1" sqref="C16 G16 E16 I16 I18 G18 E18 C18 C20 E20 G20 I20">
      <formula1>办公集聚程度</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G43 E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dimension ref="D22:E93"/>
  <sheetViews>
    <sheetView topLeftCell="A58" workbookViewId="0">
      <selection activeCell="K73" sqref="K73"/>
    </sheetView>
  </sheetViews>
  <sheetFormatPr baseColWidth="10" defaultColWidth="8.83203125" defaultRowHeight="15" x14ac:dyDescent="0.2"/>
  <cols>
    <col min="1" max="16384" width="8.83203125" style="3186"/>
  </cols>
  <sheetData>
    <row r="22" spans="4:5" x14ac:dyDescent="0.2">
      <c r="E22" s="3187"/>
    </row>
    <row r="24" spans="4:5" x14ac:dyDescent="0.2">
      <c r="D24" s="3188"/>
    </row>
    <row r="57" spans="4:5" x14ac:dyDescent="0.2">
      <c r="E57" s="3187"/>
    </row>
    <row r="59" spans="4:5" x14ac:dyDescent="0.2">
      <c r="D59" s="3188"/>
    </row>
    <row r="91" spans="4:5" x14ac:dyDescent="0.2">
      <c r="E91" s="3187"/>
    </row>
    <row r="93" spans="4:5" x14ac:dyDescent="0.2">
      <c r="D93" s="3188"/>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dimension ref="A1"/>
  <sheetViews>
    <sheetView workbookViewId="0">
      <selection activeCell="L14" sqref="L14"/>
    </sheetView>
  </sheetViews>
  <sheetFormatPr baseColWidth="10" defaultColWidth="8.83203125" defaultRowHeight="15" x14ac:dyDescent="0.2"/>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3"/>
  <sheetViews>
    <sheetView view="pageBreakPreview" topLeftCell="A22" zoomScale="85" zoomScaleNormal="70" zoomScaleSheetLayoutView="85" workbookViewId="0">
      <selection activeCell="D92" sqref="D92"/>
    </sheetView>
  </sheetViews>
  <sheetFormatPr baseColWidth="10" defaultColWidth="9" defaultRowHeight="14" x14ac:dyDescent="0.2"/>
  <cols>
    <col min="1" max="1" width="10.5" style="363" customWidth="1"/>
    <col min="2" max="2" width="15.66406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2104"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x14ac:dyDescent="0.25">
      <c r="A1" s="1390" t="s">
        <v>2349</v>
      </c>
      <c r="B1" s="2066" t="s">
        <v>2463</v>
      </c>
      <c r="C1" s="1406" t="s">
        <v>2351</v>
      </c>
      <c r="D1" s="1393" t="s">
        <v>1343</v>
      </c>
      <c r="E1" s="2545"/>
      <c r="F1" s="2067" t="s">
        <v>3204</v>
      </c>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x14ac:dyDescent="0.2">
      <c r="A2" s="1389" t="s">
        <v>2148</v>
      </c>
      <c r="B2" s="1326">
        <f>IF(C2="——",ROUND(C49*D3/10000,0),ROUND(C49*D3/10000,0)-D2)</f>
        <v>0</v>
      </c>
      <c r="C2" s="2069" t="s">
        <v>70</v>
      </c>
      <c r="D2" s="1275" t="e">
        <f ca="1">SUMIF(INDIRECT("'"&amp;F2&amp;"'"&amp;"!A:A"),"承租人权益价值",INDIRECT("'"&amp;F2&amp;"'"&amp;"!c:c"))</f>
        <v>#REF!</v>
      </c>
      <c r="E2" s="2070" t="s">
        <v>2149</v>
      </c>
      <c r="F2" s="2071"/>
      <c r="G2" s="1039"/>
      <c r="H2" s="1039"/>
      <c r="I2" s="1039"/>
      <c r="J2" s="1039"/>
      <c r="K2" s="1039"/>
      <c r="L2" s="2963"/>
      <c r="M2" s="2964"/>
      <c r="N2" s="2964"/>
      <c r="O2" s="2964"/>
      <c r="P2" s="2140"/>
      <c r="Q2" s="1043"/>
      <c r="R2" s="1043"/>
      <c r="S2" s="1043"/>
      <c r="T2" s="1043"/>
      <c r="U2" s="1043"/>
      <c r="V2" s="1043"/>
      <c r="W2" s="1043"/>
      <c r="X2" s="1043"/>
      <c r="Y2" s="1043"/>
      <c r="Z2" s="1043"/>
      <c r="AA2" s="1043"/>
      <c r="AB2" s="1043"/>
      <c r="AC2" s="2141"/>
    </row>
    <row r="3" spans="1:29" s="358" customFormat="1" ht="28.5" customHeight="1" thickBot="1" x14ac:dyDescent="0.25">
      <c r="A3" s="209" t="s">
        <v>2150</v>
      </c>
      <c r="B3" s="566">
        <f>IF(C2="——",C49,ROUND(B2*10000/D3,0))</f>
        <v>40936</v>
      </c>
      <c r="C3" s="360" t="s">
        <v>2465</v>
      </c>
      <c r="D3" s="359">
        <f>IF(D1="",'数据-汇总表'!E3,SUMIF('数据-汇总表'!$C19:$C33,D1,'数据-汇总表'!$E19:$E33))</f>
        <v>0</v>
      </c>
      <c r="E3" s="2142"/>
      <c r="F3" s="1040"/>
      <c r="G3" s="1039"/>
      <c r="H3" s="1039"/>
      <c r="I3" s="1039"/>
      <c r="J3" s="1039"/>
      <c r="K3" s="1041"/>
      <c r="L3" s="2963"/>
      <c r="M3" s="2964"/>
      <c r="N3" s="2964"/>
      <c r="O3" s="2964"/>
      <c r="P3" s="2140"/>
      <c r="Q3" s="1043"/>
      <c r="R3" s="1043"/>
      <c r="S3" s="1043"/>
      <c r="T3" s="1043"/>
      <c r="U3" s="1043"/>
      <c r="V3" s="1043"/>
      <c r="W3" s="1043"/>
      <c r="X3" s="1043"/>
      <c r="Y3" s="1043"/>
      <c r="Z3" s="1043"/>
      <c r="AA3" s="1043"/>
      <c r="AB3" s="1043"/>
      <c r="AC3" s="2142"/>
    </row>
    <row r="4" spans="1:29" x14ac:dyDescent="0.2">
      <c r="A4" s="361" t="s">
        <v>2466</v>
      </c>
      <c r="B4" s="362"/>
      <c r="C4" s="3429" t="s">
        <v>2467</v>
      </c>
      <c r="D4" s="3430"/>
      <c r="E4" s="3431" t="s">
        <v>2468</v>
      </c>
      <c r="F4" s="3432"/>
      <c r="G4" s="3429" t="s">
        <v>2469</v>
      </c>
      <c r="H4" s="3430"/>
      <c r="I4" s="3429" t="s">
        <v>2470</v>
      </c>
      <c r="J4" s="3430"/>
      <c r="K4" s="567" t="s">
        <v>2471</v>
      </c>
      <c r="L4" s="2944"/>
      <c r="M4" s="2945"/>
      <c r="N4" s="2945"/>
      <c r="O4" s="2945"/>
      <c r="P4" s="3464" t="s">
        <v>2472</v>
      </c>
      <c r="Q4" s="3465"/>
      <c r="R4" s="3468" t="s">
        <v>2468</v>
      </c>
      <c r="S4" s="3469"/>
      <c r="T4" s="3468" t="s">
        <v>2469</v>
      </c>
      <c r="U4" s="3469"/>
      <c r="V4" s="3446" t="s">
        <v>2470</v>
      </c>
      <c r="W4" s="3446"/>
      <c r="X4" s="1541"/>
      <c r="Y4" s="3468" t="s">
        <v>2472</v>
      </c>
      <c r="Z4" s="3469"/>
      <c r="AA4" s="3463" t="s">
        <v>2468</v>
      </c>
      <c r="AB4" s="3446" t="s">
        <v>2469</v>
      </c>
      <c r="AC4" s="3463" t="s">
        <v>2470</v>
      </c>
    </row>
    <row r="5" spans="1:29" x14ac:dyDescent="0.2">
      <c r="A5" s="364"/>
      <c r="B5" s="365"/>
      <c r="C5" s="3453" t="str">
        <f>'租金比较法-商业'!C5:D5</f>
        <v>现代城</v>
      </c>
      <c r="D5" s="3454"/>
      <c r="E5" s="3447" t="s">
        <v>3316</v>
      </c>
      <c r="F5" s="3448"/>
      <c r="G5" s="3453" t="s">
        <v>3317</v>
      </c>
      <c r="H5" s="3472"/>
      <c r="I5" s="3447" t="s">
        <v>3318</v>
      </c>
      <c r="J5" s="3448"/>
      <c r="K5" s="567"/>
      <c r="L5" s="2944"/>
      <c r="M5" s="2945"/>
      <c r="N5" s="2945"/>
      <c r="O5" s="2945"/>
      <c r="P5" s="3466"/>
      <c r="Q5" s="3436"/>
      <c r="R5" s="3441"/>
      <c r="S5" s="3442"/>
      <c r="T5" s="3441"/>
      <c r="U5" s="3442"/>
      <c r="V5" s="3446"/>
      <c r="W5" s="3446"/>
      <c r="X5" s="1541"/>
      <c r="Y5" s="3441"/>
      <c r="Z5" s="3442"/>
      <c r="AA5" s="3458"/>
      <c r="AB5" s="3446"/>
      <c r="AC5" s="3458"/>
    </row>
    <row r="6" spans="1:29" ht="15" thickBot="1" x14ac:dyDescent="0.25">
      <c r="A6" s="366"/>
      <c r="B6" s="367"/>
      <c r="C6" s="3455"/>
      <c r="D6" s="3456"/>
      <c r="E6" s="3470"/>
      <c r="F6" s="3471"/>
      <c r="G6" s="3470"/>
      <c r="H6" s="3471"/>
      <c r="I6" s="3470"/>
      <c r="J6" s="3471"/>
      <c r="K6" s="567" t="s">
        <v>2368</v>
      </c>
      <c r="L6" s="2944"/>
      <c r="M6" s="2945"/>
      <c r="N6" s="2945"/>
      <c r="O6" s="2945"/>
      <c r="P6" s="3467"/>
      <c r="Q6" s="3438"/>
      <c r="R6" s="3441"/>
      <c r="S6" s="3442"/>
      <c r="T6" s="3443"/>
      <c r="U6" s="3444"/>
      <c r="V6" s="3446"/>
      <c r="W6" s="3446"/>
      <c r="X6" s="1541"/>
      <c r="Y6" s="3443"/>
      <c r="Z6" s="3444"/>
      <c r="AA6" s="3459"/>
      <c r="AB6" s="3446"/>
      <c r="AC6" s="3459"/>
    </row>
    <row r="7" spans="1:29" s="113" customFormat="1" ht="15" thickBot="1" x14ac:dyDescent="0.25">
      <c r="A7" s="368" t="s">
        <v>2369</v>
      </c>
      <c r="B7" s="369"/>
      <c r="C7" s="370">
        <f>'数据-取费表'!B2</f>
        <v>44606</v>
      </c>
      <c r="D7" s="371">
        <v>100</v>
      </c>
      <c r="E7" s="372">
        <f>C7</f>
        <v>44606</v>
      </c>
      <c r="F7" s="373">
        <f>SUMIF(58:58,YEAR(E7)&amp;"-"&amp;MONTH(E7),59:59)</f>
        <v>100</v>
      </c>
      <c r="G7" s="372">
        <f>C7</f>
        <v>44606</v>
      </c>
      <c r="H7" s="371">
        <f>SUMIF(58:58,YEAR(G7)&amp;"-"&amp;MONTH(G7),59:59)</f>
        <v>100</v>
      </c>
      <c r="I7" s="372">
        <f>C7</f>
        <v>44606</v>
      </c>
      <c r="J7" s="371">
        <f>SUMIF(58:58,YEAR(I7)&amp;"-"&amp;MONTH(I7),59:59)</f>
        <v>100</v>
      </c>
      <c r="K7" s="568"/>
      <c r="L7" s="2946"/>
      <c r="M7" s="2947"/>
      <c r="N7" s="2947"/>
      <c r="O7" s="2947"/>
      <c r="P7" s="3451" t="s">
        <v>2370</v>
      </c>
      <c r="Q7" s="3452"/>
      <c r="R7" s="710" t="s">
        <v>17</v>
      </c>
      <c r="S7" s="711">
        <f t="shared" ref="S7:S15" si="0">F7</f>
        <v>100</v>
      </c>
      <c r="T7" s="710" t="s">
        <v>17</v>
      </c>
      <c r="U7" s="711">
        <f t="shared" ref="U7:U15" si="1">H7</f>
        <v>100</v>
      </c>
      <c r="V7" s="710" t="s">
        <v>17</v>
      </c>
      <c r="W7" s="711">
        <f t="shared" ref="W7:W15" si="2">J7</f>
        <v>100</v>
      </c>
      <c r="X7" s="712"/>
      <c r="Y7" s="3451" t="s">
        <v>2370</v>
      </c>
      <c r="Z7" s="3450"/>
      <c r="AA7" s="713">
        <f>D7/F7</f>
        <v>1</v>
      </c>
      <c r="AB7" s="713">
        <f>D7/H7</f>
        <v>1</v>
      </c>
      <c r="AC7" s="713">
        <f>D7/J7</f>
        <v>1</v>
      </c>
    </row>
    <row r="8" spans="1:29" s="113" customFormat="1" ht="15" thickBot="1" x14ac:dyDescent="0.25">
      <c r="A8" s="368" t="s">
        <v>2371</v>
      </c>
      <c r="B8" s="369"/>
      <c r="C8" s="374" t="s">
        <v>2473</v>
      </c>
      <c r="D8" s="371">
        <v>100</v>
      </c>
      <c r="E8" s="374" t="s">
        <v>3212</v>
      </c>
      <c r="F8" s="373">
        <f>SUMIF(61:61,E8,62:62)-SUMIF(61:61,C8,62:62)+100</f>
        <v>102</v>
      </c>
      <c r="G8" s="374" t="s">
        <v>3212</v>
      </c>
      <c r="H8" s="371">
        <f>SUMIF(61:61,G8,62:62)-SUMIF(61:61,C8,62:62)+100</f>
        <v>102</v>
      </c>
      <c r="I8" s="374" t="s">
        <v>3212</v>
      </c>
      <c r="J8" s="371">
        <f>SUMIF(61:61,I8,62:62)-SUMIF(61:61,C8,62:62)+100</f>
        <v>102</v>
      </c>
      <c r="K8" s="568"/>
      <c r="L8" s="2946"/>
      <c r="M8" s="2947"/>
      <c r="N8" s="2947"/>
      <c r="O8" s="2947"/>
      <c r="P8" s="3451" t="s">
        <v>2373</v>
      </c>
      <c r="Q8" s="3450"/>
      <c r="R8" s="710" t="s">
        <v>17</v>
      </c>
      <c r="S8" s="711">
        <f t="shared" si="0"/>
        <v>102</v>
      </c>
      <c r="T8" s="710" t="s">
        <v>17</v>
      </c>
      <c r="U8" s="711">
        <f t="shared" si="1"/>
        <v>102</v>
      </c>
      <c r="V8" s="710" t="s">
        <v>17</v>
      </c>
      <c r="W8" s="711">
        <f t="shared" si="2"/>
        <v>102</v>
      </c>
      <c r="X8" s="712"/>
      <c r="Y8" s="3451" t="s">
        <v>2373</v>
      </c>
      <c r="Z8" s="3450"/>
      <c r="AA8" s="713">
        <f t="shared" ref="AA8:AA46" si="3">D8/F8</f>
        <v>0.98039215686274506</v>
      </c>
      <c r="AB8" s="713">
        <f t="shared" ref="AB8:AB46" si="4">D8/H8</f>
        <v>0.98039215686274506</v>
      </c>
      <c r="AC8" s="713">
        <f t="shared" ref="AC8:AC46" si="5">D8/J8</f>
        <v>0.98039215686274506</v>
      </c>
    </row>
    <row r="9" spans="1:29" s="113" customFormat="1" x14ac:dyDescent="0.2">
      <c r="A9" s="375" t="s">
        <v>2374</v>
      </c>
      <c r="B9" s="67" t="s">
        <v>2375</v>
      </c>
      <c r="C9" s="3123" t="s">
        <v>3319</v>
      </c>
      <c r="D9" s="131">
        <v>100</v>
      </c>
      <c r="E9" s="377" t="s">
        <v>27</v>
      </c>
      <c r="F9" s="378">
        <f>SUMIF(63:63,E9,64:64)-SUMIF(63:63,C9,64:64)+100</f>
        <v>100</v>
      </c>
      <c r="G9" s="377" t="s">
        <v>27</v>
      </c>
      <c r="H9" s="131">
        <f>SUMIF(63:63,G9,64:64)-SUMIF(63:63,C9,64:64)+100</f>
        <v>100</v>
      </c>
      <c r="I9" s="377" t="s">
        <v>27</v>
      </c>
      <c r="J9" s="131">
        <f>SUMIF(63:63,I9,64:64)-SUMIF(63:63,C9,64:64)+100</f>
        <v>100</v>
      </c>
      <c r="K9" s="568"/>
      <c r="L9" s="2946"/>
      <c r="M9" s="2947"/>
      <c r="N9" s="2947"/>
      <c r="O9" s="2947"/>
      <c r="P9" s="3410" t="s">
        <v>2376</v>
      </c>
      <c r="Q9" s="1529" t="str">
        <f t="shared" ref="Q9:Q15" si="6">B9</f>
        <v>用途</v>
      </c>
      <c r="R9" s="710" t="s">
        <v>17</v>
      </c>
      <c r="S9" s="711">
        <f t="shared" si="0"/>
        <v>100</v>
      </c>
      <c r="T9" s="710" t="s">
        <v>17</v>
      </c>
      <c r="U9" s="711">
        <f t="shared" si="1"/>
        <v>100</v>
      </c>
      <c r="V9" s="710" t="s">
        <v>17</v>
      </c>
      <c r="W9" s="711">
        <f t="shared" si="2"/>
        <v>100</v>
      </c>
      <c r="X9" s="712"/>
      <c r="Y9" s="3311" t="s">
        <v>2377</v>
      </c>
      <c r="Z9" s="55" t="str">
        <f t="shared" ref="Z9:Z15" si="7">Q9</f>
        <v>用途</v>
      </c>
      <c r="AA9" s="713">
        <f t="shared" si="3"/>
        <v>1</v>
      </c>
      <c r="AB9" s="713">
        <f t="shared" si="4"/>
        <v>1</v>
      </c>
      <c r="AC9" s="713">
        <f t="shared" si="5"/>
        <v>1</v>
      </c>
    </row>
    <row r="10" spans="1:29" s="386" customFormat="1" ht="28" x14ac:dyDescent="0.2">
      <c r="A10" s="380"/>
      <c r="B10" s="381" t="s">
        <v>2378</v>
      </c>
      <c r="C10" s="382" t="s">
        <v>3308</v>
      </c>
      <c r="D10" s="132">
        <v>100</v>
      </c>
      <c r="E10" s="383" t="s">
        <v>3308</v>
      </c>
      <c r="F10" s="384">
        <f>SUMIF(65:65,E10,66:66)-SUMIF(65:65,C10,66:66)+100</f>
        <v>100</v>
      </c>
      <c r="G10" s="383" t="s">
        <v>3308</v>
      </c>
      <c r="H10" s="132">
        <f>SUMIF(65:65,G10,66:66)-SUMIF(65:65,C10,66:66)+100</f>
        <v>100</v>
      </c>
      <c r="I10" s="383" t="s">
        <v>3308</v>
      </c>
      <c r="J10" s="132">
        <f>SUMIF(65:65,I10,66:66)-SUMIF(65:65,C10,66:66)+100</f>
        <v>100</v>
      </c>
      <c r="K10" s="569">
        <v>2</v>
      </c>
      <c r="L10" s="2948"/>
      <c r="M10" s="2949"/>
      <c r="N10" s="2949"/>
      <c r="O10" s="2949"/>
      <c r="P10" s="3410"/>
      <c r="Q10" s="1529"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6" hidden="1" x14ac:dyDescent="0.2">
      <c r="A11" s="387"/>
      <c r="B11" s="381" t="s">
        <v>2379</v>
      </c>
      <c r="C11" s="388">
        <v>2.5</v>
      </c>
      <c r="D11" s="132">
        <v>100</v>
      </c>
      <c r="E11" s="389">
        <v>2.5</v>
      </c>
      <c r="F11" s="384">
        <f>LOOKUP(E11,68:68,69:69)-LOOKUP(C11,68:68,69:69)+100</f>
        <v>100</v>
      </c>
      <c r="G11" s="388">
        <v>2.5</v>
      </c>
      <c r="H11" s="132">
        <f>LOOKUP(G11,68:68,69:69)-LOOKUP(C11,68:68,69:69)+100</f>
        <v>100</v>
      </c>
      <c r="I11" s="388">
        <v>2.5</v>
      </c>
      <c r="J11" s="132">
        <f>LOOKUP(I11,68:68,69:69)-LOOKUP(C11,68:68,69:69)+100</f>
        <v>100</v>
      </c>
      <c r="K11" s="569"/>
      <c r="L11" s="2950"/>
      <c r="M11" s="2945"/>
      <c r="N11" s="2945"/>
      <c r="O11" s="2945"/>
      <c r="P11" s="3410"/>
      <c r="Q11" s="1529" t="str">
        <f t="shared" si="6"/>
        <v>容积率</v>
      </c>
      <c r="R11" s="710" t="s">
        <v>17</v>
      </c>
      <c r="S11" s="711">
        <f t="shared" si="0"/>
        <v>100</v>
      </c>
      <c r="T11" s="710" t="s">
        <v>17</v>
      </c>
      <c r="U11" s="711">
        <f t="shared" si="1"/>
        <v>100</v>
      </c>
      <c r="V11" s="710" t="s">
        <v>17</v>
      </c>
      <c r="W11" s="711">
        <f t="shared" si="2"/>
        <v>100</v>
      </c>
      <c r="X11" s="712"/>
      <c r="Y11" s="3311"/>
      <c r="Z11" s="55" t="str">
        <f t="shared" si="7"/>
        <v>容积率</v>
      </c>
      <c r="AA11" s="713">
        <f t="shared" si="3"/>
        <v>1</v>
      </c>
      <c r="AB11" s="713">
        <f t="shared" si="4"/>
        <v>1</v>
      </c>
      <c r="AC11" s="713">
        <f t="shared" si="5"/>
        <v>1</v>
      </c>
    </row>
    <row r="12" spans="1:29" s="113" customFormat="1" ht="16" x14ac:dyDescent="0.2">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10"/>
      <c r="Q12" s="1529">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6" x14ac:dyDescent="0.2">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10"/>
      <c r="Q13" s="1529">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7" thickBot="1" x14ac:dyDescent="0.25">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10"/>
      <c r="Q14" s="1529">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70" x14ac:dyDescent="0.2">
      <c r="A15" s="399" t="s">
        <v>2380</v>
      </c>
      <c r="B15" s="65" t="s">
        <v>2474</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2</v>
      </c>
      <c r="L15" s="2951"/>
      <c r="M15" s="2945"/>
      <c r="N15" s="2945"/>
      <c r="O15" s="2945"/>
      <c r="P15" s="3416" t="s">
        <v>2381</v>
      </c>
      <c r="Q15" s="1538" t="str">
        <f t="shared" si="6"/>
        <v>商业繁华度</v>
      </c>
      <c r="R15" s="714" t="s">
        <v>17</v>
      </c>
      <c r="S15" s="715">
        <f t="shared" si="0"/>
        <v>100</v>
      </c>
      <c r="T15" s="714" t="s">
        <v>17</v>
      </c>
      <c r="U15" s="715">
        <f t="shared" si="1"/>
        <v>100</v>
      </c>
      <c r="V15" s="714" t="s">
        <v>17</v>
      </c>
      <c r="W15" s="715">
        <f t="shared" si="2"/>
        <v>100</v>
      </c>
      <c r="X15" s="1541"/>
      <c r="Y15" s="3418" t="s">
        <v>2381</v>
      </c>
      <c r="Z15" s="1542" t="str">
        <f t="shared" si="7"/>
        <v>商业繁华度</v>
      </c>
      <c r="AA15" s="1539">
        <f t="shared" si="3"/>
        <v>1</v>
      </c>
      <c r="AB15" s="1539">
        <f t="shared" si="4"/>
        <v>1</v>
      </c>
      <c r="AC15" s="1539">
        <f t="shared" si="5"/>
        <v>1</v>
      </c>
    </row>
    <row r="16" spans="1:29" ht="16" x14ac:dyDescent="0.2">
      <c r="A16" s="387"/>
      <c r="B16" s="405"/>
      <c r="C16" s="406" t="s">
        <v>3209</v>
      </c>
      <c r="D16" s="407"/>
      <c r="E16" s="406" t="s">
        <v>3209</v>
      </c>
      <c r="F16" s="408"/>
      <c r="G16" s="406" t="s">
        <v>3209</v>
      </c>
      <c r="H16" s="409"/>
      <c r="I16" s="406" t="s">
        <v>3209</v>
      </c>
      <c r="J16" s="407"/>
      <c r="K16" s="572"/>
      <c r="L16" s="2951"/>
      <c r="M16" s="2945"/>
      <c r="N16" s="2945"/>
      <c r="O16" s="2945"/>
      <c r="P16" s="3417"/>
      <c r="Q16" s="1538"/>
      <c r="R16" s="714"/>
      <c r="S16" s="715"/>
      <c r="T16" s="714"/>
      <c r="U16" s="715"/>
      <c r="V16" s="714"/>
      <c r="W16" s="715"/>
      <c r="X16" s="1541"/>
      <c r="Y16" s="3419"/>
      <c r="Z16" s="1542"/>
      <c r="AA16" s="1539">
        <v>1</v>
      </c>
      <c r="AB16" s="1539">
        <v>1</v>
      </c>
      <c r="AC16" s="1539">
        <v>1</v>
      </c>
    </row>
    <row r="17" spans="1:29" ht="84" x14ac:dyDescent="0.2">
      <c r="A17" s="387"/>
      <c r="B17" s="410" t="s">
        <v>1945</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51"/>
      <c r="M17" s="2945"/>
      <c r="N17" s="2945"/>
      <c r="O17" s="2945"/>
      <c r="P17" s="3417"/>
      <c r="Q17" s="1538" t="str">
        <f>B17</f>
        <v>交通便捷度</v>
      </c>
      <c r="R17" s="714" t="s">
        <v>17</v>
      </c>
      <c r="S17" s="715">
        <f>F17</f>
        <v>100</v>
      </c>
      <c r="T17" s="714" t="s">
        <v>17</v>
      </c>
      <c r="U17" s="715">
        <f>H17</f>
        <v>100</v>
      </c>
      <c r="V17" s="714" t="s">
        <v>17</v>
      </c>
      <c r="W17" s="715">
        <f>J17</f>
        <v>100</v>
      </c>
      <c r="X17" s="1541"/>
      <c r="Y17" s="3419"/>
      <c r="Z17" s="1542" t="str">
        <f>Q17</f>
        <v>交通便捷度</v>
      </c>
      <c r="AA17" s="1539">
        <f t="shared" si="3"/>
        <v>1</v>
      </c>
      <c r="AB17" s="1539">
        <f t="shared" si="4"/>
        <v>1</v>
      </c>
      <c r="AC17" s="1539">
        <f t="shared" si="5"/>
        <v>1</v>
      </c>
    </row>
    <row r="18" spans="1:29" ht="16" x14ac:dyDescent="0.2">
      <c r="A18" s="387"/>
      <c r="B18" s="415"/>
      <c r="C18" s="2089" t="s">
        <v>3209</v>
      </c>
      <c r="D18" s="409"/>
      <c r="E18" s="2089" t="s">
        <v>3209</v>
      </c>
      <c r="F18" s="412"/>
      <c r="G18" s="2089" t="s">
        <v>3209</v>
      </c>
      <c r="H18" s="407"/>
      <c r="I18" s="2089" t="s">
        <v>3209</v>
      </c>
      <c r="J18" s="407"/>
      <c r="K18" s="572"/>
      <c r="L18" s="2951"/>
      <c r="M18" s="2945"/>
      <c r="N18" s="2945"/>
      <c r="O18" s="2945"/>
      <c r="P18" s="3417"/>
      <c r="Q18" s="1538"/>
      <c r="R18" s="714"/>
      <c r="S18" s="715"/>
      <c r="T18" s="714"/>
      <c r="U18" s="715"/>
      <c r="V18" s="714"/>
      <c r="W18" s="715"/>
      <c r="X18" s="1541"/>
      <c r="Y18" s="3419"/>
      <c r="Z18" s="1542"/>
      <c r="AA18" s="1539">
        <v>1</v>
      </c>
      <c r="AB18" s="1539">
        <v>1</v>
      </c>
      <c r="AC18" s="1539">
        <v>1</v>
      </c>
    </row>
    <row r="19" spans="1:29" ht="42" x14ac:dyDescent="0.2">
      <c r="A19" s="387"/>
      <c r="B19" s="410" t="s">
        <v>2475</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1"/>
      <c r="M19" s="2945"/>
      <c r="N19" s="2945"/>
      <c r="O19" s="2945"/>
      <c r="P19" s="3417"/>
      <c r="Q19" s="1538" t="str">
        <f>B19</f>
        <v>公共配套设施</v>
      </c>
      <c r="R19" s="714" t="s">
        <v>17</v>
      </c>
      <c r="S19" s="715">
        <f>F19</f>
        <v>100</v>
      </c>
      <c r="T19" s="714" t="s">
        <v>17</v>
      </c>
      <c r="U19" s="715">
        <f>H19</f>
        <v>100</v>
      </c>
      <c r="V19" s="714" t="s">
        <v>17</v>
      </c>
      <c r="W19" s="715">
        <f>J19</f>
        <v>100</v>
      </c>
      <c r="X19" s="1541"/>
      <c r="Y19" s="3419"/>
      <c r="Z19" s="1542" t="str">
        <f>Q19</f>
        <v>公共配套设施</v>
      </c>
      <c r="AA19" s="1539">
        <f t="shared" si="3"/>
        <v>1</v>
      </c>
      <c r="AB19" s="1539">
        <f t="shared" si="4"/>
        <v>1</v>
      </c>
      <c r="AC19" s="1539">
        <f t="shared" si="5"/>
        <v>1</v>
      </c>
    </row>
    <row r="20" spans="1:29" ht="16" x14ac:dyDescent="0.2">
      <c r="A20" s="387"/>
      <c r="B20" s="415"/>
      <c r="C20" s="2089" t="s">
        <v>3209</v>
      </c>
      <c r="D20" s="407"/>
      <c r="E20" s="2089" t="s">
        <v>3209</v>
      </c>
      <c r="F20" s="408"/>
      <c r="G20" s="2089" t="s">
        <v>3209</v>
      </c>
      <c r="H20" s="407"/>
      <c r="I20" s="2089" t="s">
        <v>3209</v>
      </c>
      <c r="J20" s="407"/>
      <c r="K20" s="572"/>
      <c r="L20" s="2951"/>
      <c r="M20" s="2945"/>
      <c r="N20" s="2945"/>
      <c r="O20" s="2945"/>
      <c r="P20" s="3417"/>
      <c r="Q20" s="1538"/>
      <c r="R20" s="714"/>
      <c r="S20" s="715"/>
      <c r="T20" s="714"/>
      <c r="U20" s="715"/>
      <c r="V20" s="714"/>
      <c r="W20" s="715"/>
      <c r="X20" s="1541"/>
      <c r="Y20" s="3419"/>
      <c r="Z20" s="1542"/>
      <c r="AA20" s="1539">
        <v>1</v>
      </c>
      <c r="AB20" s="1539">
        <v>1</v>
      </c>
      <c r="AC20" s="1539">
        <v>1</v>
      </c>
    </row>
    <row r="21" spans="1:29" ht="28" x14ac:dyDescent="0.2">
      <c r="A21" s="387"/>
      <c r="B21" s="1293" t="s">
        <v>2476</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1"/>
      <c r="M21" s="2945"/>
      <c r="N21" s="2945"/>
      <c r="O21" s="2945"/>
      <c r="P21" s="3417"/>
      <c r="Q21" s="1538" t="str">
        <f>B21</f>
        <v>基础设施水平</v>
      </c>
      <c r="R21" s="714" t="s">
        <v>17</v>
      </c>
      <c r="S21" s="715">
        <f>F21</f>
        <v>100</v>
      </c>
      <c r="T21" s="714" t="s">
        <v>17</v>
      </c>
      <c r="U21" s="715">
        <f>H21</f>
        <v>100</v>
      </c>
      <c r="V21" s="714" t="s">
        <v>17</v>
      </c>
      <c r="W21" s="715">
        <f>J21</f>
        <v>100</v>
      </c>
      <c r="X21" s="1541"/>
      <c r="Y21" s="3419"/>
      <c r="Z21" s="1542" t="str">
        <f>Q21</f>
        <v>基础设施水平</v>
      </c>
      <c r="AA21" s="1539">
        <f t="shared" ref="AA21" si="8">D21/F21</f>
        <v>1</v>
      </c>
      <c r="AB21" s="1539">
        <f t="shared" ref="AB21" si="9">D21/H21</f>
        <v>1</v>
      </c>
      <c r="AC21" s="1539">
        <f t="shared" ref="AC21" si="10">D21/J21</f>
        <v>1</v>
      </c>
    </row>
    <row r="22" spans="1:29" ht="16" x14ac:dyDescent="0.2">
      <c r="A22" s="387"/>
      <c r="B22" s="1293"/>
      <c r="C22" s="2089" t="s">
        <v>3216</v>
      </c>
      <c r="D22" s="407"/>
      <c r="E22" s="2089" t="s">
        <v>3216</v>
      </c>
      <c r="F22" s="408"/>
      <c r="G22" s="2089" t="s">
        <v>3216</v>
      </c>
      <c r="H22" s="407"/>
      <c r="I22" s="2089" t="s">
        <v>3216</v>
      </c>
      <c r="J22" s="407"/>
      <c r="K22" s="1292"/>
      <c r="L22" s="2951"/>
      <c r="M22" s="2945"/>
      <c r="N22" s="2945"/>
      <c r="O22" s="2945"/>
      <c r="P22" s="3417"/>
      <c r="Q22" s="1538"/>
      <c r="R22" s="714"/>
      <c r="S22" s="715"/>
      <c r="T22" s="714"/>
      <c r="U22" s="715"/>
      <c r="V22" s="714"/>
      <c r="W22" s="715"/>
      <c r="X22" s="1541"/>
      <c r="Y22" s="3419"/>
      <c r="Z22" s="1542"/>
      <c r="AA22" s="1539">
        <v>1</v>
      </c>
      <c r="AB22" s="1539">
        <v>1</v>
      </c>
      <c r="AC22" s="1539">
        <v>1</v>
      </c>
    </row>
    <row r="23" spans="1:29" ht="56" x14ac:dyDescent="0.2">
      <c r="A23" s="387"/>
      <c r="B23" s="410" t="s">
        <v>1947</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1"/>
      <c r="M23" s="2945"/>
      <c r="N23" s="2945"/>
      <c r="O23" s="2945"/>
      <c r="P23" s="3417"/>
      <c r="Q23" s="1538" t="str">
        <f>B23</f>
        <v>自然及人文环境</v>
      </c>
      <c r="R23" s="714" t="s">
        <v>17</v>
      </c>
      <c r="S23" s="715">
        <f>F23</f>
        <v>100</v>
      </c>
      <c r="T23" s="714" t="s">
        <v>17</v>
      </c>
      <c r="U23" s="715">
        <f>H23</f>
        <v>100</v>
      </c>
      <c r="V23" s="714" t="s">
        <v>17</v>
      </c>
      <c r="W23" s="715">
        <f>J23</f>
        <v>100</v>
      </c>
      <c r="X23" s="1541"/>
      <c r="Y23" s="3419"/>
      <c r="Z23" s="1542" t="str">
        <f>Q23</f>
        <v>自然及人文环境</v>
      </c>
      <c r="AA23" s="1539">
        <f t="shared" si="3"/>
        <v>1</v>
      </c>
      <c r="AB23" s="1539">
        <f t="shared" si="4"/>
        <v>1</v>
      </c>
      <c r="AC23" s="1539">
        <f t="shared" si="5"/>
        <v>1</v>
      </c>
    </row>
    <row r="24" spans="1:29" ht="16" x14ac:dyDescent="0.2">
      <c r="A24" s="387"/>
      <c r="B24" s="415"/>
      <c r="C24" s="406" t="s">
        <v>3209</v>
      </c>
      <c r="D24" s="407"/>
      <c r="E24" s="406" t="s">
        <v>3209</v>
      </c>
      <c r="F24" s="408"/>
      <c r="G24" s="406" t="s">
        <v>3209</v>
      </c>
      <c r="H24" s="407"/>
      <c r="I24" s="406" t="s">
        <v>3209</v>
      </c>
      <c r="J24" s="407"/>
      <c r="K24" s="572"/>
      <c r="L24" s="2951"/>
      <c r="M24" s="2945"/>
      <c r="N24" s="2945"/>
      <c r="O24" s="2945"/>
      <c r="P24" s="3417"/>
      <c r="Q24" s="1538"/>
      <c r="R24" s="714"/>
      <c r="S24" s="715"/>
      <c r="T24" s="714"/>
      <c r="U24" s="715"/>
      <c r="V24" s="714"/>
      <c r="W24" s="715"/>
      <c r="X24" s="1541"/>
      <c r="Y24" s="3419"/>
      <c r="Z24" s="1542"/>
      <c r="AA24" s="1539">
        <v>1</v>
      </c>
      <c r="AB24" s="1539">
        <v>1</v>
      </c>
      <c r="AC24" s="1539">
        <v>1</v>
      </c>
    </row>
    <row r="25" spans="1:29" ht="16" x14ac:dyDescent="0.2">
      <c r="A25" s="387"/>
      <c r="B25" s="381" t="s">
        <v>2477</v>
      </c>
      <c r="C25" s="573" t="s">
        <v>3320</v>
      </c>
      <c r="D25" s="394">
        <v>100</v>
      </c>
      <c r="E25" s="573" t="s">
        <v>3259</v>
      </c>
      <c r="F25" s="420">
        <f>SUMIF(86:86,E25,87:87)-SUMIF(86:86,C25,87:87)+100</f>
        <v>95</v>
      </c>
      <c r="G25" s="573" t="s">
        <v>3259</v>
      </c>
      <c r="H25" s="394">
        <f>SUMIF(86:86,G25,87:87)-SUMIF(86:86,C25,87:87)+100</f>
        <v>95</v>
      </c>
      <c r="I25" s="573" t="s">
        <v>3259</v>
      </c>
      <c r="J25" s="394">
        <f>SUMIF(86:86,I25,87:87)-SUMIF(86:86,C25,87:87)+100</f>
        <v>95</v>
      </c>
      <c r="K25" s="569">
        <v>5</v>
      </c>
      <c r="L25" s="2951"/>
      <c r="M25" s="2945"/>
      <c r="N25" s="2945"/>
      <c r="O25" s="2945"/>
      <c r="P25" s="3417"/>
      <c r="Q25" s="1538" t="str">
        <f t="shared" ref="Q25:Q46" si="11">B25</f>
        <v>临街状况</v>
      </c>
      <c r="R25" s="714" t="s">
        <v>17</v>
      </c>
      <c r="S25" s="715">
        <f>F25</f>
        <v>95</v>
      </c>
      <c r="T25" s="714" t="s">
        <v>17</v>
      </c>
      <c r="U25" s="715">
        <f>H25</f>
        <v>95</v>
      </c>
      <c r="V25" s="714" t="s">
        <v>17</v>
      </c>
      <c r="W25" s="715">
        <f>J25</f>
        <v>95</v>
      </c>
      <c r="X25" s="1541"/>
      <c r="Y25" s="3419"/>
      <c r="Z25" s="1542" t="str">
        <f>Q25</f>
        <v>临街状况</v>
      </c>
      <c r="AA25" s="1539">
        <f t="shared" si="3"/>
        <v>1.0526315789473684</v>
      </c>
      <c r="AB25" s="1539">
        <f t="shared" si="4"/>
        <v>1.0526315789473684</v>
      </c>
      <c r="AC25" s="1539">
        <f t="shared" si="5"/>
        <v>1.0526315789473684</v>
      </c>
    </row>
    <row r="26" spans="1:29" ht="16" x14ac:dyDescent="0.2">
      <c r="A26" s="387"/>
      <c r="B26" s="1295" t="s">
        <v>2478</v>
      </c>
      <c r="C26" s="393" t="s">
        <v>3331</v>
      </c>
      <c r="D26" s="394">
        <v>100</v>
      </c>
      <c r="E26" s="393" t="s">
        <v>3332</v>
      </c>
      <c r="F26" s="420">
        <f>SUMIF(88:88,E26,89:89)-SUMIF(88:88,C26,89:89)+100</f>
        <v>95</v>
      </c>
      <c r="G26" s="393" t="s">
        <v>3332</v>
      </c>
      <c r="H26" s="394">
        <f>SUMIF(88:88,G26,89:89)-SUMIF(88:88,C26,89:89)+100</f>
        <v>95</v>
      </c>
      <c r="I26" s="393" t="s">
        <v>3332</v>
      </c>
      <c r="J26" s="394">
        <f>SUMIF(88:88,I26,89:89)-SUMIF(88:88,C26,89:89)+100</f>
        <v>95</v>
      </c>
      <c r="K26" s="570"/>
      <c r="L26" s="2951"/>
      <c r="M26" s="2945"/>
      <c r="N26" s="2945"/>
      <c r="O26" s="2945"/>
      <c r="P26" s="3417"/>
      <c r="Q26" s="1538" t="str">
        <f t="shared" si="11"/>
        <v>平面位置/可视性</v>
      </c>
      <c r="R26" s="714" t="s">
        <v>17</v>
      </c>
      <c r="S26" s="715">
        <f>F26</f>
        <v>95</v>
      </c>
      <c r="T26" s="714" t="s">
        <v>17</v>
      </c>
      <c r="U26" s="715">
        <f>H26</f>
        <v>95</v>
      </c>
      <c r="V26" s="714" t="s">
        <v>17</v>
      </c>
      <c r="W26" s="715">
        <f>J26</f>
        <v>95</v>
      </c>
      <c r="X26" s="1541"/>
      <c r="Y26" s="3419"/>
      <c r="Z26" s="1542" t="str">
        <f>Q26</f>
        <v>平面位置/可视性</v>
      </c>
      <c r="AA26" s="1539">
        <f t="shared" si="3"/>
        <v>1.0526315789473684</v>
      </c>
      <c r="AB26" s="1539">
        <f t="shared" si="4"/>
        <v>1.0526315789473684</v>
      </c>
      <c r="AC26" s="1539">
        <f t="shared" si="5"/>
        <v>1.0526315789473684</v>
      </c>
    </row>
    <row r="27" spans="1:29" s="113" customFormat="1" ht="16" x14ac:dyDescent="0.2">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6"/>
      <c r="M27" s="2947"/>
      <c r="N27" s="2947"/>
      <c r="O27" s="2947"/>
      <c r="P27" s="3417"/>
      <c r="Q27" s="1529" t="str">
        <f t="shared" si="11"/>
        <v>人流量</v>
      </c>
      <c r="R27" s="710" t="s">
        <v>17</v>
      </c>
      <c r="S27" s="711">
        <f>F27</f>
        <v>100</v>
      </c>
      <c r="T27" s="710" t="s">
        <v>17</v>
      </c>
      <c r="U27" s="711">
        <f>H27</f>
        <v>100</v>
      </c>
      <c r="V27" s="710" t="s">
        <v>17</v>
      </c>
      <c r="W27" s="711">
        <f>J27</f>
        <v>100</v>
      </c>
      <c r="X27" s="712"/>
      <c r="Y27" s="3419"/>
      <c r="Z27" s="55" t="str">
        <f>Q27</f>
        <v>人流量</v>
      </c>
      <c r="AA27" s="1539">
        <f>D27/F27</f>
        <v>1</v>
      </c>
      <c r="AB27" s="1539">
        <f>D27/H27</f>
        <v>1</v>
      </c>
      <c r="AC27" s="1539">
        <f>D27/J27</f>
        <v>1</v>
      </c>
    </row>
    <row r="28" spans="1:29" ht="16" x14ac:dyDescent="0.2">
      <c r="A28" s="387"/>
      <c r="B28" s="381" t="s">
        <v>2480</v>
      </c>
      <c r="C28" s="573" t="s">
        <v>3326</v>
      </c>
      <c r="D28" s="394">
        <v>100</v>
      </c>
      <c r="E28" s="573" t="s">
        <v>3321</v>
      </c>
      <c r="F28" s="420">
        <f>SUMIF(92:92,E28,93:93)-SUMIF(92:92,C28,93:93)+100</f>
        <v>102</v>
      </c>
      <c r="G28" s="573" t="s">
        <v>3321</v>
      </c>
      <c r="H28" s="394">
        <f>SUMIF(92:92,G28,93:93)-SUMIF(92:92,C28,93:93)+100</f>
        <v>102</v>
      </c>
      <c r="I28" s="573" t="s">
        <v>3323</v>
      </c>
      <c r="J28" s="394">
        <f>SUMIF(92:92,I28,93:93)-SUMIF(92:92,C28,93:93)+100</f>
        <v>104</v>
      </c>
      <c r="K28" s="570"/>
      <c r="L28" s="2951"/>
      <c r="M28" s="2945"/>
      <c r="N28" s="2945"/>
      <c r="O28" s="2945"/>
      <c r="P28" s="3417"/>
      <c r="Q28" s="1538" t="str">
        <f t="shared" si="11"/>
        <v>楼层</v>
      </c>
      <c r="R28" s="714" t="s">
        <v>17</v>
      </c>
      <c r="S28" s="715">
        <f t="shared" ref="S28:S46" si="12">F28</f>
        <v>102</v>
      </c>
      <c r="T28" s="714" t="s">
        <v>17</v>
      </c>
      <c r="U28" s="715">
        <f t="shared" ref="U28:U46" si="13">H28</f>
        <v>102</v>
      </c>
      <c r="V28" s="714" t="s">
        <v>17</v>
      </c>
      <c r="W28" s="715">
        <f t="shared" ref="W28:W46" si="14">J28</f>
        <v>104</v>
      </c>
      <c r="X28" s="1541"/>
      <c r="Y28" s="3419"/>
      <c r="Z28" s="1542" t="str">
        <f t="shared" ref="Z28:Z46" si="15">Q28</f>
        <v>楼层</v>
      </c>
      <c r="AA28" s="1539">
        <f t="shared" si="3"/>
        <v>0.98039215686274506</v>
      </c>
      <c r="AB28" s="1539">
        <f t="shared" si="4"/>
        <v>0.98039215686274506</v>
      </c>
      <c r="AC28" s="1539">
        <f t="shared" si="5"/>
        <v>0.96153846153846156</v>
      </c>
    </row>
    <row r="29" spans="1:29" ht="16" x14ac:dyDescent="0.2">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17"/>
      <c r="Q29" s="1538">
        <f t="shared" si="11"/>
        <v>111</v>
      </c>
      <c r="R29" s="714" t="s">
        <v>17</v>
      </c>
      <c r="S29" s="715">
        <f t="shared" si="12"/>
        <v>100</v>
      </c>
      <c r="T29" s="714" t="s">
        <v>17</v>
      </c>
      <c r="U29" s="715">
        <f t="shared" si="13"/>
        <v>100</v>
      </c>
      <c r="V29" s="714" t="s">
        <v>17</v>
      </c>
      <c r="W29" s="715">
        <f t="shared" si="14"/>
        <v>100</v>
      </c>
      <c r="X29" s="1541"/>
      <c r="Y29" s="3419"/>
      <c r="Z29" s="1542">
        <f t="shared" si="15"/>
        <v>111</v>
      </c>
      <c r="AA29" s="1539">
        <f t="shared" si="3"/>
        <v>1</v>
      </c>
      <c r="AB29" s="1539">
        <f t="shared" si="4"/>
        <v>1</v>
      </c>
      <c r="AC29" s="1539">
        <f t="shared" si="5"/>
        <v>1</v>
      </c>
    </row>
    <row r="30" spans="1:29" ht="16" x14ac:dyDescent="0.2">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17"/>
      <c r="Q30" s="1538">
        <f t="shared" si="11"/>
        <v>111</v>
      </c>
      <c r="R30" s="714" t="s">
        <v>17</v>
      </c>
      <c r="S30" s="715">
        <f t="shared" si="12"/>
        <v>100</v>
      </c>
      <c r="T30" s="714" t="s">
        <v>17</v>
      </c>
      <c r="U30" s="715">
        <f t="shared" si="13"/>
        <v>100</v>
      </c>
      <c r="V30" s="714" t="s">
        <v>17</v>
      </c>
      <c r="W30" s="715">
        <f t="shared" si="14"/>
        <v>100</v>
      </c>
      <c r="X30" s="1541"/>
      <c r="Y30" s="3419"/>
      <c r="Z30" s="1542">
        <f t="shared" si="15"/>
        <v>111</v>
      </c>
      <c r="AA30" s="1539">
        <f t="shared" si="3"/>
        <v>1</v>
      </c>
      <c r="AB30" s="1539">
        <f t="shared" si="4"/>
        <v>1</v>
      </c>
      <c r="AC30" s="1539">
        <f t="shared" si="5"/>
        <v>1</v>
      </c>
    </row>
    <row r="31" spans="1:29" ht="17" thickBot="1" x14ac:dyDescent="0.25">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17"/>
      <c r="Q31" s="1538">
        <f t="shared" si="11"/>
        <v>111</v>
      </c>
      <c r="R31" s="714" t="s">
        <v>17</v>
      </c>
      <c r="S31" s="715">
        <f t="shared" si="12"/>
        <v>100</v>
      </c>
      <c r="T31" s="714" t="s">
        <v>17</v>
      </c>
      <c r="U31" s="715">
        <f t="shared" si="13"/>
        <v>100</v>
      </c>
      <c r="V31" s="714" t="s">
        <v>17</v>
      </c>
      <c r="W31" s="715">
        <f t="shared" si="14"/>
        <v>100</v>
      </c>
      <c r="X31" s="1541"/>
      <c r="Y31" s="3419"/>
      <c r="Z31" s="1542">
        <f t="shared" si="15"/>
        <v>111</v>
      </c>
      <c r="AA31" s="1539">
        <f t="shared" si="3"/>
        <v>1</v>
      </c>
      <c r="AB31" s="1539">
        <f t="shared" si="4"/>
        <v>1</v>
      </c>
      <c r="AC31" s="1539">
        <f t="shared" si="5"/>
        <v>1</v>
      </c>
    </row>
    <row r="32" spans="1:29" ht="16" x14ac:dyDescent="0.2">
      <c r="A32" s="399" t="s">
        <v>2384</v>
      </c>
      <c r="B32" s="67" t="s">
        <v>2481</v>
      </c>
      <c r="C32" s="2098" t="s">
        <v>3327</v>
      </c>
      <c r="D32" s="426">
        <v>100</v>
      </c>
      <c r="E32" s="2098" t="s">
        <v>3327</v>
      </c>
      <c r="F32" s="420">
        <f>SUMIF(100:100,E32,101:101)-SUMIF(100:100,C32,101:101)+100</f>
        <v>100</v>
      </c>
      <c r="G32" s="2098" t="s">
        <v>3327</v>
      </c>
      <c r="H32" s="394">
        <f>SUMIF(100:100,G32,101:101)-SUMIF(100:100,C32,101:101)+100</f>
        <v>100</v>
      </c>
      <c r="I32" s="2098" t="s">
        <v>3327</v>
      </c>
      <c r="J32" s="426">
        <f>SUMIF(100:100,I32,101:101)-SUMIF(100:100,C32,101:101)+100</f>
        <v>100</v>
      </c>
      <c r="K32" s="569">
        <v>2</v>
      </c>
      <c r="L32" s="2951"/>
      <c r="M32" s="2945"/>
      <c r="N32" s="2945"/>
      <c r="O32" s="2945"/>
      <c r="P32" s="3420" t="s">
        <v>2386</v>
      </c>
      <c r="Q32" s="1538" t="str">
        <f t="shared" si="11"/>
        <v>商业类型</v>
      </c>
      <c r="R32" s="714" t="s">
        <v>17</v>
      </c>
      <c r="S32" s="715">
        <f t="shared" si="12"/>
        <v>100</v>
      </c>
      <c r="T32" s="714" t="s">
        <v>17</v>
      </c>
      <c r="U32" s="715">
        <f t="shared" si="13"/>
        <v>100</v>
      </c>
      <c r="V32" s="714" t="s">
        <v>17</v>
      </c>
      <c r="W32" s="715">
        <f t="shared" si="14"/>
        <v>100</v>
      </c>
      <c r="X32" s="1541"/>
      <c r="Y32" s="3423" t="s">
        <v>2386</v>
      </c>
      <c r="Z32" s="1542" t="str">
        <f t="shared" si="15"/>
        <v>商业类型</v>
      </c>
      <c r="AA32" s="1539">
        <f t="shared" si="3"/>
        <v>1</v>
      </c>
      <c r="AB32" s="1539">
        <f t="shared" si="4"/>
        <v>1</v>
      </c>
      <c r="AC32" s="1539">
        <f t="shared" si="5"/>
        <v>1</v>
      </c>
    </row>
    <row r="33" spans="1:29" s="430" customFormat="1" ht="16" x14ac:dyDescent="0.2">
      <c r="A33" s="427"/>
      <c r="B33" s="381" t="s">
        <v>2387</v>
      </c>
      <c r="C33" s="428">
        <f>'租金比较法-商业'!C47</f>
        <v>547.29</v>
      </c>
      <c r="D33" s="132">
        <v>100</v>
      </c>
      <c r="E33" s="389">
        <v>197</v>
      </c>
      <c r="F33" s="384">
        <f>LOOKUP(E33,103:103,104:104)-LOOKUP(C33,103:103,104:104)+100</f>
        <v>98</v>
      </c>
      <c r="G33" s="388">
        <v>46</v>
      </c>
      <c r="H33" s="132">
        <f>LOOKUP(G33,103:103,104:104)-LOOKUP(C33,103:103,104:104)+100</f>
        <v>98</v>
      </c>
      <c r="I33" s="388">
        <v>229</v>
      </c>
      <c r="J33" s="132">
        <f>LOOKUP(I33,103:103,104:104)-LOOKUP(C33,103:103,104:104)+100</f>
        <v>98</v>
      </c>
      <c r="K33" s="570"/>
      <c r="L33" s="2950"/>
      <c r="M33" s="2952"/>
      <c r="N33" s="2952"/>
      <c r="O33" s="2952"/>
      <c r="P33" s="3421"/>
      <c r="Q33" s="716" t="str">
        <f t="shared" si="11"/>
        <v>项目建筑规模</v>
      </c>
      <c r="R33" s="717" t="s">
        <v>17</v>
      </c>
      <c r="S33" s="718">
        <f t="shared" si="12"/>
        <v>98</v>
      </c>
      <c r="T33" s="717" t="s">
        <v>17</v>
      </c>
      <c r="U33" s="718">
        <f t="shared" si="13"/>
        <v>98</v>
      </c>
      <c r="V33" s="717" t="s">
        <v>17</v>
      </c>
      <c r="W33" s="718">
        <f t="shared" si="14"/>
        <v>98</v>
      </c>
      <c r="X33" s="719"/>
      <c r="Y33" s="3423"/>
      <c r="Z33" s="720" t="str">
        <f t="shared" si="15"/>
        <v>项目建筑规模</v>
      </c>
      <c r="AA33" s="1539">
        <f t="shared" si="3"/>
        <v>1.0204081632653061</v>
      </c>
      <c r="AB33" s="1539">
        <f t="shared" si="4"/>
        <v>1.0204081632653061</v>
      </c>
      <c r="AC33" s="1539">
        <f t="shared" si="5"/>
        <v>1.0204081632653061</v>
      </c>
    </row>
    <row r="34" spans="1:29" ht="16" x14ac:dyDescent="0.2">
      <c r="A34" s="431"/>
      <c r="B34" s="381" t="s">
        <v>2388</v>
      </c>
      <c r="C34" s="2100" t="s">
        <v>3222</v>
      </c>
      <c r="D34" s="394">
        <v>100</v>
      </c>
      <c r="E34" s="2100" t="s">
        <v>3222</v>
      </c>
      <c r="F34" s="420">
        <f>SUMIF(105:105,E34,106:106)-SUMIF(105:105,C34,106:106)+100</f>
        <v>100</v>
      </c>
      <c r="G34" s="2100" t="s">
        <v>3222</v>
      </c>
      <c r="H34" s="394">
        <f>SUMIF(105:105,G34,106:106)-SUMIF(105:105,C34,106:106)+100</f>
        <v>100</v>
      </c>
      <c r="I34" s="2100" t="s">
        <v>3222</v>
      </c>
      <c r="J34" s="394">
        <f>SUMIF(105:105,I34,106:106)-SUMIF(105:105,C34,106:106)+100</f>
        <v>100</v>
      </c>
      <c r="K34" s="569"/>
      <c r="L34" s="2951"/>
      <c r="M34" s="2945"/>
      <c r="N34" s="2945"/>
      <c r="O34" s="2945"/>
      <c r="P34" s="3421"/>
      <c r="Q34" s="1538" t="str">
        <f t="shared" si="11"/>
        <v>建筑结构</v>
      </c>
      <c r="R34" s="714" t="s">
        <v>17</v>
      </c>
      <c r="S34" s="715">
        <f t="shared" si="12"/>
        <v>100</v>
      </c>
      <c r="T34" s="714" t="s">
        <v>17</v>
      </c>
      <c r="U34" s="715">
        <f t="shared" si="13"/>
        <v>100</v>
      </c>
      <c r="V34" s="714" t="s">
        <v>17</v>
      </c>
      <c r="W34" s="715">
        <f t="shared" si="14"/>
        <v>100</v>
      </c>
      <c r="X34" s="1541"/>
      <c r="Y34" s="3423"/>
      <c r="Z34" s="1542" t="str">
        <f t="shared" si="15"/>
        <v>建筑结构</v>
      </c>
      <c r="AA34" s="1539">
        <f t="shared" si="3"/>
        <v>1</v>
      </c>
      <c r="AB34" s="1539">
        <f t="shared" si="4"/>
        <v>1</v>
      </c>
      <c r="AC34" s="1539">
        <f t="shared" si="5"/>
        <v>1</v>
      </c>
    </row>
    <row r="35" spans="1:29" ht="16" x14ac:dyDescent="0.2">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1"/>
      <c r="M35" s="2945"/>
      <c r="N35" s="2945"/>
      <c r="O35" s="2945"/>
      <c r="P35" s="3421"/>
      <c r="Q35" s="1538" t="str">
        <f t="shared" si="11"/>
        <v>公共部分装修</v>
      </c>
      <c r="R35" s="714" t="s">
        <v>17</v>
      </c>
      <c r="S35" s="715">
        <f t="shared" si="12"/>
        <v>100</v>
      </c>
      <c r="T35" s="714" t="s">
        <v>17</v>
      </c>
      <c r="U35" s="715">
        <f t="shared" si="13"/>
        <v>100</v>
      </c>
      <c r="V35" s="714" t="s">
        <v>17</v>
      </c>
      <c r="W35" s="715">
        <f t="shared" si="14"/>
        <v>100</v>
      </c>
      <c r="X35" s="1541"/>
      <c r="Y35" s="3423"/>
      <c r="Z35" s="1542" t="str">
        <f t="shared" si="15"/>
        <v>公共部分装修</v>
      </c>
      <c r="AA35" s="1539">
        <f t="shared" si="3"/>
        <v>1</v>
      </c>
      <c r="AB35" s="1539">
        <f t="shared" si="4"/>
        <v>1</v>
      </c>
      <c r="AC35" s="1539">
        <f t="shared" si="5"/>
        <v>1</v>
      </c>
    </row>
    <row r="36" spans="1:29" ht="16" hidden="1" x14ac:dyDescent="0.2">
      <c r="A36" s="431"/>
      <c r="B36" s="381" t="s">
        <v>2483</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c r="L36" s="2951"/>
      <c r="M36" s="2945"/>
      <c r="N36" s="2945"/>
      <c r="O36" s="2945"/>
      <c r="P36" s="3421"/>
      <c r="Q36" s="1538" t="str">
        <f t="shared" si="11"/>
        <v>成新度</v>
      </c>
      <c r="R36" s="714" t="s">
        <v>17</v>
      </c>
      <c r="S36" s="715">
        <f t="shared" si="12"/>
        <v>100</v>
      </c>
      <c r="T36" s="714" t="s">
        <v>17</v>
      </c>
      <c r="U36" s="715">
        <f t="shared" si="13"/>
        <v>100</v>
      </c>
      <c r="V36" s="714" t="s">
        <v>17</v>
      </c>
      <c r="W36" s="715">
        <f t="shared" si="14"/>
        <v>100</v>
      </c>
      <c r="X36" s="1541"/>
      <c r="Y36" s="3423"/>
      <c r="Z36" s="1542" t="str">
        <f t="shared" si="15"/>
        <v>成新度</v>
      </c>
      <c r="AA36" s="1539">
        <f t="shared" si="3"/>
        <v>1</v>
      </c>
      <c r="AB36" s="1539">
        <f t="shared" si="4"/>
        <v>1</v>
      </c>
      <c r="AC36" s="1539">
        <f t="shared" si="5"/>
        <v>1</v>
      </c>
    </row>
    <row r="37" spans="1:29" s="113" customFormat="1" ht="16" x14ac:dyDescent="0.2">
      <c r="A37" s="432"/>
      <c r="B37" s="381" t="s">
        <v>2484</v>
      </c>
      <c r="C37" s="2094" t="s">
        <v>3216</v>
      </c>
      <c r="D37" s="132">
        <v>100</v>
      </c>
      <c r="E37" s="2094" t="s">
        <v>3216</v>
      </c>
      <c r="F37" s="420">
        <f>SUMIF(112:112,E37,113:113)-SUMIF(112:112,C37,113:113)+100</f>
        <v>100</v>
      </c>
      <c r="G37" s="2094" t="s">
        <v>3216</v>
      </c>
      <c r="H37" s="394">
        <f>SUMIF(112:112,G37,113:113)-SUMIF(112:112,C37,113:113)+100</f>
        <v>100</v>
      </c>
      <c r="I37" s="2094" t="s">
        <v>3216</v>
      </c>
      <c r="J37" s="394">
        <f>SUMIF(112:112,I37,113:113)-SUMIF(112:112,C37,113:113)+100</f>
        <v>100</v>
      </c>
      <c r="K37" s="569">
        <v>2</v>
      </c>
      <c r="L37" s="2946"/>
      <c r="M37" s="2947"/>
      <c r="N37" s="2947"/>
      <c r="O37" s="2947"/>
      <c r="P37" s="3421"/>
      <c r="Q37" s="1529" t="str">
        <f t="shared" si="11"/>
        <v>市政基础设施</v>
      </c>
      <c r="R37" s="710" t="s">
        <v>17</v>
      </c>
      <c r="S37" s="711">
        <f t="shared" si="12"/>
        <v>100</v>
      </c>
      <c r="T37" s="710" t="s">
        <v>17</v>
      </c>
      <c r="U37" s="711">
        <f t="shared" si="13"/>
        <v>100</v>
      </c>
      <c r="V37" s="710" t="s">
        <v>17</v>
      </c>
      <c r="W37" s="711">
        <f t="shared" si="14"/>
        <v>100</v>
      </c>
      <c r="X37" s="712"/>
      <c r="Y37" s="3423"/>
      <c r="Z37" s="55" t="str">
        <f t="shared" si="15"/>
        <v>市政基础设施</v>
      </c>
      <c r="AA37" s="713">
        <f t="shared" si="3"/>
        <v>1</v>
      </c>
      <c r="AB37" s="713">
        <f t="shared" si="4"/>
        <v>1</v>
      </c>
      <c r="AC37" s="713">
        <f t="shared" si="5"/>
        <v>1</v>
      </c>
    </row>
    <row r="38" spans="1:29" ht="16" x14ac:dyDescent="0.2">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1"/>
      <c r="M38" s="2945"/>
      <c r="N38" s="2945"/>
      <c r="O38" s="2945"/>
      <c r="P38" s="3421" t="s">
        <v>2386</v>
      </c>
      <c r="Q38" s="1538" t="str">
        <f t="shared" si="11"/>
        <v>业态</v>
      </c>
      <c r="R38" s="714" t="s">
        <v>17</v>
      </c>
      <c r="S38" s="715">
        <f t="shared" si="12"/>
        <v>100</v>
      </c>
      <c r="T38" s="714" t="s">
        <v>17</v>
      </c>
      <c r="U38" s="715">
        <f t="shared" si="13"/>
        <v>100</v>
      </c>
      <c r="V38" s="714" t="s">
        <v>17</v>
      </c>
      <c r="W38" s="715">
        <f t="shared" si="14"/>
        <v>100</v>
      </c>
      <c r="X38" s="1541"/>
      <c r="Y38" s="3423" t="s">
        <v>2386</v>
      </c>
      <c r="Z38" s="1542" t="str">
        <f t="shared" si="15"/>
        <v>业态</v>
      </c>
      <c r="AA38" s="1539">
        <f t="shared" si="3"/>
        <v>1</v>
      </c>
      <c r="AB38" s="1539">
        <f t="shared" si="4"/>
        <v>1</v>
      </c>
      <c r="AC38" s="1539">
        <f t="shared" si="5"/>
        <v>1</v>
      </c>
    </row>
    <row r="39" spans="1:29" ht="16" x14ac:dyDescent="0.2">
      <c r="A39" s="431"/>
      <c r="B39" s="381" t="s">
        <v>2486</v>
      </c>
      <c r="C39" s="2094" t="s">
        <v>3230</v>
      </c>
      <c r="D39" s="394">
        <v>100</v>
      </c>
      <c r="E39" s="2094" t="s">
        <v>3230</v>
      </c>
      <c r="F39" s="420">
        <f>SUMIF(116:116,E39,117:117)-SUMIF(116:116,C39,117:117)+100</f>
        <v>100</v>
      </c>
      <c r="G39" s="2094" t="s">
        <v>3230</v>
      </c>
      <c r="H39" s="394">
        <f>SUMIF(116:116,G39,117:117)-SUMIF(116:116,C39,117:117)+100</f>
        <v>100</v>
      </c>
      <c r="I39" s="2094" t="s">
        <v>3230</v>
      </c>
      <c r="J39" s="394">
        <f>SUMIF(116:116,I39,117:117)-SUMIF(116:116,C39,117:117)+100</f>
        <v>100</v>
      </c>
      <c r="K39" s="569">
        <v>2</v>
      </c>
      <c r="L39" s="2951"/>
      <c r="M39" s="2945"/>
      <c r="N39" s="2945"/>
      <c r="O39" s="2945"/>
      <c r="P39" s="3421"/>
      <c r="Q39" s="1538" t="str">
        <f t="shared" si="11"/>
        <v>层高</v>
      </c>
      <c r="R39" s="714" t="s">
        <v>17</v>
      </c>
      <c r="S39" s="715">
        <f t="shared" si="12"/>
        <v>100</v>
      </c>
      <c r="T39" s="714" t="s">
        <v>17</v>
      </c>
      <c r="U39" s="715">
        <f t="shared" si="13"/>
        <v>100</v>
      </c>
      <c r="V39" s="714" t="s">
        <v>17</v>
      </c>
      <c r="W39" s="715">
        <f t="shared" si="14"/>
        <v>100</v>
      </c>
      <c r="X39" s="1541"/>
      <c r="Y39" s="3423"/>
      <c r="Z39" s="1542" t="str">
        <f t="shared" si="15"/>
        <v>层高</v>
      </c>
      <c r="AA39" s="1539">
        <f t="shared" si="3"/>
        <v>1</v>
      </c>
      <c r="AB39" s="1539">
        <f t="shared" si="4"/>
        <v>1</v>
      </c>
      <c r="AC39" s="1539">
        <f t="shared" si="5"/>
        <v>1</v>
      </c>
    </row>
    <row r="40" spans="1:29" ht="16" x14ac:dyDescent="0.2">
      <c r="A40" s="431"/>
      <c r="B40" s="381" t="s">
        <v>2487</v>
      </c>
      <c r="C40" s="574"/>
      <c r="D40" s="394">
        <v>100</v>
      </c>
      <c r="E40" s="574"/>
      <c r="F40" s="420">
        <f>SUMIF(118:118,E40,119:119)-SUMIF(118:118,C40,119:119)+100</f>
        <v>100</v>
      </c>
      <c r="G40" s="575"/>
      <c r="H40" s="394">
        <f>SUMIF(118:118,G40,119:119)-SUMIF(118:118,C40,119:119)+100</f>
        <v>100</v>
      </c>
      <c r="I40" s="574"/>
      <c r="J40" s="394">
        <f>SUMIF(118:118,I40,119:119)-SUMIF(118:118,C40,119:119)+100</f>
        <v>100</v>
      </c>
      <c r="K40" s="570"/>
      <c r="L40" s="2951"/>
      <c r="M40" s="2945"/>
      <c r="N40" s="2945"/>
      <c r="O40" s="2945"/>
      <c r="P40" s="3421"/>
      <c r="Q40" s="1538" t="str">
        <f t="shared" si="11"/>
        <v>单套建筑面积</v>
      </c>
      <c r="R40" s="714" t="s">
        <v>17</v>
      </c>
      <c r="S40" s="715">
        <f t="shared" si="12"/>
        <v>100</v>
      </c>
      <c r="T40" s="714" t="s">
        <v>17</v>
      </c>
      <c r="U40" s="715">
        <f t="shared" si="13"/>
        <v>100</v>
      </c>
      <c r="V40" s="714" t="s">
        <v>17</v>
      </c>
      <c r="W40" s="715">
        <f t="shared" si="14"/>
        <v>100</v>
      </c>
      <c r="X40" s="1541"/>
      <c r="Y40" s="3423"/>
      <c r="Z40" s="1542" t="str">
        <f t="shared" si="15"/>
        <v>单套建筑面积</v>
      </c>
      <c r="AA40" s="1539">
        <f t="shared" si="3"/>
        <v>1</v>
      </c>
      <c r="AB40" s="1539">
        <f t="shared" si="4"/>
        <v>1</v>
      </c>
      <c r="AC40" s="1539">
        <f t="shared" si="5"/>
        <v>1</v>
      </c>
    </row>
    <row r="41" spans="1:29" s="430" customFormat="1" ht="16" x14ac:dyDescent="0.2">
      <c r="A41" s="427"/>
      <c r="B41" s="1540" t="s">
        <v>2488</v>
      </c>
      <c r="C41" s="573" t="s">
        <v>3267</v>
      </c>
      <c r="D41" s="394">
        <v>100</v>
      </c>
      <c r="E41" s="573" t="s">
        <v>3267</v>
      </c>
      <c r="F41" s="420">
        <f>SUMIF(120:120,E41,121:121)-SUMIF(120:120,C41,121:121)+100</f>
        <v>100</v>
      </c>
      <c r="G41" s="573" t="s">
        <v>3267</v>
      </c>
      <c r="H41" s="394">
        <f>SUMIF(120:120,G41,121:121)-SUMIF(120:120,C41,121:121)+100</f>
        <v>100</v>
      </c>
      <c r="I41" s="573" t="s">
        <v>3267</v>
      </c>
      <c r="J41" s="394">
        <f>SUMIF(120:120,I41,121:121)-SUMIF(120:120,C41,121:121)+100</f>
        <v>100</v>
      </c>
      <c r="K41" s="569">
        <v>1</v>
      </c>
      <c r="L41" s="2950"/>
      <c r="M41" s="2952"/>
      <c r="N41" s="2952"/>
      <c r="O41" s="2952"/>
      <c r="P41" s="3421"/>
      <c r="Q41" s="716" t="str">
        <f t="shared" si="11"/>
        <v>进深比</v>
      </c>
      <c r="R41" s="717" t="s">
        <v>17</v>
      </c>
      <c r="S41" s="718">
        <f t="shared" si="12"/>
        <v>100</v>
      </c>
      <c r="T41" s="717" t="s">
        <v>17</v>
      </c>
      <c r="U41" s="718">
        <f t="shared" si="13"/>
        <v>100</v>
      </c>
      <c r="V41" s="717" t="s">
        <v>17</v>
      </c>
      <c r="W41" s="718">
        <f t="shared" si="14"/>
        <v>100</v>
      </c>
      <c r="X41" s="719"/>
      <c r="Y41" s="3423"/>
      <c r="Z41" s="720" t="str">
        <f t="shared" si="15"/>
        <v>进深比</v>
      </c>
      <c r="AA41" s="1539">
        <f t="shared" si="3"/>
        <v>1</v>
      </c>
      <c r="AB41" s="1539">
        <f t="shared" si="4"/>
        <v>1</v>
      </c>
      <c r="AC41" s="1539">
        <f t="shared" si="5"/>
        <v>1</v>
      </c>
    </row>
    <row r="42" spans="1:29" ht="16" x14ac:dyDescent="0.2">
      <c r="A42" s="431"/>
      <c r="B42" s="381" t="s">
        <v>2489</v>
      </c>
      <c r="C42" s="2094" t="s">
        <v>3224</v>
      </c>
      <c r="D42" s="394">
        <v>100</v>
      </c>
      <c r="E42" s="2094" t="s">
        <v>3224</v>
      </c>
      <c r="F42" s="420">
        <f>SUMIF(122:122,E42,123:123)-SUMIF(122:122,C42,123:123)+100</f>
        <v>100</v>
      </c>
      <c r="G42" s="2094" t="s">
        <v>3224</v>
      </c>
      <c r="H42" s="394">
        <f>SUMIF(122:122,G42,123:123)-SUMIF(122:122,C42,123:123)+100</f>
        <v>100</v>
      </c>
      <c r="I42" s="2094" t="s">
        <v>3224</v>
      </c>
      <c r="J42" s="394">
        <f>SUMIF(122:122,I42,123:123)-SUMIF(122:122,C42,123:123)+100</f>
        <v>100</v>
      </c>
      <c r="K42" s="569">
        <v>2</v>
      </c>
      <c r="L42" s="2951"/>
      <c r="M42" s="2945"/>
      <c r="N42" s="2945"/>
      <c r="O42" s="2945"/>
      <c r="P42" s="3421"/>
      <c r="Q42" s="1538" t="str">
        <f t="shared" si="11"/>
        <v>内部装修</v>
      </c>
      <c r="R42" s="714" t="s">
        <v>17</v>
      </c>
      <c r="S42" s="715">
        <f t="shared" si="12"/>
        <v>100</v>
      </c>
      <c r="T42" s="714" t="s">
        <v>17</v>
      </c>
      <c r="U42" s="715">
        <f t="shared" si="13"/>
        <v>100</v>
      </c>
      <c r="V42" s="714" t="s">
        <v>17</v>
      </c>
      <c r="W42" s="715">
        <f t="shared" si="14"/>
        <v>100</v>
      </c>
      <c r="X42" s="1541"/>
      <c r="Y42" s="3423"/>
      <c r="Z42" s="1542" t="str">
        <f t="shared" si="15"/>
        <v>内部装修</v>
      </c>
      <c r="AA42" s="1539">
        <f t="shared" si="3"/>
        <v>1</v>
      </c>
      <c r="AB42" s="1539">
        <f t="shared" si="4"/>
        <v>1</v>
      </c>
      <c r="AC42" s="1539">
        <f t="shared" si="5"/>
        <v>1</v>
      </c>
    </row>
    <row r="43" spans="1:29" ht="16" x14ac:dyDescent="0.2">
      <c r="A43" s="431"/>
      <c r="B43" s="381" t="s">
        <v>2397</v>
      </c>
      <c r="C43" s="2094" t="s">
        <v>3209</v>
      </c>
      <c r="D43" s="394">
        <v>100</v>
      </c>
      <c r="E43" s="2094" t="s">
        <v>3209</v>
      </c>
      <c r="F43" s="420">
        <f>SUMIF(124:124,E43,125:125)-SUMIF(124:124,C43,125:125)+100</f>
        <v>100</v>
      </c>
      <c r="G43" s="2094" t="s">
        <v>3209</v>
      </c>
      <c r="H43" s="394">
        <f>SUMIF(124:124,G43,125:125)-SUMIF(124:124,C43,125:125)+100</f>
        <v>100</v>
      </c>
      <c r="I43" s="2094" t="s">
        <v>3209</v>
      </c>
      <c r="J43" s="394">
        <f>SUMIF(124:124,I43,125:125)-SUMIF(124:124,C43,125:125)+100</f>
        <v>100</v>
      </c>
      <c r="K43" s="569">
        <v>1</v>
      </c>
      <c r="L43" s="2951"/>
      <c r="M43" s="2945"/>
      <c r="N43" s="2945"/>
      <c r="O43" s="2945"/>
      <c r="P43" s="3421"/>
      <c r="Q43" s="1538" t="str">
        <f t="shared" si="11"/>
        <v>内部装修维护情况</v>
      </c>
      <c r="R43" s="714" t="s">
        <v>17</v>
      </c>
      <c r="S43" s="715">
        <f t="shared" si="12"/>
        <v>100</v>
      </c>
      <c r="T43" s="714" t="s">
        <v>17</v>
      </c>
      <c r="U43" s="715">
        <f t="shared" si="13"/>
        <v>100</v>
      </c>
      <c r="V43" s="714" t="s">
        <v>17</v>
      </c>
      <c r="W43" s="715">
        <f t="shared" si="14"/>
        <v>100</v>
      </c>
      <c r="X43" s="1541"/>
      <c r="Y43" s="3423"/>
      <c r="Z43" s="1542" t="str">
        <f t="shared" si="15"/>
        <v>内部装修维护情况</v>
      </c>
      <c r="AA43" s="1539">
        <f t="shared" si="3"/>
        <v>1</v>
      </c>
      <c r="AB43" s="1539">
        <f t="shared" si="4"/>
        <v>1</v>
      </c>
      <c r="AC43" s="1539">
        <f t="shared" si="5"/>
        <v>1</v>
      </c>
    </row>
    <row r="44" spans="1:29" s="113" customFormat="1" ht="16" x14ac:dyDescent="0.2">
      <c r="A44" s="432"/>
      <c r="B44" s="3124"/>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21"/>
      <c r="Q44" s="1529">
        <f t="shared" si="11"/>
        <v>0</v>
      </c>
      <c r="R44" s="710" t="s">
        <v>17</v>
      </c>
      <c r="S44" s="711">
        <f t="shared" si="12"/>
        <v>100</v>
      </c>
      <c r="T44" s="710" t="s">
        <v>17</v>
      </c>
      <c r="U44" s="711">
        <f t="shared" si="13"/>
        <v>100</v>
      </c>
      <c r="V44" s="710" t="s">
        <v>17</v>
      </c>
      <c r="W44" s="711">
        <f t="shared" si="14"/>
        <v>100</v>
      </c>
      <c r="X44" s="712"/>
      <c r="Y44" s="3423"/>
      <c r="Z44" s="55">
        <f t="shared" si="15"/>
        <v>0</v>
      </c>
      <c r="AA44" s="713">
        <f t="shared" si="3"/>
        <v>1</v>
      </c>
      <c r="AB44" s="713">
        <f t="shared" si="4"/>
        <v>1</v>
      </c>
      <c r="AC44" s="713">
        <f t="shared" si="5"/>
        <v>1</v>
      </c>
    </row>
    <row r="45" spans="1:29" ht="16" x14ac:dyDescent="0.2">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21"/>
      <c r="Q45" s="1538">
        <f t="shared" si="11"/>
        <v>111</v>
      </c>
      <c r="R45" s="714" t="s">
        <v>17</v>
      </c>
      <c r="S45" s="715">
        <f t="shared" si="12"/>
        <v>100</v>
      </c>
      <c r="T45" s="714" t="s">
        <v>17</v>
      </c>
      <c r="U45" s="715">
        <f t="shared" si="13"/>
        <v>100</v>
      </c>
      <c r="V45" s="714" t="s">
        <v>17</v>
      </c>
      <c r="W45" s="715">
        <f t="shared" si="14"/>
        <v>100</v>
      </c>
      <c r="X45" s="1541"/>
      <c r="Y45" s="3423"/>
      <c r="Z45" s="1542">
        <f t="shared" si="15"/>
        <v>111</v>
      </c>
      <c r="AA45" s="1539">
        <f t="shared" si="3"/>
        <v>1</v>
      </c>
      <c r="AB45" s="1539">
        <f t="shared" si="4"/>
        <v>1</v>
      </c>
      <c r="AC45" s="1539">
        <f t="shared" si="5"/>
        <v>1</v>
      </c>
    </row>
    <row r="46" spans="1:29" ht="17" thickBot="1" x14ac:dyDescent="0.25">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22"/>
      <c r="Q46" s="1538">
        <f t="shared" si="11"/>
        <v>111</v>
      </c>
      <c r="R46" s="714" t="s">
        <v>17</v>
      </c>
      <c r="S46" s="715">
        <f t="shared" si="12"/>
        <v>100</v>
      </c>
      <c r="T46" s="714" t="s">
        <v>17</v>
      </c>
      <c r="U46" s="715">
        <f t="shared" si="13"/>
        <v>100</v>
      </c>
      <c r="V46" s="714" t="s">
        <v>17</v>
      </c>
      <c r="W46" s="715">
        <f t="shared" si="14"/>
        <v>100</v>
      </c>
      <c r="X46" s="1541"/>
      <c r="Y46" s="3424"/>
      <c r="Z46" s="1542">
        <f t="shared" si="15"/>
        <v>111</v>
      </c>
      <c r="AA46" s="1539">
        <f t="shared" si="3"/>
        <v>1</v>
      </c>
      <c r="AB46" s="1539">
        <f t="shared" si="4"/>
        <v>1</v>
      </c>
      <c r="AC46" s="1539">
        <f t="shared" si="5"/>
        <v>1</v>
      </c>
    </row>
    <row r="47" spans="1:29" x14ac:dyDescent="0.2">
      <c r="A47" s="438" t="s">
        <v>2398</v>
      </c>
      <c r="B47" s="439"/>
      <c r="C47" s="1316" t="s">
        <v>1</v>
      </c>
      <c r="D47" s="1317"/>
      <c r="E47" s="1318">
        <v>38602</v>
      </c>
      <c r="F47" s="1319"/>
      <c r="G47" s="1320">
        <v>38000</v>
      </c>
      <c r="H47" s="1321"/>
      <c r="I47" s="1318">
        <v>37118</v>
      </c>
      <c r="J47" s="1321"/>
      <c r="K47" s="723"/>
      <c r="L47" s="2953"/>
      <c r="M47" s="2954"/>
      <c r="N47" s="2945"/>
      <c r="O47" s="2954"/>
      <c r="P47" s="3411" t="str">
        <f>A47</f>
        <v>成交单价（元/平方米）</v>
      </c>
      <c r="Q47" s="3411"/>
      <c r="R47" s="3446">
        <f>E47</f>
        <v>38602</v>
      </c>
      <c r="S47" s="3446"/>
      <c r="T47" s="3446">
        <f>G47</f>
        <v>38000</v>
      </c>
      <c r="U47" s="3446"/>
      <c r="V47" s="3446">
        <f>I47</f>
        <v>37118</v>
      </c>
      <c r="W47" s="3446"/>
      <c r="X47" s="699"/>
      <c r="Y47" s="721"/>
      <c r="Z47" s="699"/>
      <c r="AA47" s="699"/>
      <c r="AB47" s="699"/>
      <c r="AC47" s="699"/>
    </row>
    <row r="48" spans="1:29" ht="15" thickBot="1" x14ac:dyDescent="0.25">
      <c r="A48" s="445" t="s">
        <v>2490</v>
      </c>
      <c r="B48" s="446"/>
      <c r="C48" s="1322">
        <f>R49</f>
        <v>40936</v>
      </c>
      <c r="D48" s="2540" t="s">
        <v>2879</v>
      </c>
      <c r="E48" s="1323">
        <f>R48</f>
        <v>41950</v>
      </c>
      <c r="F48" s="2541"/>
      <c r="G48" s="1322">
        <f>T48</f>
        <v>41296</v>
      </c>
      <c r="H48" s="2541"/>
      <c r="I48" s="1323">
        <f>V48</f>
        <v>39562</v>
      </c>
      <c r="J48" s="2541"/>
      <c r="K48" s="2543">
        <f>F48+H48+J48</f>
        <v>0</v>
      </c>
      <c r="L48" s="2953"/>
      <c r="M48" s="2954"/>
      <c r="N48" s="2945"/>
      <c r="O48" s="2954"/>
      <c r="P48" s="3411" t="str">
        <f>A48</f>
        <v>比较价值（元/平方米）</v>
      </c>
      <c r="Q48" s="3411"/>
      <c r="R48" s="3425">
        <f>IF(F1="售价",ROUND(PRODUCT(R47,AA7:AA46),0),ROUND(PRODUCT(R47,AA7:AA46),1))</f>
        <v>41950</v>
      </c>
      <c r="S48" s="3425"/>
      <c r="T48" s="3425">
        <f>IF(F1="售价",ROUND(PRODUCT(T47,AB7:AB46),0),ROUND(PRODUCT(T47,AB7:AB46),1))</f>
        <v>41296</v>
      </c>
      <c r="U48" s="3425"/>
      <c r="V48" s="3425">
        <f>IF(F1="售价",ROUND(PRODUCT(V47,AC7:AC46),0),ROUND(PRODUCT(V47,AC7:AC46),1))</f>
        <v>39562</v>
      </c>
      <c r="W48" s="3425"/>
      <c r="X48" s="699"/>
      <c r="Y48" s="699"/>
      <c r="Z48" s="699"/>
      <c r="AA48" s="699"/>
      <c r="AB48" s="699"/>
      <c r="AC48" s="699"/>
    </row>
    <row r="49" spans="1:29" ht="15" thickBot="1" x14ac:dyDescent="0.25">
      <c r="A49" s="449" t="s">
        <v>2491</v>
      </c>
      <c r="B49" s="450"/>
      <c r="C49" s="1325">
        <f>R49</f>
        <v>40936</v>
      </c>
      <c r="D49" s="1325"/>
      <c r="E49" s="1325"/>
      <c r="F49" s="1325"/>
      <c r="G49" s="1325"/>
      <c r="H49" s="1325"/>
      <c r="I49" s="1325"/>
      <c r="J49" s="1325"/>
      <c r="K49" s="724"/>
      <c r="L49" s="2953"/>
      <c r="M49" s="2954"/>
      <c r="N49" s="2945"/>
      <c r="O49" s="2954"/>
      <c r="P49" s="3460" t="str">
        <f>A49</f>
        <v>估价对象XX用房的比较价值（楼面单价，元/平方米）</v>
      </c>
      <c r="Q49" s="3461"/>
      <c r="R49" s="3462">
        <f>IF(F1="售价",ROUND(IF(D48="简单平均",AVERAGE(R48:V48),R48*F48+T48*H48+V48*J48),0),ROUND(IF(D48="简单平均",AVERAGE(R48:V48),R48*F48+T48*H48+V48*J48),1))</f>
        <v>40936</v>
      </c>
      <c r="S49" s="3462"/>
      <c r="T49" s="3462"/>
      <c r="U49" s="3462"/>
      <c r="V49" s="3462"/>
      <c r="W49" s="3462"/>
      <c r="X49" s="699"/>
      <c r="Y49" s="699"/>
      <c r="Z49" s="699"/>
      <c r="AA49" s="699"/>
      <c r="AB49" s="699"/>
      <c r="AC49" s="699"/>
    </row>
    <row r="50" spans="1:29" x14ac:dyDescent="0.2">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x14ac:dyDescent="0.2">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x14ac:dyDescent="0.2">
      <c r="A52" s="2954"/>
      <c r="B52" s="2954"/>
      <c r="C52" s="454" t="s">
        <v>2492</v>
      </c>
      <c r="D52" s="455"/>
      <c r="E52" s="456">
        <f>IF(E47&lt;E48,E48/E47-1,E47/E48-1)</f>
        <v>8.6731257447800525E-2</v>
      </c>
      <c r="F52" s="457" t="str">
        <f>IF(OR(E52&gt;=0.3,E52&lt;=-0.3),"超过30%","")</f>
        <v/>
      </c>
      <c r="G52" s="456">
        <f>IF(G47&lt;G48,G48/G47-1,G47/G48-1)</f>
        <v>8.6736842105263223E-2</v>
      </c>
      <c r="H52" s="457" t="str">
        <f>IF(OR(G52&gt;=0.3,G52&lt;=-0.3),"超过30%","")</f>
        <v/>
      </c>
      <c r="I52" s="456">
        <f>IF(I47&lt;I48,I48/I47-1,I47/I48-1)</f>
        <v>6.5844064874184927E-2</v>
      </c>
      <c r="J52" s="457" t="str">
        <f>IF(OR(I52&gt;=0.3,I52&lt;=-0.3),"超过30%","")</f>
        <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x14ac:dyDescent="0.2">
      <c r="A53" s="2954"/>
      <c r="B53" s="2954"/>
      <c r="C53" s="454" t="s">
        <v>2493</v>
      </c>
      <c r="D53" s="458"/>
      <c r="E53" s="456">
        <f>IF(E48&lt;G48,G48/E48-1,E48/G48-1)</f>
        <v>1.5836884928322359E-2</v>
      </c>
      <c r="F53" s="457" t="str">
        <f>IF(OR(E53&gt;=0.2,E53&lt;=-0.2),"超过20%","")</f>
        <v/>
      </c>
      <c r="G53" s="456">
        <f>IF(G48&lt;I48,I48/G48-1,G48/I48-1)</f>
        <v>4.3829937819119369E-2</v>
      </c>
      <c r="H53" s="457" t="str">
        <f>IF(OR(G53&gt;=0.2,G53&lt;=-0.2),"超过20%","")</f>
        <v/>
      </c>
      <c r="I53" s="456">
        <f>IF(I48&lt;E48,E48/I48-1,I48/E48-1)</f>
        <v>6.0360952429098669E-2</v>
      </c>
      <c r="J53" s="457" t="str">
        <f>IF(OR(I53&gt;=0.2,I53&lt;=-0.2),"超过20%","")</f>
        <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x14ac:dyDescent="0.2">
      <c r="A54" s="2957"/>
      <c r="B54" s="2957"/>
      <c r="C54" s="454" t="s">
        <v>2494</v>
      </c>
      <c r="D54" s="458"/>
      <c r="E54" s="456">
        <f>IF(E47&lt;G47,G47/E47-1,E47/G47-1)</f>
        <v>1.584210526315788E-2</v>
      </c>
      <c r="F54" s="457" t="str">
        <f>IF(OR(E54&gt;=0.3,E54&lt;=-0.3),"超过30%","")</f>
        <v/>
      </c>
      <c r="G54" s="456">
        <f>IF(G47&lt;I47,I47/G47-1,G47/I47-1)</f>
        <v>2.3762056145266497E-2</v>
      </c>
      <c r="H54" s="457" t="str">
        <f>IF(OR(G54&gt;=0.3,G54&lt;=-0.3),"超过30%","")</f>
        <v/>
      </c>
      <c r="I54" s="456">
        <f>IF(I47&lt;E47,E47/I47-1,I47/E47-1)</f>
        <v>3.9980602403146825E-2</v>
      </c>
      <c r="J54" s="457" t="str">
        <f>IF(OR(I54&gt;=0.3,I54&lt;=-0.3),"超过30%","")</f>
        <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x14ac:dyDescent="0.2">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x14ac:dyDescent="0.2">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 thickBot="1" x14ac:dyDescent="0.25">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x14ac:dyDescent="0.2">
      <c r="A58" s="462" t="s">
        <v>2369</v>
      </c>
      <c r="B58" s="463"/>
      <c r="C58" s="1346" t="str">
        <f>YEAR(C7)&amp;"-"&amp;MONTH(C7)</f>
        <v>2022-2</v>
      </c>
      <c r="D58" s="1347">
        <f>EDATE(C58,-1)</f>
        <v>44562</v>
      </c>
      <c r="E58" s="1347">
        <f t="shared" ref="E58:N58" si="16">EDATE(D58,-1)</f>
        <v>44531</v>
      </c>
      <c r="F58" s="1347">
        <f t="shared" si="16"/>
        <v>44501</v>
      </c>
      <c r="G58" s="1347">
        <f t="shared" si="16"/>
        <v>44470</v>
      </c>
      <c r="H58" s="1347">
        <f t="shared" si="16"/>
        <v>44440</v>
      </c>
      <c r="I58" s="1347">
        <f t="shared" si="16"/>
        <v>44409</v>
      </c>
      <c r="J58" s="1347">
        <f t="shared" si="16"/>
        <v>44378</v>
      </c>
      <c r="K58" s="1347">
        <f t="shared" si="16"/>
        <v>44348</v>
      </c>
      <c r="L58" s="1347">
        <f t="shared" si="16"/>
        <v>44317</v>
      </c>
      <c r="M58" s="1347">
        <f t="shared" si="16"/>
        <v>44287</v>
      </c>
      <c r="N58" s="1347">
        <f t="shared" si="16"/>
        <v>44256</v>
      </c>
      <c r="O58" s="1347">
        <f>EDATE(N58,-1)</f>
        <v>44228</v>
      </c>
      <c r="P58" s="2969"/>
      <c r="Q58" s="2970"/>
      <c r="R58" s="2970"/>
      <c r="S58" s="2970"/>
      <c r="T58" s="2970"/>
      <c r="U58" s="2970"/>
      <c r="V58" s="2970"/>
      <c r="W58" s="2970"/>
      <c r="X58" s="2970"/>
      <c r="Y58" s="2970"/>
      <c r="Z58" s="2970"/>
      <c r="AA58" s="2970"/>
      <c r="AB58" s="2970"/>
      <c r="AC58" s="2970"/>
    </row>
    <row r="59" spans="1:29" s="113" customFormat="1" x14ac:dyDescent="0.2">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 thickBot="1" x14ac:dyDescent="0.25">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x14ac:dyDescent="0.2">
      <c r="A61" s="478" t="s">
        <v>2371</v>
      </c>
      <c r="B61" s="467"/>
      <c r="C61" s="479" t="s">
        <v>2473</v>
      </c>
      <c r="D61" s="3121" t="s">
        <v>3269</v>
      </c>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 thickBot="1" x14ac:dyDescent="0.25">
      <c r="A62" s="478"/>
      <c r="B62" s="467"/>
      <c r="C62" s="468">
        <v>100</v>
      </c>
      <c r="D62" s="469">
        <v>102</v>
      </c>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x14ac:dyDescent="0.2">
      <c r="A63" s="484" t="s">
        <v>2409</v>
      </c>
      <c r="B63" s="485" t="s">
        <v>2375</v>
      </c>
      <c r="C63" s="486" t="str">
        <f>C9</f>
        <v>办公</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 thickBot="1" x14ac:dyDescent="0.25">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9" thickTop="1" x14ac:dyDescent="0.2">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 thickBot="1" x14ac:dyDescent="0.25">
      <c r="A66" s="491"/>
      <c r="B66" s="500"/>
      <c r="C66" s="501" t="s">
        <v>24</v>
      </c>
      <c r="D66" s="501" t="s">
        <v>25</v>
      </c>
      <c r="E66" s="501" t="s">
        <v>26</v>
      </c>
      <c r="F66" s="501">
        <v>100</v>
      </c>
      <c r="G66" s="501">
        <f>F66-$K10</f>
        <v>98</v>
      </c>
      <c r="H66" s="501">
        <f>G66-$K10</f>
        <v>96</v>
      </c>
      <c r="I66" s="501">
        <f>H66-$K10</f>
        <v>94</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 thickTop="1" x14ac:dyDescent="0.2">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x14ac:dyDescent="0.2">
      <c r="A68" s="491"/>
      <c r="B68" s="505"/>
      <c r="C68" s="506">
        <v>0</v>
      </c>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 thickBot="1" x14ac:dyDescent="0.25">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 thickTop="1" x14ac:dyDescent="0.2">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 thickBot="1" x14ac:dyDescent="0.25">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 thickTop="1" x14ac:dyDescent="0.2">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 thickBot="1" x14ac:dyDescent="0.25">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 thickTop="1" x14ac:dyDescent="0.2">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 thickBot="1" x14ac:dyDescent="0.25">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x14ac:dyDescent="0.2">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 thickBot="1" x14ac:dyDescent="0.25">
      <c r="A77" s="491"/>
      <c r="B77" s="500"/>
      <c r="C77" s="501">
        <v>100</v>
      </c>
      <c r="D77" s="501">
        <f>C77-$K15</f>
        <v>98</v>
      </c>
      <c r="E77" s="501">
        <f>D77-$K15</f>
        <v>96</v>
      </c>
      <c r="F77" s="501">
        <f>E77-$K15</f>
        <v>94</v>
      </c>
      <c r="G77" s="501">
        <f>F77-$K15</f>
        <v>92</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 thickTop="1" x14ac:dyDescent="0.2">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 thickBot="1" x14ac:dyDescent="0.25">
      <c r="A79" s="491"/>
      <c r="B79" s="500"/>
      <c r="C79" s="501">
        <v>100</v>
      </c>
      <c r="D79" s="501">
        <f>C79-$K17</f>
        <v>98</v>
      </c>
      <c r="E79" s="501">
        <f>D79-$K17</f>
        <v>96</v>
      </c>
      <c r="F79" s="501">
        <f>E79-$K17</f>
        <v>94</v>
      </c>
      <c r="G79" s="501">
        <f>F79-$K17</f>
        <v>92</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 thickTop="1" x14ac:dyDescent="0.2">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 thickBot="1" x14ac:dyDescent="0.25">
      <c r="A81" s="491"/>
      <c r="B81" s="500"/>
      <c r="C81" s="501">
        <v>100</v>
      </c>
      <c r="D81" s="501">
        <f>C81-$K19</f>
        <v>98</v>
      </c>
      <c r="E81" s="501">
        <f>D81-$K19</f>
        <v>96</v>
      </c>
      <c r="F81" s="501">
        <f>E81-$K19</f>
        <v>94</v>
      </c>
      <c r="G81" s="501">
        <f>F81-$K19</f>
        <v>92</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 thickTop="1" x14ac:dyDescent="0.2">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 thickBot="1" x14ac:dyDescent="0.25">
      <c r="A83" s="491"/>
      <c r="B83" s="503"/>
      <c r="C83" s="501">
        <v>100</v>
      </c>
      <c r="D83" s="501">
        <f>C83-$K21</f>
        <v>98</v>
      </c>
      <c r="E83" s="501">
        <f t="shared" ref="E83:G83" si="19">D83-$K21</f>
        <v>96</v>
      </c>
      <c r="F83" s="501">
        <f t="shared" si="19"/>
        <v>94</v>
      </c>
      <c r="G83" s="501">
        <f t="shared" si="19"/>
        <v>92</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 thickTop="1" x14ac:dyDescent="0.2">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 thickBot="1" x14ac:dyDescent="0.25">
      <c r="A85" s="491"/>
      <c r="B85" s="500"/>
      <c r="C85" s="501">
        <v>100</v>
      </c>
      <c r="D85" s="501">
        <f>C85-$K23</f>
        <v>98</v>
      </c>
      <c r="E85" s="501">
        <f>D85-$K23</f>
        <v>96</v>
      </c>
      <c r="F85" s="501">
        <f>E85-$K23</f>
        <v>94</v>
      </c>
      <c r="G85" s="501">
        <f>F85-$K23</f>
        <v>92</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 thickTop="1" x14ac:dyDescent="0.2">
      <c r="A86" s="536"/>
      <c r="B86" s="495" t="s">
        <v>2501</v>
      </c>
      <c r="C86" s="3127" t="s">
        <v>3261</v>
      </c>
      <c r="D86" s="3127" t="s">
        <v>3260</v>
      </c>
      <c r="E86" s="3127"/>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 thickBot="1" x14ac:dyDescent="0.25">
      <c r="A87" s="536"/>
      <c r="B87" s="500"/>
      <c r="C87" s="539">
        <v>100</v>
      </c>
      <c r="D87" s="501">
        <f t="shared" ref="D87:M87" si="20">C87-$K25</f>
        <v>95</v>
      </c>
      <c r="E87" s="501">
        <f t="shared" si="20"/>
        <v>90</v>
      </c>
      <c r="F87" s="501">
        <f t="shared" si="20"/>
        <v>85</v>
      </c>
      <c r="G87" s="501">
        <f t="shared" si="20"/>
        <v>80</v>
      </c>
      <c r="H87" s="501">
        <f t="shared" si="20"/>
        <v>75</v>
      </c>
      <c r="I87" s="501">
        <f t="shared" si="20"/>
        <v>70</v>
      </c>
      <c r="J87" s="501">
        <f t="shared" si="20"/>
        <v>65</v>
      </c>
      <c r="K87" s="501">
        <f t="shared" si="20"/>
        <v>60</v>
      </c>
      <c r="L87" s="501">
        <f t="shared" si="20"/>
        <v>55</v>
      </c>
      <c r="M87" s="501">
        <f t="shared" si="20"/>
        <v>50</v>
      </c>
      <c r="N87" s="2983"/>
      <c r="O87" s="2983"/>
      <c r="P87" s="2973"/>
      <c r="Q87" s="2968"/>
      <c r="R87" s="2888"/>
      <c r="S87" s="2888"/>
      <c r="T87" s="2888"/>
      <c r="U87" s="2888"/>
      <c r="V87" s="2888"/>
      <c r="W87" s="2888"/>
      <c r="X87" s="2888"/>
      <c r="Y87" s="2888"/>
      <c r="Z87" s="2888"/>
      <c r="AA87" s="2888"/>
      <c r="AB87" s="2888"/>
      <c r="AC87" s="2888"/>
    </row>
    <row r="88" spans="1:29" s="113" customFormat="1" ht="15" thickTop="1" x14ac:dyDescent="0.2">
      <c r="A88" s="536"/>
      <c r="B88" s="495" t="str">
        <f>B26</f>
        <v>平面位置/可视性</v>
      </c>
      <c r="C88" s="511" t="s">
        <v>3331</v>
      </c>
      <c r="D88" s="511" t="s">
        <v>3332</v>
      </c>
      <c r="E88" s="511"/>
      <c r="F88" s="2115"/>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 thickBot="1" x14ac:dyDescent="0.25">
      <c r="A89" s="536"/>
      <c r="B89" s="500"/>
      <c r="C89" s="517">
        <v>100</v>
      </c>
      <c r="D89" s="493">
        <v>95</v>
      </c>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 thickTop="1" x14ac:dyDescent="0.2">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 thickBot="1" x14ac:dyDescent="0.25">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 thickTop="1" x14ac:dyDescent="0.2">
      <c r="A92" s="491"/>
      <c r="B92" s="495" t="str">
        <f>B28</f>
        <v>楼层</v>
      </c>
      <c r="C92" s="511" t="s">
        <v>3258</v>
      </c>
      <c r="D92" s="511" t="s">
        <v>3325</v>
      </c>
      <c r="E92" s="3192" t="s">
        <v>3322</v>
      </c>
      <c r="F92" s="3127" t="s">
        <v>3324</v>
      </c>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 thickBot="1" x14ac:dyDescent="0.25">
      <c r="A93" s="491"/>
      <c r="B93" s="500"/>
      <c r="C93" s="493"/>
      <c r="D93" s="493">
        <v>100</v>
      </c>
      <c r="E93" s="493">
        <v>102</v>
      </c>
      <c r="F93" s="493">
        <v>104</v>
      </c>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 thickTop="1" x14ac:dyDescent="0.2">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 thickBot="1" x14ac:dyDescent="0.25">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 thickTop="1" x14ac:dyDescent="0.2">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 thickBot="1" x14ac:dyDescent="0.25">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 thickTop="1" x14ac:dyDescent="0.2">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 thickBot="1" x14ac:dyDescent="0.25">
      <c r="A99" s="2116"/>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x14ac:dyDescent="0.2">
      <c r="A100" s="484" t="s">
        <v>2384</v>
      </c>
      <c r="B100" s="485" t="s">
        <v>2502</v>
      </c>
      <c r="C100" s="3192" t="s">
        <v>3328</v>
      </c>
      <c r="D100" s="3122" t="s">
        <v>3262</v>
      </c>
      <c r="E100" s="3122" t="s">
        <v>3278</v>
      </c>
      <c r="F100" s="3122" t="s">
        <v>3279</v>
      </c>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 thickBot="1" x14ac:dyDescent="0.25">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83"/>
      <c r="O101" s="2983"/>
      <c r="P101" s="2973"/>
      <c r="Q101" s="2968"/>
      <c r="R101" s="2954"/>
      <c r="S101" s="2954"/>
      <c r="T101" s="2954"/>
      <c r="U101" s="2954"/>
      <c r="V101" s="2954"/>
      <c r="W101" s="2954"/>
      <c r="X101" s="2954"/>
      <c r="Y101" s="2954"/>
      <c r="Z101" s="2954"/>
      <c r="AA101" s="2954"/>
      <c r="AB101" s="2954"/>
      <c r="AC101" s="2954"/>
    </row>
    <row r="102" spans="1:29" ht="29" thickTop="1" x14ac:dyDescent="0.2">
      <c r="A102" s="491"/>
      <c r="B102" s="495" t="s">
        <v>2434</v>
      </c>
      <c r="C102" s="535" t="str">
        <f>C103&amp;"(含)"&amp;"-"&amp;D103</f>
        <v>0(含)-300</v>
      </c>
      <c r="D102" s="535" t="str">
        <f t="shared" ref="D102:L102" si="23">D103&amp;"(含)"&amp;"-"&amp;E103</f>
        <v>300(含)-600</v>
      </c>
      <c r="E102" s="535" t="str">
        <f t="shared" si="23"/>
        <v>600(含)-900</v>
      </c>
      <c r="F102" s="535" t="str">
        <f t="shared" si="23"/>
        <v>900(含)-1200</v>
      </c>
      <c r="G102" s="535" t="str">
        <f t="shared" si="23"/>
        <v>1200(含)-1500</v>
      </c>
      <c r="H102" s="535" t="str">
        <f t="shared" si="23"/>
        <v>1500(含)-1800</v>
      </c>
      <c r="I102" s="535" t="str">
        <f t="shared" si="23"/>
        <v>1800(含)-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x14ac:dyDescent="0.2">
      <c r="A103" s="550"/>
      <c r="B103" s="551"/>
      <c r="C103" s="552">
        <v>0</v>
      </c>
      <c r="D103" s="552">
        <v>300</v>
      </c>
      <c r="E103" s="552">
        <v>600</v>
      </c>
      <c r="F103" s="552">
        <v>900</v>
      </c>
      <c r="G103" s="552">
        <v>1200</v>
      </c>
      <c r="H103" s="552">
        <v>1500</v>
      </c>
      <c r="I103" s="552">
        <v>1800</v>
      </c>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 thickBot="1" x14ac:dyDescent="0.25">
      <c r="A104" s="510"/>
      <c r="B104" s="500"/>
      <c r="C104" s="517">
        <v>100</v>
      </c>
      <c r="D104" s="493">
        <v>102</v>
      </c>
      <c r="E104" s="493">
        <v>104</v>
      </c>
      <c r="F104" s="493">
        <v>106</v>
      </c>
      <c r="G104" s="493">
        <v>108</v>
      </c>
      <c r="H104" s="493">
        <v>110</v>
      </c>
      <c r="I104" s="493">
        <v>112</v>
      </c>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x14ac:dyDescent="0.2">
      <c r="A105" s="556"/>
      <c r="B105" s="495" t="s">
        <v>2435</v>
      </c>
      <c r="C105" s="3127" t="s">
        <v>3263</v>
      </c>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 thickBot="1" x14ac:dyDescent="0.25">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x14ac:dyDescent="0.2">
      <c r="A107" s="556"/>
      <c r="B107" s="495" t="s">
        <v>2437</v>
      </c>
      <c r="C107" s="3127" t="s">
        <v>3264</v>
      </c>
      <c r="D107" s="3127" t="s">
        <v>3280</v>
      </c>
      <c r="E107" s="3127" t="s">
        <v>3281</v>
      </c>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 thickBot="1" x14ac:dyDescent="0.25">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x14ac:dyDescent="0.2">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x14ac:dyDescent="0.2">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 thickBot="1" x14ac:dyDescent="0.25">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x14ac:dyDescent="0.2">
      <c r="A112" s="550"/>
      <c r="B112" s="495" t="s">
        <v>2439</v>
      </c>
      <c r="C112" s="3127" t="s">
        <v>3265</v>
      </c>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 thickBot="1" x14ac:dyDescent="0.25">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4"/>
      <c r="O113" s="2984"/>
      <c r="P113" s="2974"/>
      <c r="Q113" s="2975"/>
      <c r="R113" s="2976"/>
      <c r="S113" s="2976"/>
      <c r="T113" s="2976"/>
      <c r="U113" s="2976"/>
      <c r="V113" s="2976"/>
      <c r="W113" s="2976"/>
      <c r="X113" s="2976"/>
      <c r="Y113" s="2976"/>
      <c r="Z113" s="2976"/>
      <c r="AA113" s="2976"/>
      <c r="AB113" s="2976"/>
      <c r="AC113" s="2976"/>
    </row>
    <row r="114" spans="1:29" ht="15" thickTop="1" x14ac:dyDescent="0.2">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 thickBot="1" x14ac:dyDescent="0.25">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x14ac:dyDescent="0.2">
      <c r="A116" s="556"/>
      <c r="B116" s="495" t="s">
        <v>2504</v>
      </c>
      <c r="C116" s="3127" t="s">
        <v>3266</v>
      </c>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 thickBot="1" x14ac:dyDescent="0.25">
      <c r="A117" s="491"/>
      <c r="B117" s="500"/>
      <c r="C117" s="501">
        <v>100</v>
      </c>
      <c r="D117" s="501">
        <f>C117-$K39</f>
        <v>98</v>
      </c>
      <c r="E117" s="501">
        <f>D117-$K39</f>
        <v>96</v>
      </c>
      <c r="F117" s="501">
        <f>E117-$K39</f>
        <v>94</v>
      </c>
      <c r="G117" s="501">
        <f>F117-$K39</f>
        <v>92</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x14ac:dyDescent="0.2">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 thickBot="1" x14ac:dyDescent="0.25">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x14ac:dyDescent="0.2">
      <c r="A120" s="550"/>
      <c r="B120" s="495" t="s">
        <v>2506</v>
      </c>
      <c r="C120" s="3128" t="s">
        <v>3268</v>
      </c>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 thickBot="1" x14ac:dyDescent="0.25">
      <c r="A121" s="510"/>
      <c r="B121" s="492"/>
      <c r="C121" s="539">
        <v>100</v>
      </c>
      <c r="D121" s="501">
        <f>C121-$K41</f>
        <v>99</v>
      </c>
      <c r="E121" s="501">
        <f t="shared" ref="E121:M121" si="29">D121-$K41</f>
        <v>98</v>
      </c>
      <c r="F121" s="501">
        <f t="shared" si="29"/>
        <v>97</v>
      </c>
      <c r="G121" s="501">
        <f t="shared" si="29"/>
        <v>96</v>
      </c>
      <c r="H121" s="501">
        <f t="shared" si="29"/>
        <v>95</v>
      </c>
      <c r="I121" s="501">
        <f t="shared" si="29"/>
        <v>94</v>
      </c>
      <c r="J121" s="501">
        <f t="shared" si="29"/>
        <v>93</v>
      </c>
      <c r="K121" s="501">
        <f t="shared" si="29"/>
        <v>92</v>
      </c>
      <c r="L121" s="501">
        <f t="shared" si="29"/>
        <v>91</v>
      </c>
      <c r="M121" s="502">
        <f t="shared" si="29"/>
        <v>90</v>
      </c>
      <c r="N121" s="2984"/>
      <c r="O121" s="2984"/>
      <c r="P121" s="2974"/>
      <c r="Q121" s="2975"/>
      <c r="R121" s="2976"/>
      <c r="S121" s="2976"/>
      <c r="T121" s="2976"/>
      <c r="U121" s="2976"/>
      <c r="V121" s="2976"/>
      <c r="W121" s="2976"/>
      <c r="X121" s="2976"/>
      <c r="Y121" s="2976"/>
      <c r="Z121" s="2976"/>
      <c r="AA121" s="2976"/>
      <c r="AB121" s="2976"/>
      <c r="AC121" s="2976"/>
    </row>
    <row r="122" spans="1:29" ht="15" thickTop="1" x14ac:dyDescent="0.2">
      <c r="A122" s="556"/>
      <c r="B122" s="495" t="s">
        <v>2441</v>
      </c>
      <c r="C122" s="3127" t="s">
        <v>3264</v>
      </c>
      <c r="D122" s="3127" t="s">
        <v>3280</v>
      </c>
      <c r="E122" s="3127" t="s">
        <v>3281</v>
      </c>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 thickBot="1" x14ac:dyDescent="0.25">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3"/>
      <c r="O123" s="2983"/>
      <c r="P123" s="2973"/>
      <c r="Q123" s="2968"/>
      <c r="R123" s="2954"/>
      <c r="S123" s="2954"/>
      <c r="T123" s="2954"/>
      <c r="U123" s="2954"/>
      <c r="V123" s="2954"/>
      <c r="W123" s="2954"/>
      <c r="X123" s="2954"/>
      <c r="Y123" s="2954"/>
      <c r="Z123" s="2954"/>
      <c r="AA123" s="2954"/>
      <c r="AB123" s="2954"/>
      <c r="AC123" s="2954"/>
    </row>
    <row r="124" spans="1:29" ht="15" thickTop="1" x14ac:dyDescent="0.2">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 thickBot="1" x14ac:dyDescent="0.25">
      <c r="A125" s="491"/>
      <c r="B125" s="500"/>
      <c r="C125" s="501">
        <v>100</v>
      </c>
      <c r="D125" s="501">
        <f>C125-$K43</f>
        <v>99</v>
      </c>
      <c r="E125" s="501">
        <f>D125-$K43</f>
        <v>98</v>
      </c>
      <c r="F125" s="501">
        <f>E125-$K43</f>
        <v>97</v>
      </c>
      <c r="G125" s="501">
        <f>F125-$K43</f>
        <v>96</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x14ac:dyDescent="0.2">
      <c r="A126" s="550"/>
      <c r="B126" s="495">
        <f>B44</f>
        <v>0</v>
      </c>
      <c r="C126" s="511">
        <f>C44</f>
        <v>0</v>
      </c>
      <c r="D126" s="511">
        <f>E44</f>
        <v>0</v>
      </c>
      <c r="E126" s="511">
        <f>G44</f>
        <v>0</v>
      </c>
      <c r="F126" s="511">
        <f>I44</f>
        <v>0</v>
      </c>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 thickBot="1" x14ac:dyDescent="0.25">
      <c r="A127" s="510"/>
      <c r="B127" s="500"/>
      <c r="C127" s="517">
        <v>100</v>
      </c>
      <c r="D127" s="493">
        <v>102</v>
      </c>
      <c r="E127" s="493">
        <v>102</v>
      </c>
      <c r="F127" s="493">
        <v>102</v>
      </c>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x14ac:dyDescent="0.2">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 thickBot="1" x14ac:dyDescent="0.25">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x14ac:dyDescent="0.2">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 thickBot="1" x14ac:dyDescent="0.25">
      <c r="A131" s="2116"/>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row r="133" spans="1:29" x14ac:dyDescent="0.2">
      <c r="C133" s="363">
        <v>0</v>
      </c>
      <c r="D133" s="363">
        <v>300</v>
      </c>
      <c r="E133" s="363">
        <v>600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dimension ref="A1:P43"/>
  <sheetViews>
    <sheetView tabSelected="1" view="pageBreakPreview" topLeftCell="A25" zoomScale="110" zoomScaleSheetLayoutView="110" workbookViewId="0">
      <selection activeCell="G9" sqref="G9"/>
    </sheetView>
  </sheetViews>
  <sheetFormatPr baseColWidth="10" defaultColWidth="9" defaultRowHeight="15" x14ac:dyDescent="0.2"/>
  <cols>
    <col min="1" max="1" width="6.33203125" style="3054" customWidth="1"/>
    <col min="2" max="2" width="19.33203125" style="3116" customWidth="1"/>
    <col min="3" max="3" width="7.1640625" style="3117" customWidth="1"/>
    <col min="4" max="4" width="6.33203125" style="3117" customWidth="1"/>
    <col min="5" max="5" width="7.33203125" style="3117" customWidth="1"/>
    <col min="6" max="6" width="6.5" style="3117" customWidth="1"/>
    <col min="7" max="7" width="19.33203125" style="3118" customWidth="1"/>
    <col min="8" max="8" width="19.5" style="3054" customWidth="1"/>
    <col min="9" max="9" width="8.6640625" style="3054" customWidth="1"/>
    <col min="10" max="10" width="10.5" style="3050" customWidth="1"/>
    <col min="11" max="11" width="4.83203125" style="3081" customWidth="1"/>
    <col min="12" max="12" width="16.33203125" style="3081" customWidth="1"/>
    <col min="13" max="16" width="8.1640625" style="3054" customWidth="1"/>
    <col min="17" max="16384" width="9" style="3054"/>
  </cols>
  <sheetData>
    <row r="1" spans="1:16" x14ac:dyDescent="0.2">
      <c r="A1" s="3473" t="s">
        <v>3057</v>
      </c>
      <c r="B1" s="3473"/>
      <c r="C1" s="3473"/>
      <c r="D1" s="3473"/>
      <c r="E1" s="3473"/>
      <c r="F1" s="3473"/>
      <c r="G1" s="3473"/>
      <c r="H1" s="3473"/>
      <c r="I1" s="3473"/>
      <c r="K1" s="3474" t="s">
        <v>3058</v>
      </c>
      <c r="L1" s="3051" t="s">
        <v>3059</v>
      </c>
      <c r="M1" s="3052">
        <v>0</v>
      </c>
      <c r="N1" s="3053"/>
      <c r="O1" s="3053"/>
    </row>
    <row r="2" spans="1:16" ht="15.75" customHeight="1" x14ac:dyDescent="0.15">
      <c r="A2" s="3055" t="s">
        <v>3060</v>
      </c>
      <c r="B2" s="3056" t="s">
        <v>3061</v>
      </c>
      <c r="C2" s="3475" t="s">
        <v>3062</v>
      </c>
      <c r="D2" s="3476"/>
      <c r="E2" s="3476"/>
      <c r="F2" s="3477"/>
      <c r="G2" s="3057" t="s">
        <v>3063</v>
      </c>
      <c r="H2" s="3478" t="s">
        <v>3064</v>
      </c>
      <c r="I2" s="3478"/>
      <c r="K2" s="3474"/>
      <c r="L2" s="3051" t="s">
        <v>3065</v>
      </c>
      <c r="M2" s="3058" t="s">
        <v>3066</v>
      </c>
      <c r="N2" s="3059"/>
      <c r="O2" s="3059"/>
    </row>
    <row r="3" spans="1:16" x14ac:dyDescent="0.15">
      <c r="A3" s="3060" t="s">
        <v>3067</v>
      </c>
      <c r="B3" s="3061" t="s">
        <v>3068</v>
      </c>
      <c r="C3" s="3475">
        <f>ROUND('比较法-商业'!C49*'收益法倒推-商业'!I3,0)</f>
        <v>22403863</v>
      </c>
      <c r="D3" s="3476"/>
      <c r="E3" s="3476"/>
      <c r="F3" s="3477"/>
      <c r="G3" s="3060" t="s">
        <v>3069</v>
      </c>
      <c r="H3" s="3062" t="s">
        <v>3070</v>
      </c>
      <c r="I3" s="3063">
        <f>'数据-汇总表'!E3</f>
        <v>547.29</v>
      </c>
      <c r="K3" s="3474"/>
      <c r="L3" s="3051" t="s">
        <v>3071</v>
      </c>
      <c r="M3" s="3058" t="s">
        <v>3072</v>
      </c>
      <c r="N3" s="3059"/>
      <c r="O3" s="3064"/>
    </row>
    <row r="4" spans="1:16" x14ac:dyDescent="0.15">
      <c r="A4" s="3479" t="s">
        <v>3073</v>
      </c>
      <c r="B4" s="3480" t="s">
        <v>3074</v>
      </c>
      <c r="C4" s="3481">
        <f>ROUND(C3*(I4-I6)/(1-((1+I6)/(1+I4))^I5),0)</f>
        <v>1353036</v>
      </c>
      <c r="D4" s="3482"/>
      <c r="E4" s="3482"/>
      <c r="F4" s="3483"/>
      <c r="G4" s="3479" t="s">
        <v>3075</v>
      </c>
      <c r="H4" s="3065" t="s">
        <v>3076</v>
      </c>
      <c r="I4" s="3213">
        <v>6.5000000000000002E-2</v>
      </c>
      <c r="K4" s="3474"/>
      <c r="L4" s="3051" t="s">
        <v>3077</v>
      </c>
      <c r="M4" s="3066">
        <f>ROUND(1-(1-M1)*M2/M3,2)</f>
        <v>0.57999999999999996</v>
      </c>
      <c r="N4" s="3059"/>
      <c r="O4" s="3059"/>
    </row>
    <row r="5" spans="1:16" s="3070" customFormat="1" ht="18" customHeight="1" x14ac:dyDescent="0.15">
      <c r="A5" s="3479"/>
      <c r="B5" s="3480"/>
      <c r="C5" s="3484"/>
      <c r="D5" s="3485"/>
      <c r="E5" s="3485"/>
      <c r="F5" s="3486"/>
      <c r="G5" s="3479"/>
      <c r="H5" s="3061" t="s">
        <v>3078</v>
      </c>
      <c r="I5" s="3067">
        <f>项目基本情况!F15</f>
        <v>28.36</v>
      </c>
      <c r="J5" s="3068"/>
      <c r="K5" s="3474"/>
      <c r="L5" s="3051" t="s">
        <v>3080</v>
      </c>
      <c r="M5" s="3069">
        <v>0.5</v>
      </c>
      <c r="N5" s="3059"/>
      <c r="O5" s="3059"/>
    </row>
    <row r="6" spans="1:16" s="3070" customFormat="1" ht="18" customHeight="1" x14ac:dyDescent="0.2">
      <c r="A6" s="3479"/>
      <c r="B6" s="3480"/>
      <c r="C6" s="3487"/>
      <c r="D6" s="3488"/>
      <c r="E6" s="3488"/>
      <c r="F6" s="3489"/>
      <c r="G6" s="3479"/>
      <c r="H6" s="3061" t="s">
        <v>3081</v>
      </c>
      <c r="I6" s="3213">
        <v>2.5000000000000001E-2</v>
      </c>
      <c r="J6" s="3071"/>
      <c r="K6" s="3490" t="s">
        <v>3082</v>
      </c>
      <c r="L6" s="3072" t="s">
        <v>3083</v>
      </c>
      <c r="M6" s="3073" t="s">
        <v>3084</v>
      </c>
      <c r="N6" s="3073" t="s">
        <v>3085</v>
      </c>
      <c r="O6" s="3073" t="s">
        <v>3086</v>
      </c>
      <c r="P6" s="3073" t="s">
        <v>3087</v>
      </c>
    </row>
    <row r="7" spans="1:16" s="3070" customFormat="1" ht="17.25" customHeight="1" x14ac:dyDescent="0.2">
      <c r="A7" s="3060" t="s">
        <v>3088</v>
      </c>
      <c r="B7" s="3061" t="s">
        <v>3089</v>
      </c>
      <c r="C7" s="3475">
        <f ca="1">ROUND(C23*I7,0)</f>
        <v>3563627</v>
      </c>
      <c r="D7" s="3476"/>
      <c r="E7" s="3476"/>
      <c r="F7" s="3477"/>
      <c r="G7" s="3057" t="s">
        <v>3090</v>
      </c>
      <c r="H7" s="3061" t="s">
        <v>3091</v>
      </c>
      <c r="I7" s="3074">
        <f>'数据-取费表'!N6</f>
        <v>0.8</v>
      </c>
      <c r="K7" s="3490"/>
      <c r="L7" s="3072" t="s">
        <v>3092</v>
      </c>
      <c r="M7" s="3073">
        <v>100</v>
      </c>
      <c r="N7" s="3073" t="s">
        <v>3093</v>
      </c>
      <c r="O7" s="3073">
        <v>60</v>
      </c>
      <c r="P7" s="3075">
        <v>0.3</v>
      </c>
    </row>
    <row r="8" spans="1:16" s="3070" customFormat="1" ht="23.25" customHeight="1" x14ac:dyDescent="0.2">
      <c r="A8" s="3055" t="s">
        <v>3094</v>
      </c>
      <c r="B8" s="3061" t="s">
        <v>3095</v>
      </c>
      <c r="C8" s="3475">
        <f>ROUND(I8*I3,0)</f>
        <v>2736450</v>
      </c>
      <c r="D8" s="3476"/>
      <c r="E8" s="3476"/>
      <c r="F8" s="3477"/>
      <c r="G8" s="3057" t="s">
        <v>3096</v>
      </c>
      <c r="H8" s="3061" t="s">
        <v>3097</v>
      </c>
      <c r="I8" s="3214">
        <f>'数据-取费表'!L6</f>
        <v>5000</v>
      </c>
      <c r="J8" s="3076">
        <f>D36</f>
        <v>9.1999999999999993</v>
      </c>
      <c r="K8" s="3490"/>
      <c r="L8" s="3072" t="s">
        <v>3098</v>
      </c>
      <c r="M8" s="3073">
        <v>100</v>
      </c>
      <c r="N8" s="3073" t="s">
        <v>3093</v>
      </c>
      <c r="O8" s="3073">
        <v>60</v>
      </c>
      <c r="P8" s="3075">
        <v>0.5</v>
      </c>
    </row>
    <row r="9" spans="1:16" s="3070" customFormat="1" ht="18" customHeight="1" x14ac:dyDescent="0.2">
      <c r="A9" s="3055" t="s">
        <v>3099</v>
      </c>
      <c r="B9" s="3061" t="s">
        <v>3100</v>
      </c>
      <c r="C9" s="3475">
        <f>ROUND(C8*H9,0)</f>
        <v>82094</v>
      </c>
      <c r="D9" s="3476"/>
      <c r="E9" s="3476"/>
      <c r="F9" s="3477"/>
      <c r="G9" s="3057" t="s">
        <v>3101</v>
      </c>
      <c r="H9" s="3491">
        <v>0.03</v>
      </c>
      <c r="I9" s="3491"/>
      <c r="J9" s="3076">
        <f ca="1">D37</f>
        <v>9.8000000000000007</v>
      </c>
      <c r="K9" s="3490"/>
      <c r="L9" s="3072" t="s">
        <v>3102</v>
      </c>
      <c r="M9" s="3073">
        <v>100</v>
      </c>
      <c r="N9" s="3073" t="s">
        <v>3093</v>
      </c>
      <c r="O9" s="3073">
        <v>60</v>
      </c>
      <c r="P9" s="3075">
        <f>1-P7-P8</f>
        <v>0.19999999999999996</v>
      </c>
    </row>
    <row r="10" spans="1:16" s="3070" customFormat="1" ht="18" customHeight="1" x14ac:dyDescent="0.15">
      <c r="A10" s="3055" t="s">
        <v>3103</v>
      </c>
      <c r="B10" s="3061" t="s">
        <v>3104</v>
      </c>
      <c r="C10" s="3475">
        <f>ROUND(C8*H10,0)</f>
        <v>0</v>
      </c>
      <c r="D10" s="3476"/>
      <c r="E10" s="3476"/>
      <c r="F10" s="3477"/>
      <c r="G10" s="3057" t="s">
        <v>3101</v>
      </c>
      <c r="H10" s="3491">
        <v>0</v>
      </c>
      <c r="I10" s="3491"/>
      <c r="J10" s="3076">
        <f ca="1">D38</f>
        <v>9.5</v>
      </c>
      <c r="K10" s="3490"/>
      <c r="L10" s="3077" t="s">
        <v>3079</v>
      </c>
      <c r="M10" s="3078">
        <f>1-M5</f>
        <v>0.5</v>
      </c>
      <c r="N10" s="3073" t="s">
        <v>3077</v>
      </c>
      <c r="O10" s="3079">
        <f>ROUND((O7*P7+O8*P8+O9*P9)/100,2)</f>
        <v>0.6</v>
      </c>
      <c r="P10" s="3080"/>
    </row>
    <row r="11" spans="1:16" s="3070" customFormat="1" ht="29.25" customHeight="1" x14ac:dyDescent="0.2">
      <c r="A11" s="3055" t="s">
        <v>3105</v>
      </c>
      <c r="B11" s="3061" t="s">
        <v>3106</v>
      </c>
      <c r="C11" s="3475">
        <f>ROUND(I11*I3,0)</f>
        <v>109458</v>
      </c>
      <c r="D11" s="3476"/>
      <c r="E11" s="3476"/>
      <c r="F11" s="3477"/>
      <c r="G11" s="3057" t="s">
        <v>3107</v>
      </c>
      <c r="H11" s="3061" t="s">
        <v>3108</v>
      </c>
      <c r="I11" s="3057">
        <v>200</v>
      </c>
      <c r="J11" s="3068"/>
      <c r="K11" s="3081"/>
      <c r="L11" s="3081"/>
      <c r="N11" s="3070">
        <f>(M4+O10)/2</f>
        <v>0.59</v>
      </c>
    </row>
    <row r="12" spans="1:16" s="3070" customFormat="1" ht="18" customHeight="1" x14ac:dyDescent="0.2">
      <c r="A12" s="3055" t="s">
        <v>3109</v>
      </c>
      <c r="B12" s="3061" t="s">
        <v>3110</v>
      </c>
      <c r="C12" s="3475">
        <f>ROUND(C8*H12,0)</f>
        <v>41047</v>
      </c>
      <c r="D12" s="3476"/>
      <c r="E12" s="3476"/>
      <c r="F12" s="3477"/>
      <c r="G12" s="3057" t="s">
        <v>3101</v>
      </c>
      <c r="H12" s="3491">
        <f>'数据-取费表'!B36</f>
        <v>1.4999999999999999E-2</v>
      </c>
      <c r="I12" s="3491"/>
      <c r="J12" s="3082" t="s">
        <v>3111</v>
      </c>
      <c r="L12" s="3083"/>
    </row>
    <row r="13" spans="1:16" s="3070" customFormat="1" ht="18" customHeight="1" x14ac:dyDescent="0.2">
      <c r="A13" s="3055" t="s">
        <v>3112</v>
      </c>
      <c r="B13" s="3061" t="s">
        <v>3113</v>
      </c>
      <c r="C13" s="3475">
        <f>SUM(C8:F12)</f>
        <v>2969049</v>
      </c>
      <c r="D13" s="3476"/>
      <c r="E13" s="3476"/>
      <c r="F13" s="3477"/>
      <c r="G13" s="3478" t="s">
        <v>3114</v>
      </c>
      <c r="H13" s="3478"/>
      <c r="I13" s="3478"/>
      <c r="J13" s="3082" t="s">
        <v>3115</v>
      </c>
      <c r="L13" s="3083"/>
    </row>
    <row r="14" spans="1:16" s="3070" customFormat="1" ht="18" customHeight="1" x14ac:dyDescent="0.2">
      <c r="A14" s="3055" t="s">
        <v>3117</v>
      </c>
      <c r="B14" s="3061" t="s">
        <v>3118</v>
      </c>
      <c r="C14" s="3475">
        <f>ROUND(C13*H14,0)</f>
        <v>89071</v>
      </c>
      <c r="D14" s="3476"/>
      <c r="E14" s="3476"/>
      <c r="F14" s="3477"/>
      <c r="G14" s="3057" t="s">
        <v>3119</v>
      </c>
      <c r="H14" s="3491">
        <v>0.03</v>
      </c>
      <c r="I14" s="3491"/>
      <c r="J14" s="3068"/>
      <c r="L14" s="3083"/>
    </row>
    <row r="15" spans="1:16" s="3070" customFormat="1" ht="18" customHeight="1" x14ac:dyDescent="0.2">
      <c r="A15" s="3055" t="s">
        <v>3120</v>
      </c>
      <c r="B15" s="3061" t="s">
        <v>3121</v>
      </c>
      <c r="C15" s="3496">
        <f>H15</f>
        <v>0.03</v>
      </c>
      <c r="D15" s="3497"/>
      <c r="E15" s="3494" t="str">
        <f>E18</f>
        <v>V</v>
      </c>
      <c r="F15" s="3495"/>
      <c r="G15" s="3057" t="s">
        <v>3122</v>
      </c>
      <c r="H15" s="3491">
        <v>0.03</v>
      </c>
      <c r="I15" s="3491"/>
      <c r="J15" s="3084"/>
      <c r="K15" s="3085"/>
    </row>
    <row r="16" spans="1:16" s="3070" customFormat="1" ht="18" customHeight="1" x14ac:dyDescent="0.2">
      <c r="A16" s="3086" t="s">
        <v>999</v>
      </c>
      <c r="B16" s="3087" t="s">
        <v>3123</v>
      </c>
      <c r="C16" s="3088">
        <f ca="1">C17</f>
        <v>217891</v>
      </c>
      <c r="D16" s="3089" t="s">
        <v>3124</v>
      </c>
      <c r="E16" s="3090">
        <f ca="1">C18</f>
        <v>2.1375000000000001E-3</v>
      </c>
      <c r="F16" s="3091" t="str">
        <f>E18</f>
        <v>V</v>
      </c>
      <c r="G16" s="3475" t="s">
        <v>3125</v>
      </c>
      <c r="H16" s="3476"/>
      <c r="I16" s="3477"/>
      <c r="J16" s="3068"/>
      <c r="K16" s="3081"/>
    </row>
    <row r="17" spans="1:12" s="3070" customFormat="1" ht="18" customHeight="1" x14ac:dyDescent="0.2">
      <c r="A17" s="3055" t="s">
        <v>3126</v>
      </c>
      <c r="B17" s="3061" t="s">
        <v>3127</v>
      </c>
      <c r="C17" s="3475">
        <f ca="1">ROUND((C13+C14)*I18*(I17/2),0)</f>
        <v>217891</v>
      </c>
      <c r="D17" s="3476"/>
      <c r="E17" s="3476"/>
      <c r="F17" s="3477"/>
      <c r="G17" s="3088" t="s">
        <v>3128</v>
      </c>
      <c r="H17" s="3061" t="s">
        <v>3129</v>
      </c>
      <c r="I17" s="3092">
        <v>3</v>
      </c>
      <c r="J17" s="3082" t="s">
        <v>3130</v>
      </c>
      <c r="K17" s="3081"/>
      <c r="L17" s="3081"/>
    </row>
    <row r="18" spans="1:12" s="3070" customFormat="1" ht="18" customHeight="1" x14ac:dyDescent="0.2">
      <c r="A18" s="3055" t="s">
        <v>3131</v>
      </c>
      <c r="B18" s="3061" t="s">
        <v>3132</v>
      </c>
      <c r="C18" s="3492">
        <f ca="1">H15*I18*I17/2</f>
        <v>2.1375000000000001E-3</v>
      </c>
      <c r="D18" s="3493"/>
      <c r="E18" s="3494" t="s">
        <v>3133</v>
      </c>
      <c r="F18" s="3495"/>
      <c r="G18" s="3088" t="s">
        <v>3134</v>
      </c>
      <c r="H18" s="3061" t="s">
        <v>3135</v>
      </c>
      <c r="I18" s="3093">
        <f ca="1">'数据-取费表'!B40</f>
        <v>4.7500000000000001E-2</v>
      </c>
      <c r="J18" s="3082" t="s">
        <v>3136</v>
      </c>
      <c r="K18" s="3081"/>
      <c r="L18" s="3081"/>
    </row>
    <row r="19" spans="1:12" s="3070" customFormat="1" ht="27" customHeight="1" x14ac:dyDescent="0.2">
      <c r="A19" s="3055" t="s">
        <v>3137</v>
      </c>
      <c r="B19" s="3061" t="s">
        <v>3138</v>
      </c>
      <c r="C19" s="3088">
        <f>C20</f>
        <v>764530</v>
      </c>
      <c r="D19" s="3089" t="s">
        <v>3139</v>
      </c>
      <c r="E19" s="3089">
        <f>C21</f>
        <v>7.4999999999999997E-3</v>
      </c>
      <c r="F19" s="3091" t="str">
        <f>E21</f>
        <v>V</v>
      </c>
      <c r="G19" s="3475" t="s">
        <v>3140</v>
      </c>
      <c r="H19" s="3476"/>
      <c r="I19" s="3477"/>
      <c r="J19" s="3068"/>
      <c r="K19" s="3081"/>
      <c r="L19" s="3081"/>
    </row>
    <row r="20" spans="1:12" s="3070" customFormat="1" ht="26.25" customHeight="1" x14ac:dyDescent="0.2">
      <c r="A20" s="3055" t="s">
        <v>3141</v>
      </c>
      <c r="B20" s="3061" t="s">
        <v>3142</v>
      </c>
      <c r="C20" s="3475">
        <f>ROUND((C13+C14)*I20,0)</f>
        <v>764530</v>
      </c>
      <c r="D20" s="3476"/>
      <c r="E20" s="3476"/>
      <c r="F20" s="3477"/>
      <c r="G20" s="3057" t="s">
        <v>3143</v>
      </c>
      <c r="H20" s="3500" t="s">
        <v>3144</v>
      </c>
      <c r="I20" s="3502">
        <f>'数据-取费表'!Q6</f>
        <v>0.25</v>
      </c>
      <c r="J20" s="3082" t="s">
        <v>3145</v>
      </c>
      <c r="K20" s="3081"/>
      <c r="L20" s="3081"/>
    </row>
    <row r="21" spans="1:12" s="3070" customFormat="1" ht="27" customHeight="1" x14ac:dyDescent="0.2">
      <c r="A21" s="3055" t="s">
        <v>3141</v>
      </c>
      <c r="B21" s="3061" t="s">
        <v>3146</v>
      </c>
      <c r="C21" s="3503">
        <f>H15*I20</f>
        <v>7.4999999999999997E-3</v>
      </c>
      <c r="D21" s="3504"/>
      <c r="E21" s="3494" t="s">
        <v>3133</v>
      </c>
      <c r="F21" s="3495"/>
      <c r="G21" s="3057" t="s">
        <v>3147</v>
      </c>
      <c r="H21" s="3501"/>
      <c r="I21" s="3502"/>
      <c r="J21" s="3068"/>
      <c r="K21" s="3081"/>
      <c r="L21" s="3081"/>
    </row>
    <row r="22" spans="1:12" s="3070" customFormat="1" ht="18" customHeight="1" x14ac:dyDescent="0.2">
      <c r="A22" s="3055" t="s">
        <v>1001</v>
      </c>
      <c r="B22" s="3061" t="s">
        <v>3148</v>
      </c>
      <c r="C22" s="3503">
        <f>ROUND(H22/1.05,4)</f>
        <v>5.33E-2</v>
      </c>
      <c r="D22" s="3504"/>
      <c r="E22" s="3494" t="s">
        <v>3133</v>
      </c>
      <c r="F22" s="3495"/>
      <c r="G22" s="3057" t="s">
        <v>3149</v>
      </c>
      <c r="H22" s="3491">
        <v>5.6000000000000001E-2</v>
      </c>
      <c r="I22" s="3491"/>
      <c r="J22" s="3094"/>
      <c r="K22" s="3081"/>
      <c r="L22" s="3081"/>
    </row>
    <row r="23" spans="1:12" s="3070" customFormat="1" ht="18" customHeight="1" x14ac:dyDescent="0.2">
      <c r="A23" s="3055" t="s">
        <v>3150</v>
      </c>
      <c r="B23" s="3061" t="s">
        <v>3151</v>
      </c>
      <c r="C23" s="3475">
        <f ca="1">ROUND((C13+C14+C17+C20)/(1-H15-C18-C21-C22),0)</f>
        <v>4454534</v>
      </c>
      <c r="D23" s="3476"/>
      <c r="E23" s="3476"/>
      <c r="F23" s="3477"/>
      <c r="G23" s="3475" t="s">
        <v>3152</v>
      </c>
      <c r="H23" s="3476"/>
      <c r="I23" s="3477"/>
      <c r="J23" s="3094"/>
      <c r="K23" s="3081"/>
      <c r="L23" s="3081"/>
    </row>
    <row r="24" spans="1:12" s="3070" customFormat="1" ht="18" customHeight="1" x14ac:dyDescent="0.2">
      <c r="A24" s="3055" t="s">
        <v>3153</v>
      </c>
      <c r="B24" s="3061" t="s">
        <v>3154</v>
      </c>
      <c r="C24" s="3095">
        <f ca="1">C27+C28</f>
        <v>72163</v>
      </c>
      <c r="D24" s="3096" t="s">
        <v>3155</v>
      </c>
      <c r="E24" s="3498">
        <f>H29+E26+H25</f>
        <v>0.191</v>
      </c>
      <c r="F24" s="3499"/>
      <c r="G24" s="3478" t="s">
        <v>3156</v>
      </c>
      <c r="H24" s="3478"/>
      <c r="I24" s="3478"/>
      <c r="J24" s="3094"/>
      <c r="K24" s="3081"/>
      <c r="L24" s="3081"/>
    </row>
    <row r="25" spans="1:12" s="3070" customFormat="1" ht="18" customHeight="1" x14ac:dyDescent="0.2">
      <c r="A25" s="3055" t="s">
        <v>1103</v>
      </c>
      <c r="B25" s="3061" t="s">
        <v>3157</v>
      </c>
      <c r="C25" s="3496" t="s">
        <v>3158</v>
      </c>
      <c r="D25" s="3497"/>
      <c r="E25" s="3505">
        <f>ROUND(H25/1.05,4)</f>
        <v>5.33E-2</v>
      </c>
      <c r="F25" s="3506"/>
      <c r="G25" s="3057" t="s">
        <v>3159</v>
      </c>
      <c r="H25" s="3507">
        <v>5.6000000000000001E-2</v>
      </c>
      <c r="I25" s="3507"/>
      <c r="J25" s="3084"/>
      <c r="K25" s="3081"/>
      <c r="L25" s="3081"/>
    </row>
    <row r="26" spans="1:12" s="3070" customFormat="1" ht="18" customHeight="1" x14ac:dyDescent="0.2">
      <c r="A26" s="3055" t="s">
        <v>3116</v>
      </c>
      <c r="B26" s="3061" t="s">
        <v>3160</v>
      </c>
      <c r="C26" s="3496" t="s">
        <v>3158</v>
      </c>
      <c r="D26" s="3497"/>
      <c r="E26" s="3508">
        <v>0.12</v>
      </c>
      <c r="F26" s="3499"/>
      <c r="G26" s="3057"/>
      <c r="H26" s="3509">
        <f>'数据-取费表'!B51</f>
        <v>0.12</v>
      </c>
      <c r="I26" s="3510"/>
      <c r="J26" s="3084"/>
      <c r="K26" s="3081"/>
      <c r="L26" s="3081"/>
    </row>
    <row r="27" spans="1:12" s="3070" customFormat="1" ht="18" customHeight="1" x14ac:dyDescent="0.2">
      <c r="A27" s="3055" t="s">
        <v>998</v>
      </c>
      <c r="B27" s="3061" t="s">
        <v>1100</v>
      </c>
      <c r="C27" s="3475">
        <f ca="1">ROUND(C23*H27,0)</f>
        <v>66818</v>
      </c>
      <c r="D27" s="3476"/>
      <c r="E27" s="3476"/>
      <c r="F27" s="3477"/>
      <c r="G27" s="3057" t="s">
        <v>3161</v>
      </c>
      <c r="H27" s="3507">
        <v>1.4999999999999999E-2</v>
      </c>
      <c r="I27" s="3507"/>
      <c r="J27" s="3084"/>
      <c r="K27" s="3081"/>
      <c r="L27" s="3081"/>
    </row>
    <row r="28" spans="1:12" s="3070" customFormat="1" ht="18" customHeight="1" x14ac:dyDescent="0.2">
      <c r="A28" s="3055" t="s">
        <v>999</v>
      </c>
      <c r="B28" s="3061" t="s">
        <v>3162</v>
      </c>
      <c r="C28" s="3475">
        <f ca="1">ROUND(C7*H28,0)</f>
        <v>5345</v>
      </c>
      <c r="D28" s="3476"/>
      <c r="E28" s="3476"/>
      <c r="F28" s="3477"/>
      <c r="G28" s="3057" t="s">
        <v>3163</v>
      </c>
      <c r="H28" s="3511">
        <v>1.5E-3</v>
      </c>
      <c r="I28" s="3511"/>
      <c r="J28" s="3068"/>
      <c r="K28" s="3081"/>
      <c r="L28" s="3081"/>
    </row>
    <row r="29" spans="1:12" s="3070" customFormat="1" ht="18" customHeight="1" x14ac:dyDescent="0.2">
      <c r="A29" s="3055" t="s">
        <v>1000</v>
      </c>
      <c r="B29" s="3061" t="s">
        <v>3164</v>
      </c>
      <c r="C29" s="3496" t="s">
        <v>3158</v>
      </c>
      <c r="D29" s="3497"/>
      <c r="E29" s="3508">
        <f>H29</f>
        <v>1.4999999999999999E-2</v>
      </c>
      <c r="F29" s="3499"/>
      <c r="G29" s="3057" t="s">
        <v>3165</v>
      </c>
      <c r="H29" s="3507">
        <v>1.4999999999999999E-2</v>
      </c>
      <c r="I29" s="3507"/>
      <c r="J29" s="3097"/>
      <c r="K29" s="3081"/>
      <c r="L29" s="3081"/>
    </row>
    <row r="30" spans="1:12" s="3070" customFormat="1" ht="18" customHeight="1" x14ac:dyDescent="0.2">
      <c r="A30" s="3060" t="s">
        <v>3166</v>
      </c>
      <c r="B30" s="3061" t="s">
        <v>3167</v>
      </c>
      <c r="C30" s="3475">
        <f ca="1">ROUND((C4+C24)/(1-E24),0)</f>
        <v>1761680</v>
      </c>
      <c r="D30" s="3476"/>
      <c r="E30" s="3476"/>
      <c r="F30" s="3477"/>
      <c r="G30" s="3479" t="s">
        <v>3168</v>
      </c>
      <c r="H30" s="3479"/>
      <c r="I30" s="3479"/>
      <c r="J30" s="3098" t="s">
        <v>3169</v>
      </c>
      <c r="K30" s="3081"/>
      <c r="L30" s="3081"/>
    </row>
    <row r="31" spans="1:12" s="3070" customFormat="1" ht="18" customHeight="1" x14ac:dyDescent="0.2">
      <c r="A31" s="3479" t="s">
        <v>3170</v>
      </c>
      <c r="B31" s="3480" t="s">
        <v>3295</v>
      </c>
      <c r="C31" s="3512">
        <f ca="1">ROUND(C30/I31/I32/'租金比较法-商业'!C47,2)</f>
        <v>9.8000000000000007</v>
      </c>
      <c r="D31" s="3513"/>
      <c r="E31" s="3513"/>
      <c r="F31" s="3514"/>
      <c r="G31" s="3478" t="s">
        <v>3171</v>
      </c>
      <c r="H31" s="3061" t="s">
        <v>3172</v>
      </c>
      <c r="I31" s="3057">
        <v>365</v>
      </c>
      <c r="J31" s="3099"/>
      <c r="K31" s="3081"/>
      <c r="L31" s="3081"/>
    </row>
    <row r="32" spans="1:12" s="3070" customFormat="1" ht="18" customHeight="1" x14ac:dyDescent="0.2">
      <c r="A32" s="3479"/>
      <c r="B32" s="3480"/>
      <c r="C32" s="3515"/>
      <c r="D32" s="3516"/>
      <c r="E32" s="3516"/>
      <c r="F32" s="3517"/>
      <c r="G32" s="3478"/>
      <c r="H32" s="3061" t="s">
        <v>3173</v>
      </c>
      <c r="I32" s="3212">
        <v>0.9</v>
      </c>
      <c r="J32" s="3100"/>
      <c r="K32" s="3081"/>
      <c r="L32" s="3189"/>
    </row>
    <row r="33" spans="1:13" s="3070" customFormat="1" ht="18" customHeight="1" x14ac:dyDescent="0.2">
      <c r="A33" s="3054"/>
      <c r="B33" s="3101"/>
      <c r="C33" s="3102"/>
      <c r="D33" s="3102"/>
      <c r="E33" s="3102"/>
      <c r="F33" s="3102"/>
      <c r="G33" s="3103"/>
      <c r="H33" s="3104"/>
      <c r="I33" s="3054"/>
      <c r="J33" s="3105"/>
      <c r="K33" s="3081"/>
      <c r="L33" s="3189"/>
    </row>
    <row r="34" spans="1:13" s="3070" customFormat="1" ht="18" customHeight="1" x14ac:dyDescent="0.2">
      <c r="A34" s="3054"/>
      <c r="B34" s="3519" t="s">
        <v>3270</v>
      </c>
      <c r="C34" s="3519"/>
      <c r="D34" s="3519"/>
      <c r="E34" s="3519"/>
      <c r="F34" s="3519"/>
      <c r="G34" s="3178"/>
      <c r="H34" s="3115"/>
      <c r="I34" s="3179"/>
      <c r="J34" s="3068"/>
      <c r="K34" s="3081"/>
      <c r="L34" s="3081"/>
      <c r="M34" s="3054"/>
    </row>
    <row r="35" spans="1:13" s="3070" customFormat="1" ht="18" customHeight="1" x14ac:dyDescent="0.2">
      <c r="A35" s="3054"/>
      <c r="B35" s="3108" t="s">
        <v>3174</v>
      </c>
      <c r="C35" s="3109" t="s">
        <v>3087</v>
      </c>
      <c r="D35" s="3520" t="s">
        <v>3175</v>
      </c>
      <c r="E35" s="3520"/>
      <c r="F35" s="3520"/>
      <c r="G35" s="3178"/>
      <c r="H35" s="3115"/>
      <c r="I35" s="3117"/>
      <c r="J35" s="3094"/>
      <c r="K35" s="3054"/>
      <c r="L35" s="3054"/>
      <c r="M35" s="3054"/>
    </row>
    <row r="36" spans="1:13" x14ac:dyDescent="0.2">
      <c r="B36" s="3108" t="s">
        <v>3176</v>
      </c>
      <c r="C36" s="3110">
        <v>0.5</v>
      </c>
      <c r="D36" s="3521">
        <f>'租金比较法-商业'!C50</f>
        <v>9.1999999999999993</v>
      </c>
      <c r="E36" s="3521"/>
      <c r="F36" s="3521"/>
      <c r="G36" s="3178"/>
      <c r="H36" s="3115"/>
      <c r="I36" s="3117"/>
      <c r="K36" s="3054"/>
      <c r="L36" s="3054"/>
    </row>
    <row r="37" spans="1:13" ht="20" customHeight="1" x14ac:dyDescent="0.2">
      <c r="B37" s="3108" t="s">
        <v>3177</v>
      </c>
      <c r="C37" s="3110">
        <f>1-C36</f>
        <v>0.5</v>
      </c>
      <c r="D37" s="3521">
        <f ca="1">C31</f>
        <v>9.8000000000000007</v>
      </c>
      <c r="E37" s="3521"/>
      <c r="F37" s="3521"/>
      <c r="G37" s="3185">
        <f ca="1">(D37-D36)/D37</f>
        <v>6.1224489795918505E-2</v>
      </c>
      <c r="H37" s="3180"/>
      <c r="I37" s="3181"/>
      <c r="J37" s="3054"/>
      <c r="K37" s="3054"/>
      <c r="L37" s="3054"/>
    </row>
    <row r="38" spans="1:13" ht="22.5" customHeight="1" x14ac:dyDescent="0.2">
      <c r="B38" s="3522" t="s">
        <v>3178</v>
      </c>
      <c r="C38" s="3522"/>
      <c r="D38" s="3523">
        <f ca="1">ROUND(D36*C36+D37*C37,2)</f>
        <v>9.5</v>
      </c>
      <c r="E38" s="3524"/>
      <c r="F38" s="3525"/>
      <c r="G38" s="3178"/>
      <c r="H38" s="3180"/>
      <c r="I38" s="3181"/>
      <c r="J38" s="3054">
        <v>1055.52</v>
      </c>
      <c r="K38" s="3054"/>
      <c r="L38" s="3054"/>
    </row>
    <row r="39" spans="1:13" ht="22.5" customHeight="1" x14ac:dyDescent="0.2">
      <c r="B39" s="3108" t="s">
        <v>3179</v>
      </c>
      <c r="C39" s="3137">
        <f ca="1">ROUND(D38*0.9,1)</f>
        <v>8.6</v>
      </c>
      <c r="D39" s="3138" t="s">
        <v>3180</v>
      </c>
      <c r="E39" s="3518">
        <f ca="1">ROUND(D38*1.1,1)</f>
        <v>10.5</v>
      </c>
      <c r="F39" s="3518"/>
      <c r="G39" s="3106"/>
      <c r="H39" s="3111"/>
      <c r="J39" s="3054"/>
      <c r="K39" s="3054"/>
      <c r="L39" s="3054"/>
    </row>
    <row r="40" spans="1:13" ht="18" customHeight="1" x14ac:dyDescent="0.2">
      <c r="B40" s="3108" t="s">
        <v>3181</v>
      </c>
      <c r="C40" s="3137">
        <f ca="1">ROUND(C39+H40,1)</f>
        <v>8.6</v>
      </c>
      <c r="D40" s="3138" t="s">
        <v>3180</v>
      </c>
      <c r="E40" s="3518">
        <f ca="1">ROUND(E39+H40,1)</f>
        <v>10.5</v>
      </c>
      <c r="F40" s="3518"/>
      <c r="G40" s="3112" t="s">
        <v>3182</v>
      </c>
      <c r="H40" s="3112"/>
      <c r="J40" s="3054"/>
      <c r="K40" s="3054"/>
      <c r="L40" s="3054"/>
    </row>
    <row r="41" spans="1:13" ht="18" customHeight="1" x14ac:dyDescent="0.2">
      <c r="B41" s="3113"/>
      <c r="C41" s="3114"/>
      <c r="D41" s="3115"/>
      <c r="E41" s="3115"/>
      <c r="F41" s="3115"/>
      <c r="G41" s="3106"/>
      <c r="H41" s="3107"/>
      <c r="J41" s="3054"/>
    </row>
    <row r="42" spans="1:13" ht="18" customHeight="1" x14ac:dyDescent="0.2">
      <c r="B42" s="3106" t="s">
        <v>3183</v>
      </c>
      <c r="C42" s="3115"/>
      <c r="D42" s="3115"/>
      <c r="E42" s="3106" t="s">
        <v>3184</v>
      </c>
      <c r="F42" s="3115"/>
      <c r="G42" s="3106"/>
      <c r="H42" s="3106" t="s">
        <v>3185</v>
      </c>
      <c r="J42" s="3054"/>
    </row>
    <row r="43" spans="1:13" ht="29.25" customHeight="1" x14ac:dyDescent="0.2"/>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0" orientation="portrait" r:id="rId1"/>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zoomScale="90" zoomScaleNormal="70" zoomScaleSheetLayoutView="90" workbookViewId="0">
      <selection activeCell="K34" sqref="K34"/>
    </sheetView>
  </sheetViews>
  <sheetFormatPr baseColWidth="10" defaultColWidth="9" defaultRowHeight="13" x14ac:dyDescent="0.2"/>
  <cols>
    <col min="1" max="1" width="9" style="264" customWidth="1"/>
    <col min="2" max="2" width="20.6640625" style="663" customWidth="1"/>
    <col min="3" max="3" width="11.83203125" style="663" customWidth="1"/>
    <col min="4" max="4" width="40.5" style="264" customWidth="1"/>
    <col min="5" max="5" width="15.66406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5.1640625" style="1654" customWidth="1"/>
    <col min="12" max="12" width="16.33203125" style="264" customWidth="1"/>
    <col min="13" max="13" width="13" style="264" customWidth="1"/>
    <col min="14" max="14" width="13.6640625" style="1570" customWidth="1"/>
    <col min="15" max="15" width="5.1640625" style="1570" customWidth="1"/>
    <col min="16" max="16" width="25.6640625" style="1570" customWidth="1"/>
    <col min="17" max="17" width="13.6640625" style="1570" customWidth="1"/>
    <col min="18" max="18" width="20.5" style="1570" customWidth="1"/>
    <col min="19" max="19" width="13.1640625" style="1570" customWidth="1"/>
    <col min="20" max="37" width="9" style="1570"/>
    <col min="38" max="16384" width="9" style="264"/>
  </cols>
  <sheetData>
    <row r="1" spans="1:37" s="299" customFormat="1" ht="20" x14ac:dyDescent="0.2">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x14ac:dyDescent="0.15">
      <c r="A2" s="1571" t="s">
        <v>1480</v>
      </c>
      <c r="B2" s="1572" t="e">
        <f ca="1">C40+J29+L46</f>
        <v>#DIV/0!</v>
      </c>
      <c r="C2" s="1573" t="s">
        <v>1481</v>
      </c>
      <c r="D2" s="1573"/>
      <c r="E2" s="1574"/>
      <c r="F2" s="1575"/>
      <c r="G2" s="2935"/>
      <c r="H2" s="2924"/>
      <c r="I2" s="2924"/>
      <c r="J2" s="2924"/>
      <c r="K2" s="2925"/>
      <c r="L2" s="2924"/>
      <c r="M2" s="2924"/>
    </row>
    <row r="3" spans="1:37" ht="18" customHeight="1" thickBot="1" x14ac:dyDescent="0.25">
      <c r="A3" s="1576" t="s">
        <v>1482</v>
      </c>
      <c r="B3" s="1577">
        <f ca="1">IF(ISERROR(B2*10000/F43),0,ROUND(B2*10000/F43,0))</f>
        <v>0</v>
      </c>
      <c r="C3" s="1573" t="s">
        <v>1483</v>
      </c>
      <c r="D3" s="1573"/>
      <c r="E3" s="1574"/>
      <c r="F3" s="1575"/>
      <c r="G3" s="2935"/>
      <c r="H3" s="692" t="s">
        <v>1553</v>
      </c>
      <c r="I3" s="1568"/>
      <c r="J3" s="1568"/>
      <c r="K3" s="1569"/>
      <c r="L3" s="1568"/>
      <c r="M3" s="1568"/>
    </row>
    <row r="4" spans="1:37" ht="18" customHeight="1" x14ac:dyDescent="0.2">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x14ac:dyDescent="0.2">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x14ac:dyDescent="0.2">
      <c r="A6" s="1201" t="s">
        <v>1003</v>
      </c>
      <c r="B6" s="3528" t="s">
        <v>1368</v>
      </c>
      <c r="C6" s="1206">
        <f ca="1">ROUND(F6*F8*F7*(1-F9)/10000,0)</f>
        <v>0</v>
      </c>
      <c r="D6" s="160" t="s">
        <v>2849</v>
      </c>
      <c r="E6" s="308" t="s">
        <v>1370</v>
      </c>
      <c r="F6" s="309">
        <f ca="1">INDIRECT("'数据-取费表'!u"&amp;$G$1)</f>
        <v>0</v>
      </c>
      <c r="G6" s="1570"/>
      <c r="H6" s="1201" t="s">
        <v>1003</v>
      </c>
      <c r="I6" s="3528" t="s">
        <v>1368</v>
      </c>
      <c r="J6" s="307">
        <f ca="1">ROUND(M6*M8*M7*(1-M9)/10000,0)</f>
        <v>0</v>
      </c>
      <c r="K6" s="160" t="s">
        <v>2848</v>
      </c>
      <c r="L6" s="308" t="s">
        <v>1370</v>
      </c>
      <c r="M6" s="309">
        <f ca="1">INDIRECT("'数据-取费表'!z"&amp;$G$1)</f>
        <v>0</v>
      </c>
    </row>
    <row r="7" spans="1:37" ht="18" customHeight="1" x14ac:dyDescent="0.2">
      <c r="A7" s="1205"/>
      <c r="B7" s="3529"/>
      <c r="C7" s="1207"/>
      <c r="D7" s="313"/>
      <c r="E7" s="1208" t="s">
        <v>1371</v>
      </c>
      <c r="F7" s="309">
        <f ca="1">IF(INDIRECT("'数据-取费表'!ah"&amp;$G$1)="",INDIRECT("'数据-取费表'!k"&amp;$G$1),INDIRECT("'数据-取费表'!ah"&amp;$G$1))</f>
        <v>0</v>
      </c>
      <c r="G7" s="1570"/>
      <c r="H7" s="310"/>
      <c r="I7" s="3529"/>
      <c r="J7" s="312"/>
      <c r="K7" s="313"/>
      <c r="L7" s="308" t="s">
        <v>1371</v>
      </c>
      <c r="M7" s="309">
        <f ca="1">F7</f>
        <v>0</v>
      </c>
    </row>
    <row r="8" spans="1:37" ht="18" customHeight="1" x14ac:dyDescent="0.2">
      <c r="A8" s="310"/>
      <c r="B8" s="3529"/>
      <c r="C8" s="312"/>
      <c r="D8" s="313"/>
      <c r="E8" s="308" t="s">
        <v>1372</v>
      </c>
      <c r="F8" s="309">
        <f ca="1">INDIRECT("'数据-取费表'!ai"&amp;$G$1)</f>
        <v>0</v>
      </c>
      <c r="G8" s="1570"/>
      <c r="H8" s="310"/>
      <c r="I8" s="3529"/>
      <c r="J8" s="312"/>
      <c r="K8" s="313"/>
      <c r="L8" s="308" t="s">
        <v>1372</v>
      </c>
      <c r="M8" s="309">
        <f ca="1">INDIRECT("'数据-取费表'!ai"&amp;$G$1)</f>
        <v>0</v>
      </c>
    </row>
    <row r="9" spans="1:37" ht="18" customHeight="1" x14ac:dyDescent="0.2">
      <c r="A9" s="310"/>
      <c r="B9" s="3530"/>
      <c r="C9" s="312"/>
      <c r="D9" s="313"/>
      <c r="E9" s="308" t="s">
        <v>1373</v>
      </c>
      <c r="F9" s="318">
        <f ca="1">INDIRECT("'数据-取费表'!w"&amp;$G$1)</f>
        <v>0</v>
      </c>
      <c r="G9" s="1570"/>
      <c r="H9" s="310"/>
      <c r="I9" s="3530"/>
      <c r="J9" s="312"/>
      <c r="K9" s="313"/>
      <c r="L9" s="319" t="s">
        <v>1373</v>
      </c>
      <c r="M9" s="320">
        <f ca="1">INDIRECT("'数据-取费表'!ab"&amp;$G$1)</f>
        <v>0</v>
      </c>
    </row>
    <row r="10" spans="1:37" ht="18" customHeight="1" x14ac:dyDescent="0.2">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x14ac:dyDescent="0.2">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x14ac:dyDescent="0.25">
      <c r="A12" s="1243" t="s">
        <v>1043</v>
      </c>
      <c r="B12" s="1555" t="s">
        <v>1378</v>
      </c>
      <c r="C12" s="1244"/>
      <c r="D12" s="1245"/>
      <c r="E12" s="1250"/>
      <c r="F12" s="1246"/>
      <c r="G12" s="1570"/>
      <c r="H12" s="1243" t="s">
        <v>1043</v>
      </c>
      <c r="I12" s="1555" t="s">
        <v>1378</v>
      </c>
      <c r="J12" s="1244"/>
      <c r="K12" s="1258"/>
      <c r="L12" s="1250"/>
      <c r="M12" s="1259"/>
    </row>
    <row r="13" spans="1:37" ht="18" customHeight="1" thickTop="1" x14ac:dyDescent="0.2">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x14ac:dyDescent="0.2">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x14ac:dyDescent="0.25">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x14ac:dyDescent="0.2">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x14ac:dyDescent="0.2">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x14ac:dyDescent="0.2">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x14ac:dyDescent="0.2">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x14ac:dyDescent="0.2">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x14ac:dyDescent="0.2">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x14ac:dyDescent="0.2">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x14ac:dyDescent="0.2">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x14ac:dyDescent="0.25">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x14ac:dyDescent="0.2">
      <c r="A25" s="1113" t="s">
        <v>1425</v>
      </c>
      <c r="B25" s="308" t="s">
        <v>1426</v>
      </c>
      <c r="C25" s="24"/>
      <c r="D25" s="136" t="s">
        <v>1427</v>
      </c>
      <c r="E25" s="1546"/>
      <c r="F25" s="26"/>
      <c r="G25" s="1570"/>
      <c r="H25" s="1239" t="s">
        <v>999</v>
      </c>
      <c r="I25" s="1254" t="s">
        <v>1428</v>
      </c>
      <c r="J25" s="316">
        <f ca="1">J5-J16</f>
        <v>0</v>
      </c>
      <c r="K25" s="1255" t="s">
        <v>1429</v>
      </c>
      <c r="L25" s="1256"/>
      <c r="M25" s="1257"/>
    </row>
    <row r="26" spans="1:37" ht="14" x14ac:dyDescent="0.2">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x14ac:dyDescent="0.2">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x14ac:dyDescent="0.2">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x14ac:dyDescent="0.25">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x14ac:dyDescent="0.2">
      <c r="A30" s="1239" t="s">
        <v>998</v>
      </c>
      <c r="B30" s="1240" t="s">
        <v>1389</v>
      </c>
      <c r="C30" s="316">
        <f ca="1">ROUND(C31+C36+C37+C38,0)</f>
        <v>0</v>
      </c>
      <c r="D30" s="1247" t="s">
        <v>1390</v>
      </c>
      <c r="E30" s="1248"/>
      <c r="F30" s="1204"/>
      <c r="G30" s="1570"/>
      <c r="H30" s="2926"/>
      <c r="I30" s="1584"/>
      <c r="J30" s="1585"/>
      <c r="K30" s="2701"/>
      <c r="L30" s="2927"/>
      <c r="M30" s="2928"/>
    </row>
    <row r="31" spans="1:37" ht="18" customHeight="1" x14ac:dyDescent="0.2">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9" t="s">
        <v>3055</v>
      </c>
      <c r="I31" s="1584"/>
      <c r="J31" s="1585"/>
      <c r="K31" s="2701"/>
      <c r="L31" s="2927"/>
      <c r="M31" s="2928"/>
    </row>
    <row r="32" spans="1:37" ht="18" customHeight="1" x14ac:dyDescent="0.2">
      <c r="A32" s="1113" t="s">
        <v>1002</v>
      </c>
      <c r="B32" s="308" t="s">
        <v>1398</v>
      </c>
      <c r="C32" s="24">
        <f ca="1">IF(项目基本情况!B11="自然人","——",ROUND(C6*F32/(1+'数据-取费表'!C42),2))</f>
        <v>0</v>
      </c>
      <c r="D32" s="1530" t="s">
        <v>1399</v>
      </c>
      <c r="E32" s="308" t="s">
        <v>1387</v>
      </c>
      <c r="F32" s="337">
        <f>'数据-取费表'!B41</f>
        <v>5.6000000000000001E-2</v>
      </c>
      <c r="G32" s="1570"/>
      <c r="H32" s="2926"/>
      <c r="I32" s="1584"/>
      <c r="J32" s="1585"/>
      <c r="K32" s="2701"/>
      <c r="L32" s="2927"/>
      <c r="M32" s="2928"/>
    </row>
    <row r="33" spans="1:18" ht="18" customHeight="1" x14ac:dyDescent="0.15">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x14ac:dyDescent="0.15">
      <c r="A34" s="1201" t="s">
        <v>1354</v>
      </c>
      <c r="B34" s="160" t="s">
        <v>1406</v>
      </c>
      <c r="C34" s="25">
        <f ca="1">IF(项目基本情况!B11="自然人","——",ROUND(F34*F35/10000,2))</f>
        <v>0</v>
      </c>
      <c r="D34" s="330" t="s">
        <v>1407</v>
      </c>
      <c r="E34" s="308" t="s">
        <v>1408</v>
      </c>
      <c r="F34" s="331">
        <f>'数据-取费表'!B52</f>
        <v>12</v>
      </c>
      <c r="G34" s="1570"/>
      <c r="H34" s="2926"/>
      <c r="I34" s="1584"/>
      <c r="J34" s="1585"/>
      <c r="K34" s="2931"/>
      <c r="L34" s="2932"/>
      <c r="M34" s="2932"/>
    </row>
    <row r="35" spans="1:18" ht="18" customHeight="1" x14ac:dyDescent="0.15">
      <c r="A35" s="1263"/>
      <c r="B35" s="1261"/>
      <c r="C35" s="29"/>
      <c r="D35" s="333"/>
      <c r="E35" s="308" t="s">
        <v>1412</v>
      </c>
      <c r="F35" s="309">
        <f ca="1">INDIRECT("'数据-取费表'!r"&amp;$G$1)</f>
        <v>0</v>
      </c>
      <c r="G35" s="1570"/>
      <c r="H35" s="2926"/>
      <c r="I35" s="1584"/>
      <c r="J35" s="1585"/>
      <c r="K35" s="2930"/>
      <c r="L35" s="2929"/>
      <c r="M35" s="2929"/>
    </row>
    <row r="36" spans="1:18" ht="18" customHeight="1" x14ac:dyDescent="0.15">
      <c r="A36" s="1262" t="s">
        <v>1007</v>
      </c>
      <c r="B36" s="308" t="s">
        <v>1414</v>
      </c>
      <c r="C36" s="24">
        <f ca="1">ROUND(C29*F36,1)</f>
        <v>0</v>
      </c>
      <c r="D36" s="1530" t="s">
        <v>1447</v>
      </c>
      <c r="E36" s="308" t="s">
        <v>1387</v>
      </c>
      <c r="F36" s="334">
        <f ca="1">INDIRECT("'数据-取费表'!Ak"&amp;$G$1)</f>
        <v>0</v>
      </c>
      <c r="G36" s="1570"/>
      <c r="H36" s="2929"/>
      <c r="I36" s="1584"/>
      <c r="J36" s="1585"/>
      <c r="K36" s="2770"/>
      <c r="L36" s="2929"/>
      <c r="M36" s="2929"/>
    </row>
    <row r="37" spans="1:18" ht="18" customHeight="1" x14ac:dyDescent="0.15">
      <c r="A37" s="1113" t="s">
        <v>1043</v>
      </c>
      <c r="B37" s="308" t="s">
        <v>1418</v>
      </c>
      <c r="C37" s="24">
        <f ca="1">ROUND(C13*F37,1)</f>
        <v>0</v>
      </c>
      <c r="D37" s="1530" t="s">
        <v>1419</v>
      </c>
      <c r="E37" s="308" t="s">
        <v>1420</v>
      </c>
      <c r="F37" s="336">
        <f ca="1">INDIRECT("'数据-取费表'!Al"&amp;$G$1)</f>
        <v>0</v>
      </c>
      <c r="G37" s="1570"/>
      <c r="H37" s="2929"/>
      <c r="I37" s="1584"/>
      <c r="J37" s="1585"/>
      <c r="K37" s="2770"/>
      <c r="L37" s="2929"/>
      <c r="M37" s="2929"/>
    </row>
    <row r="38" spans="1:18" ht="18" customHeight="1" thickBot="1" x14ac:dyDescent="0.2">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5" customHeight="1" thickTop="1" x14ac:dyDescent="0.15">
      <c r="A39" s="1239" t="s">
        <v>999</v>
      </c>
      <c r="B39" s="1254" t="s">
        <v>1448</v>
      </c>
      <c r="C39" s="316">
        <f ca="1">C5-C30</f>
        <v>0</v>
      </c>
      <c r="D39" s="1255" t="s">
        <v>1449</v>
      </c>
      <c r="E39" s="1256"/>
      <c r="F39" s="1257"/>
      <c r="G39" s="1570"/>
      <c r="H39" s="2929"/>
      <c r="I39" s="1584"/>
      <c r="J39" s="1585"/>
      <c r="K39" s="2933"/>
      <c r="L39" s="2929"/>
      <c r="M39" s="2929"/>
    </row>
    <row r="40" spans="1:18" ht="18" customHeight="1" x14ac:dyDescent="0.2">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x14ac:dyDescent="0.2">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x14ac:dyDescent="0.2">
      <c r="A42" s="314"/>
      <c r="B42" s="315"/>
      <c r="C42" s="316"/>
      <c r="D42" s="333"/>
      <c r="E42" s="308" t="s">
        <v>1442</v>
      </c>
      <c r="F42" s="318">
        <f ca="1">INDIRECT("'数据-取费表'!v"&amp;$G$1)</f>
        <v>0</v>
      </c>
      <c r="G42" s="1570"/>
      <c r="H42" s="1353"/>
      <c r="I42" s="1584"/>
      <c r="J42" s="1585"/>
      <c r="K42" s="2770"/>
      <c r="L42" s="1353"/>
      <c r="M42" s="1353"/>
    </row>
    <row r="43" spans="1:18" ht="18" customHeight="1" thickBot="1" x14ac:dyDescent="0.25">
      <c r="A43" s="340" t="s">
        <v>1001</v>
      </c>
      <c r="B43" s="341" t="s">
        <v>1452</v>
      </c>
      <c r="C43" s="342" t="e">
        <f ca="1">ROUND(C40*10000/F43,0)</f>
        <v>#DIV/0!</v>
      </c>
      <c r="D43" s="343" t="s">
        <v>1453</v>
      </c>
      <c r="E43" s="344" t="s">
        <v>1454</v>
      </c>
      <c r="F43" s="345">
        <f ca="1">INDIRECT("'数据-取费表'!k"&amp;$G$1)</f>
        <v>0</v>
      </c>
      <c r="G43" s="1570"/>
      <c r="H43" s="1353"/>
      <c r="I43" s="1353"/>
      <c r="J43" s="1353"/>
      <c r="K43" s="2770"/>
      <c r="L43" s="1353"/>
      <c r="M43" s="1353"/>
    </row>
    <row r="44" spans="1:18" s="1570" customFormat="1" ht="18" customHeight="1" x14ac:dyDescent="0.15">
      <c r="A44" s="1586"/>
      <c r="B44" s="1586"/>
      <c r="C44" s="1587"/>
      <c r="D44" s="1586"/>
      <c r="E44" s="1586"/>
      <c r="F44" s="1586"/>
      <c r="K44" s="1588"/>
    </row>
    <row r="45" spans="1:18" s="1570" customFormat="1" ht="18" customHeight="1" thickBot="1" x14ac:dyDescent="0.2">
      <c r="A45" s="1586"/>
      <c r="B45" s="1586"/>
      <c r="C45" s="1587"/>
      <c r="D45" s="1586"/>
      <c r="E45" s="1586"/>
      <c r="F45" s="1586"/>
      <c r="J45" s="735"/>
      <c r="O45" s="2934" t="s">
        <v>1484</v>
      </c>
      <c r="P45" s="1647"/>
      <c r="Q45" s="1647"/>
      <c r="R45" s="1647"/>
    </row>
    <row r="46" spans="1:18" s="1570" customFormat="1" ht="15" thickBot="1" x14ac:dyDescent="0.2">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5" thickBot="1" x14ac:dyDescent="0.25">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47" thickBot="1" x14ac:dyDescent="0.2">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5" thickBot="1" x14ac:dyDescent="0.2">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5" thickBot="1" x14ac:dyDescent="0.2">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5" thickBot="1" x14ac:dyDescent="0.25">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5" thickBot="1" x14ac:dyDescent="0.25">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9" thickBot="1" x14ac:dyDescent="0.25">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0</v>
      </c>
      <c r="K53" s="3526" t="s">
        <v>1513</v>
      </c>
      <c r="L53" s="3527"/>
      <c r="O53" s="1604" t="s">
        <v>1014</v>
      </c>
      <c r="P53" s="1605" t="s">
        <v>1514</v>
      </c>
      <c r="Q53" s="1606" t="e">
        <f ca="1">Q47+Q48</f>
        <v>#DIV/0!</v>
      </c>
      <c r="R53" s="1606" t="s">
        <v>1015</v>
      </c>
    </row>
    <row r="54" spans="1:18" s="1570" customFormat="1" ht="15" thickBot="1" x14ac:dyDescent="0.25">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5" thickBot="1" x14ac:dyDescent="0.25">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30" thickTop="1" thickBot="1" x14ac:dyDescent="0.25">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9" thickBot="1" x14ac:dyDescent="0.25">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9" thickBot="1" x14ac:dyDescent="0.25">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9" thickBot="1" x14ac:dyDescent="0.25">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 thickBot="1" x14ac:dyDescent="0.25">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5" thickBot="1" x14ac:dyDescent="0.25">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5" thickBot="1" x14ac:dyDescent="0.2">
      <c r="A62" s="1113" t="s">
        <v>1460</v>
      </c>
      <c r="B62" s="1080" t="s">
        <v>1461</v>
      </c>
      <c r="C62" s="25">
        <f ca="1">IF(项目基本情况!B11="自然人","——",ROUND(F62*F63/10000,2))</f>
        <v>0</v>
      </c>
      <c r="D62" s="1096" t="s">
        <v>1462</v>
      </c>
      <c r="E62" s="1081" t="s">
        <v>1463</v>
      </c>
      <c r="F62" s="331">
        <f t="shared" si="0"/>
        <v>12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5" thickBot="1" x14ac:dyDescent="0.2">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5" thickBot="1" x14ac:dyDescent="0.2">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5" thickBot="1" x14ac:dyDescent="0.2">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 thickBot="1" x14ac:dyDescent="0.25">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7" thickBot="1" x14ac:dyDescent="0.25">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 thickBot="1" x14ac:dyDescent="0.25">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5" thickBot="1" x14ac:dyDescent="0.25">
      <c r="A69" s="1082"/>
      <c r="B69" s="1083"/>
      <c r="C69" s="312"/>
      <c r="D69" s="1101" t="s">
        <v>1438</v>
      </c>
      <c r="E69" s="1081" t="s">
        <v>1439</v>
      </c>
      <c r="F69" s="339">
        <f ca="1">F41</f>
        <v>0</v>
      </c>
      <c r="O69" s="1614" t="s">
        <v>1016</v>
      </c>
      <c r="P69" s="1653" t="s">
        <v>1549</v>
      </c>
      <c r="Q69" s="1606">
        <f ca="1">C39</f>
        <v>0</v>
      </c>
      <c r="R69" s="1606" t="s">
        <v>1494</v>
      </c>
    </row>
    <row r="70" spans="1:18" s="1570" customFormat="1" ht="15" thickBot="1" x14ac:dyDescent="0.25">
      <c r="A70" s="1085"/>
      <c r="B70" s="1086"/>
      <c r="C70" s="316"/>
      <c r="D70" s="1097"/>
      <c r="E70" s="1081" t="s">
        <v>1442</v>
      </c>
      <c r="F70" s="1185"/>
      <c r="O70" s="1614" t="s">
        <v>1017</v>
      </c>
      <c r="P70" s="1653" t="s">
        <v>1550</v>
      </c>
      <c r="Q70" s="1606">
        <f ca="1">C13</f>
        <v>0</v>
      </c>
      <c r="R70" s="1606" t="s">
        <v>1494</v>
      </c>
    </row>
    <row r="71" spans="1:18" s="1570" customFormat="1" ht="15" thickBot="1" x14ac:dyDescent="0.25">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5" thickBot="1" x14ac:dyDescent="0.25">
      <c r="B72" s="735"/>
      <c r="C72" s="735"/>
      <c r="O72" s="1614" t="s">
        <v>1012</v>
      </c>
      <c r="P72" s="1605" t="s">
        <v>1529</v>
      </c>
      <c r="Q72" s="1617">
        <f>L52</f>
        <v>0</v>
      </c>
      <c r="R72" s="1606"/>
    </row>
    <row r="73" spans="1:18" ht="16" thickBot="1" x14ac:dyDescent="0.25">
      <c r="A73" s="1570"/>
      <c r="B73" s="735"/>
      <c r="C73" s="735"/>
      <c r="D73" s="1570"/>
      <c r="E73" s="1570"/>
      <c r="F73" s="1570"/>
      <c r="O73" s="1614" t="s">
        <v>1013</v>
      </c>
      <c r="P73" s="1605" t="s">
        <v>1532</v>
      </c>
      <c r="Q73" s="1606" t="e">
        <f ca="1">L58</f>
        <v>#DIV/0!</v>
      </c>
      <c r="R73" s="1606" t="s">
        <v>1533</v>
      </c>
    </row>
    <row r="74" spans="1:18" ht="15" thickBot="1" x14ac:dyDescent="0.2">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5" thickBot="1" x14ac:dyDescent="0.2">
      <c r="A75" s="1570"/>
      <c r="B75" s="346" t="s">
        <v>1471</v>
      </c>
      <c r="C75" s="347">
        <f ca="1">ROUND(C13*C76,0)</f>
        <v>0</v>
      </c>
      <c r="D75" s="1570"/>
      <c r="E75" s="1570"/>
      <c r="F75" s="1570"/>
      <c r="K75" s="1588"/>
      <c r="L75" s="1570"/>
      <c r="O75" s="1604" t="s">
        <v>1014</v>
      </c>
      <c r="P75" s="1605" t="s">
        <v>1514</v>
      </c>
      <c r="Q75" s="1606" t="e">
        <f ca="1">Q65+Q66</f>
        <v>#DIV/0!</v>
      </c>
      <c r="R75" s="1606" t="s">
        <v>1015</v>
      </c>
    </row>
    <row r="76" spans="1:18" ht="14" x14ac:dyDescent="0.2">
      <c r="B76" s="348" t="s">
        <v>1472</v>
      </c>
      <c r="C76" s="349">
        <f ca="1">INDIRECT("'数据-取费表'!j"&amp;$G$1)</f>
        <v>0</v>
      </c>
      <c r="I76" s="1570"/>
      <c r="J76" s="1570"/>
      <c r="K76" s="1588"/>
      <c r="L76" s="1570"/>
    </row>
    <row r="77" spans="1:18" ht="14" x14ac:dyDescent="0.15">
      <c r="B77" s="350" t="s">
        <v>1473</v>
      </c>
      <c r="C77" s="351"/>
      <c r="I77" s="1570"/>
      <c r="J77" s="1570"/>
      <c r="K77" s="1588"/>
      <c r="L77" s="1570"/>
    </row>
    <row r="78" spans="1:18" ht="14" x14ac:dyDescent="0.15">
      <c r="B78" s="276" t="s">
        <v>1474</v>
      </c>
      <c r="C78" s="352"/>
    </row>
    <row r="79" spans="1:18" ht="14" x14ac:dyDescent="0.15">
      <c r="B79" s="346" t="s">
        <v>1475</v>
      </c>
      <c r="C79" s="280" t="e">
        <f ca="1">1-C80</f>
        <v>#DIV/0!</v>
      </c>
    </row>
    <row r="80" spans="1:18" ht="14" x14ac:dyDescent="0.15">
      <c r="B80" s="346" t="s">
        <v>1476</v>
      </c>
      <c r="C80" s="280" t="e">
        <f ca="1">ROUND(C75/C39,3)</f>
        <v>#DIV/0!</v>
      </c>
    </row>
    <row r="81" spans="2:3" ht="14" x14ac:dyDescent="0.15">
      <c r="B81" s="276" t="s">
        <v>1477</v>
      </c>
      <c r="C81" s="244"/>
    </row>
    <row r="82" spans="2:3" ht="14" x14ac:dyDescent="0.15">
      <c r="B82" s="279" t="s">
        <v>1478</v>
      </c>
      <c r="C82" s="281" t="e">
        <f ca="1">1-C83</f>
        <v>#DIV/0!</v>
      </c>
    </row>
    <row r="83" spans="2:3" ht="14" x14ac:dyDescent="0.15">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enableFormatConditionsCalculation="0">
    <tabColor rgb="FF92D050"/>
  </sheetPr>
  <dimension ref="A1:AK83"/>
  <sheetViews>
    <sheetView view="pageBreakPreview" topLeftCell="A4" zoomScale="70" zoomScaleNormal="70" zoomScaleSheetLayoutView="70" workbookViewId="0">
      <selection activeCell="I37" sqref="I37"/>
    </sheetView>
  </sheetViews>
  <sheetFormatPr baseColWidth="10" defaultColWidth="9" defaultRowHeight="13" x14ac:dyDescent="0.2"/>
  <cols>
    <col min="1" max="1" width="9" style="264" customWidth="1"/>
    <col min="2" max="2" width="20.6640625" style="663" customWidth="1"/>
    <col min="3" max="3" width="11.83203125" style="663" customWidth="1"/>
    <col min="4" max="4" width="40.5" style="264" customWidth="1"/>
    <col min="5" max="5" width="15.66406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0.1640625" style="1654" customWidth="1"/>
    <col min="12" max="12" width="16.33203125" style="264" customWidth="1"/>
    <col min="13" max="13" width="13" style="264" customWidth="1"/>
    <col min="14" max="14" width="13.6640625" style="1570" customWidth="1"/>
    <col min="15" max="15" width="5.1640625" style="1570" customWidth="1"/>
    <col min="16" max="16" width="25.6640625" style="1570" customWidth="1"/>
    <col min="17" max="17" width="13.6640625" style="1570" customWidth="1"/>
    <col min="18" max="18" width="20.5" style="1570" customWidth="1"/>
    <col min="19" max="19" width="13.1640625" style="1570" customWidth="1"/>
    <col min="20" max="37" width="9" style="1570"/>
    <col min="38" max="16384" width="9" style="264"/>
  </cols>
  <sheetData>
    <row r="1" spans="1:37" s="299" customFormat="1" ht="20" x14ac:dyDescent="0.2">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x14ac:dyDescent="0.15">
      <c r="A2" s="1571" t="s">
        <v>1555</v>
      </c>
      <c r="B2" s="1572" t="e">
        <f ca="1">ROUND(D2/10000,0)</f>
        <v>#DIV/0!</v>
      </c>
      <c r="C2" s="1573" t="s">
        <v>1556</v>
      </c>
      <c r="D2" s="1657" t="e">
        <f ca="1">C40+J29+L46</f>
        <v>#DIV/0!</v>
      </c>
      <c r="E2" s="1574" t="s">
        <v>1557</v>
      </c>
      <c r="F2" s="1575"/>
      <c r="G2" s="2935"/>
      <c r="H2" s="2924"/>
      <c r="I2" s="2924"/>
      <c r="J2" s="2924"/>
      <c r="K2" s="2925"/>
      <c r="L2" s="2924"/>
      <c r="M2" s="2924"/>
    </row>
    <row r="3" spans="1:37" ht="18" customHeight="1" thickBot="1" x14ac:dyDescent="0.25">
      <c r="A3" s="1576" t="s">
        <v>1558</v>
      </c>
      <c r="B3" s="1577">
        <f ca="1">IF(ISERROR(D2/F43),0,ROUND(D2/F43,0))</f>
        <v>0</v>
      </c>
      <c r="C3" s="1573" t="s">
        <v>1559</v>
      </c>
      <c r="D3" s="1573"/>
      <c r="E3" s="1574"/>
      <c r="F3" s="1575"/>
      <c r="G3" s="2935"/>
      <c r="H3" s="692" t="s">
        <v>1553</v>
      </c>
      <c r="I3" s="1568"/>
      <c r="J3" s="1568"/>
      <c r="K3" s="1569"/>
      <c r="L3" s="1568"/>
      <c r="M3" s="1568"/>
    </row>
    <row r="4" spans="1:37" ht="18" customHeight="1" x14ac:dyDescent="0.2">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x14ac:dyDescent="0.2">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x14ac:dyDescent="0.2">
      <c r="A6" s="1201" t="s">
        <v>1003</v>
      </c>
      <c r="B6" s="3528" t="s">
        <v>1368</v>
      </c>
      <c r="C6" s="1206">
        <f ca="1">ROUND(F6*F8*F7*(1-F9),0)</f>
        <v>0</v>
      </c>
      <c r="D6" s="160" t="s">
        <v>2846</v>
      </c>
      <c r="E6" s="308" t="s">
        <v>1370</v>
      </c>
      <c r="F6" s="309">
        <f ca="1">INDIRECT("'数据-取费表'!u"&amp;$G$1)</f>
        <v>0</v>
      </c>
      <c r="G6" s="1570"/>
      <c r="H6" s="1201" t="s">
        <v>1003</v>
      </c>
      <c r="I6" s="3528" t="s">
        <v>1368</v>
      </c>
      <c r="J6" s="307">
        <f ca="1">ROUND(M6*M8*M7*(1-M9),0)</f>
        <v>0</v>
      </c>
      <c r="K6" s="1562" t="s">
        <v>2847</v>
      </c>
      <c r="L6" s="308" t="s">
        <v>1370</v>
      </c>
      <c r="M6" s="309">
        <f ca="1">INDIRECT("'数据-取费表'!z"&amp;$G$1)</f>
        <v>0</v>
      </c>
    </row>
    <row r="7" spans="1:37" ht="18" customHeight="1" x14ac:dyDescent="0.2">
      <c r="A7" s="1205"/>
      <c r="B7" s="3529"/>
      <c r="C7" s="1207"/>
      <c r="D7" s="313"/>
      <c r="E7" s="1208" t="s">
        <v>1371</v>
      </c>
      <c r="F7" s="309">
        <f ca="1">IF(INDIRECT("'数据-取费表'!ah"&amp;$G$1)="",INDIRECT("'数据-取费表'!k"&amp;$G$1),INDIRECT("'数据-取费表'!ah"&amp;$G$1))</f>
        <v>0</v>
      </c>
      <c r="G7" s="1570"/>
      <c r="H7" s="310"/>
      <c r="I7" s="3529"/>
      <c r="J7" s="312"/>
      <c r="K7" s="313"/>
      <c r="L7" s="308" t="s">
        <v>1371</v>
      </c>
      <c r="M7" s="309">
        <f ca="1">F7</f>
        <v>0</v>
      </c>
    </row>
    <row r="8" spans="1:37" ht="18" customHeight="1" x14ac:dyDescent="0.2">
      <c r="A8" s="310"/>
      <c r="B8" s="3529"/>
      <c r="C8" s="312"/>
      <c r="D8" s="313"/>
      <c r="E8" s="308" t="s">
        <v>1372</v>
      </c>
      <c r="F8" s="309">
        <f ca="1">INDIRECT("'数据-取费表'!ai"&amp;$G$1)</f>
        <v>0</v>
      </c>
      <c r="G8" s="1570"/>
      <c r="H8" s="310"/>
      <c r="I8" s="3529"/>
      <c r="J8" s="312"/>
      <c r="K8" s="313"/>
      <c r="L8" s="308" t="s">
        <v>1372</v>
      </c>
      <c r="M8" s="309">
        <f ca="1">INDIRECT("'数据-取费表'!ai"&amp;$G$1)</f>
        <v>0</v>
      </c>
    </row>
    <row r="9" spans="1:37" ht="18" customHeight="1" x14ac:dyDescent="0.2">
      <c r="A9" s="310"/>
      <c r="B9" s="3530"/>
      <c r="C9" s="312"/>
      <c r="D9" s="313"/>
      <c r="E9" s="308" t="s">
        <v>1373</v>
      </c>
      <c r="F9" s="318">
        <f ca="1">INDIRECT("'数据-取费表'!w"&amp;$G$1)</f>
        <v>0</v>
      </c>
      <c r="G9" s="1570"/>
      <c r="H9" s="310"/>
      <c r="I9" s="3530"/>
      <c r="J9" s="312"/>
      <c r="K9" s="313"/>
      <c r="L9" s="319" t="s">
        <v>1373</v>
      </c>
      <c r="M9" s="320">
        <f ca="1">INDIRECT("'数据-取费表'!ab"&amp;$G$1)</f>
        <v>0</v>
      </c>
    </row>
    <row r="10" spans="1:37" ht="18" customHeight="1" x14ac:dyDescent="0.2">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x14ac:dyDescent="0.2">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x14ac:dyDescent="0.25">
      <c r="A12" s="1243" t="s">
        <v>1043</v>
      </c>
      <c r="B12" s="1555" t="s">
        <v>1378</v>
      </c>
      <c r="C12" s="1244"/>
      <c r="D12" s="1245"/>
      <c r="E12" s="1250"/>
      <c r="F12" s="1246"/>
      <c r="G12" s="1570"/>
      <c r="H12" s="1243" t="s">
        <v>1043</v>
      </c>
      <c r="I12" s="1555" t="s">
        <v>1378</v>
      </c>
      <c r="J12" s="1244"/>
      <c r="K12" s="1258"/>
      <c r="L12" s="1250"/>
      <c r="M12" s="1259"/>
    </row>
    <row r="13" spans="1:37" ht="18" customHeight="1" thickTop="1" x14ac:dyDescent="0.2">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x14ac:dyDescent="0.2">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x14ac:dyDescent="0.25">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x14ac:dyDescent="0.2">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x14ac:dyDescent="0.2">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x14ac:dyDescent="0.2">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x14ac:dyDescent="0.2">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x14ac:dyDescent="0.2">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x14ac:dyDescent="0.2">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x14ac:dyDescent="0.2">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x14ac:dyDescent="0.2">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x14ac:dyDescent="0.25">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x14ac:dyDescent="0.2">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x14ac:dyDescent="0.2">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x14ac:dyDescent="0.2">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x14ac:dyDescent="0.2">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x14ac:dyDescent="0.25">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x14ac:dyDescent="0.2">
      <c r="A30" s="1239" t="s">
        <v>998</v>
      </c>
      <c r="B30" s="1240" t="s">
        <v>1389</v>
      </c>
      <c r="C30" s="316">
        <f ca="1">ROUND(C31+C36+C37+C38,0)</f>
        <v>0</v>
      </c>
      <c r="D30" s="1247" t="s">
        <v>1390</v>
      </c>
      <c r="E30" s="1248"/>
      <c r="F30" s="1204"/>
      <c r="G30" s="1570"/>
      <c r="H30" s="2926"/>
      <c r="I30" s="1584"/>
      <c r="J30" s="1585"/>
      <c r="K30" s="2701"/>
      <c r="L30" s="2927"/>
      <c r="M30" s="2928"/>
    </row>
    <row r="31" spans="1:37" ht="18" customHeight="1" x14ac:dyDescent="0.2">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9" t="s">
        <v>3055</v>
      </c>
      <c r="I31" s="1584"/>
      <c r="J31" s="1585"/>
      <c r="K31" s="2701"/>
      <c r="L31" s="2927"/>
      <c r="M31" s="2928"/>
    </row>
    <row r="32" spans="1:37" ht="18" customHeight="1" x14ac:dyDescent="0.2">
      <c r="A32" s="1113" t="s">
        <v>1002</v>
      </c>
      <c r="B32" s="308" t="s">
        <v>1398</v>
      </c>
      <c r="C32" s="24">
        <f ca="1">IF(项目基本情况!B11="自然人","——",ROUND(C6*F32/(1+'数据-取费表'!C42),0))</f>
        <v>0</v>
      </c>
      <c r="D32" s="1530" t="s">
        <v>1399</v>
      </c>
      <c r="E32" s="308" t="s">
        <v>1387</v>
      </c>
      <c r="F32" s="337">
        <f>'数据-取费表'!B41</f>
        <v>5.6000000000000001E-2</v>
      </c>
      <c r="G32" s="1570"/>
      <c r="H32" s="2926"/>
      <c r="I32" s="1584"/>
      <c r="J32" s="1585"/>
      <c r="K32" s="2701"/>
      <c r="L32" s="2927"/>
      <c r="M32" s="2928"/>
    </row>
    <row r="33" spans="1:18" ht="18" customHeight="1" x14ac:dyDescent="0.15">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x14ac:dyDescent="0.15">
      <c r="A34" s="1201" t="s">
        <v>1354</v>
      </c>
      <c r="B34" s="160" t="s">
        <v>1406</v>
      </c>
      <c r="C34" s="25">
        <f ca="1">IF(项目基本情况!B11="自然人","——",ROUND(F34*F35,))</f>
        <v>0</v>
      </c>
      <c r="D34" s="330" t="s">
        <v>1407</v>
      </c>
      <c r="E34" s="308" t="s">
        <v>1408</v>
      </c>
      <c r="F34" s="331">
        <f>'数据-取费表'!B52</f>
        <v>12</v>
      </c>
      <c r="G34" s="1570"/>
      <c r="H34" s="2926"/>
      <c r="I34" s="1584"/>
      <c r="J34" s="1585"/>
      <c r="K34" s="2931"/>
      <c r="L34" s="2932"/>
      <c r="M34" s="2932"/>
    </row>
    <row r="35" spans="1:18" ht="18" customHeight="1" x14ac:dyDescent="0.15">
      <c r="A35" s="1263"/>
      <c r="B35" s="1261"/>
      <c r="C35" s="29"/>
      <c r="D35" s="333"/>
      <c r="E35" s="308" t="s">
        <v>1412</v>
      </c>
      <c r="F35" s="309">
        <f ca="1">INDIRECT("'数据-取费表'!r"&amp;$G$1)</f>
        <v>0</v>
      </c>
      <c r="G35" s="1570"/>
      <c r="H35" s="2926"/>
      <c r="I35" s="1584"/>
      <c r="J35" s="1585"/>
      <c r="K35" s="2930"/>
      <c r="L35" s="2929"/>
      <c r="M35" s="2929"/>
    </row>
    <row r="36" spans="1:18" ht="18" customHeight="1" x14ac:dyDescent="0.15">
      <c r="A36" s="1262" t="s">
        <v>1007</v>
      </c>
      <c r="B36" s="308" t="s">
        <v>1414</v>
      </c>
      <c r="C36" s="24">
        <f ca="1">ROUND(C29*F36,0)</f>
        <v>0</v>
      </c>
      <c r="D36" s="1530" t="s">
        <v>1447</v>
      </c>
      <c r="E36" s="308" t="s">
        <v>1387</v>
      </c>
      <c r="F36" s="334">
        <f ca="1">INDIRECT("'数据-取费表'!Ak"&amp;$G$1)</f>
        <v>0</v>
      </c>
      <c r="G36" s="1570"/>
      <c r="H36" s="2929"/>
      <c r="I36" s="1584"/>
      <c r="J36" s="1585"/>
      <c r="K36" s="2770"/>
      <c r="L36" s="2929"/>
      <c r="M36" s="2929"/>
    </row>
    <row r="37" spans="1:18" ht="18" customHeight="1" x14ac:dyDescent="0.15">
      <c r="A37" s="1113" t="s">
        <v>1043</v>
      </c>
      <c r="B37" s="308" t="s">
        <v>1418</v>
      </c>
      <c r="C37" s="24">
        <f ca="1">ROUND(C13*F37,0)</f>
        <v>0</v>
      </c>
      <c r="D37" s="1530" t="s">
        <v>1419</v>
      </c>
      <c r="E37" s="308" t="s">
        <v>1420</v>
      </c>
      <c r="F37" s="336">
        <f ca="1">INDIRECT("'数据-取费表'!Al"&amp;$G$1)</f>
        <v>0</v>
      </c>
      <c r="G37" s="1570"/>
      <c r="H37" s="2929"/>
      <c r="I37" s="1584"/>
      <c r="J37" s="1585"/>
      <c r="K37" s="2770"/>
      <c r="L37" s="2929"/>
      <c r="M37" s="2929"/>
    </row>
    <row r="38" spans="1:18" ht="18" customHeight="1" thickBot="1" x14ac:dyDescent="0.2">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5" customHeight="1" thickTop="1" x14ac:dyDescent="0.15">
      <c r="A39" s="1239" t="s">
        <v>999</v>
      </c>
      <c r="B39" s="1254" t="s">
        <v>1448</v>
      </c>
      <c r="C39" s="316">
        <f ca="1">C5-C30</f>
        <v>0</v>
      </c>
      <c r="D39" s="1255" t="s">
        <v>1449</v>
      </c>
      <c r="E39" s="1256"/>
      <c r="F39" s="1257"/>
      <c r="G39" s="1570"/>
      <c r="H39" s="2929"/>
      <c r="I39" s="1584"/>
      <c r="J39" s="1585"/>
      <c r="K39" s="2933"/>
      <c r="L39" s="2929"/>
      <c r="M39" s="2929"/>
    </row>
    <row r="40" spans="1:18" ht="18" customHeight="1" x14ac:dyDescent="0.2">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x14ac:dyDescent="0.2">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x14ac:dyDescent="0.2">
      <c r="A42" s="314"/>
      <c r="B42" s="315"/>
      <c r="C42" s="316"/>
      <c r="D42" s="333"/>
      <c r="E42" s="308" t="s">
        <v>1442</v>
      </c>
      <c r="F42" s="318">
        <f ca="1">INDIRECT("'数据-取费表'!v"&amp;$G$1)</f>
        <v>0</v>
      </c>
      <c r="G42" s="1570"/>
      <c r="H42" s="1353"/>
      <c r="I42" s="1584"/>
      <c r="J42" s="1585"/>
      <c r="K42" s="2770"/>
      <c r="L42" s="1353"/>
      <c r="M42" s="1353"/>
    </row>
    <row r="43" spans="1:18" ht="18" customHeight="1" thickBot="1" x14ac:dyDescent="0.25">
      <c r="A43" s="340" t="s">
        <v>1001</v>
      </c>
      <c r="B43" s="341" t="s">
        <v>1452</v>
      </c>
      <c r="C43" s="342" t="e">
        <f ca="1">ROUND(C40/F43,0)</f>
        <v>#DIV/0!</v>
      </c>
      <c r="D43" s="343" t="s">
        <v>1453</v>
      </c>
      <c r="E43" s="344" t="s">
        <v>1454</v>
      </c>
      <c r="F43" s="345">
        <f ca="1">INDIRECT("'数据-取费表'!k"&amp;$G$1)</f>
        <v>0</v>
      </c>
      <c r="G43" s="1570"/>
      <c r="H43" s="1353"/>
      <c r="I43" s="1353"/>
      <c r="J43" s="1353"/>
      <c r="K43" s="2770"/>
      <c r="L43" s="1353"/>
      <c r="M43" s="1353"/>
    </row>
    <row r="44" spans="1:18" s="1570" customFormat="1" ht="18" customHeight="1" x14ac:dyDescent="0.15">
      <c r="A44" s="1586"/>
      <c r="B44" s="1586"/>
      <c r="C44" s="1587"/>
      <c r="D44" s="1586"/>
      <c r="E44" s="1586"/>
      <c r="F44" s="1586"/>
      <c r="K44" s="1588"/>
    </row>
    <row r="45" spans="1:18" s="1570" customFormat="1" ht="18" customHeight="1" thickBot="1" x14ac:dyDescent="0.2">
      <c r="A45" s="1586"/>
      <c r="B45" s="1586"/>
      <c r="C45" s="1658" t="e">
        <f ca="1">C68-C40</f>
        <v>#DIV/0!</v>
      </c>
      <c r="D45" s="1659" t="s">
        <v>1569</v>
      </c>
      <c r="E45" s="1586"/>
      <c r="F45" s="1586"/>
      <c r="O45" s="1589" t="s">
        <v>1484</v>
      </c>
      <c r="P45" s="1647"/>
      <c r="Q45" s="1647"/>
      <c r="R45" s="1647"/>
    </row>
    <row r="46" spans="1:18" s="1570" customFormat="1" ht="15" thickBot="1" x14ac:dyDescent="0.2">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5" thickBot="1" x14ac:dyDescent="0.25">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47" thickBot="1" x14ac:dyDescent="0.2">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5" thickBot="1" x14ac:dyDescent="0.2">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5" thickBot="1" x14ac:dyDescent="0.2">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5" thickBot="1" x14ac:dyDescent="0.25">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5" thickBot="1" x14ac:dyDescent="0.25">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x14ac:dyDescent="0.25">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0</v>
      </c>
      <c r="K53" s="3526" t="s">
        <v>1513</v>
      </c>
      <c r="L53" s="3527"/>
      <c r="O53" s="1604" t="s">
        <v>1014</v>
      </c>
      <c r="P53" s="1605" t="s">
        <v>1514</v>
      </c>
      <c r="Q53" s="1606" t="e">
        <f ca="1">Q47+Q48</f>
        <v>#DIV/0!</v>
      </c>
      <c r="R53" s="1606" t="s">
        <v>1015</v>
      </c>
    </row>
    <row r="54" spans="1:18" s="1570" customFormat="1" ht="15" thickBot="1" x14ac:dyDescent="0.25">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5" thickBot="1" x14ac:dyDescent="0.25">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x14ac:dyDescent="0.25">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9" thickBot="1" x14ac:dyDescent="0.25">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9" thickBot="1" x14ac:dyDescent="0.25">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9" thickBot="1" x14ac:dyDescent="0.25">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 thickBot="1" x14ac:dyDescent="0.25">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5" thickBot="1" x14ac:dyDescent="0.25">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5" thickBot="1" x14ac:dyDescent="0.2">
      <c r="A62" s="1113" t="s">
        <v>1460</v>
      </c>
      <c r="B62" s="1080" t="s">
        <v>1461</v>
      </c>
      <c r="C62" s="25">
        <f ca="1">IF(项目基本情况!B11="自然人","——",ROUND(F62*F63,0))</f>
        <v>0</v>
      </c>
      <c r="D62" s="1096" t="s">
        <v>1462</v>
      </c>
      <c r="E62" s="1081" t="s">
        <v>1463</v>
      </c>
      <c r="F62" s="331">
        <f t="shared" si="0"/>
        <v>12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5" thickBot="1" x14ac:dyDescent="0.2">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5" thickBot="1" x14ac:dyDescent="0.2">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5" thickBot="1" x14ac:dyDescent="0.2">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 thickBot="1" x14ac:dyDescent="0.25">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7" thickBot="1" x14ac:dyDescent="0.25">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 thickBot="1" x14ac:dyDescent="0.25">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5" thickBot="1" x14ac:dyDescent="0.25">
      <c r="A69" s="1082"/>
      <c r="B69" s="1083"/>
      <c r="C69" s="312"/>
      <c r="D69" s="1101" t="s">
        <v>1438</v>
      </c>
      <c r="E69" s="1081" t="s">
        <v>1439</v>
      </c>
      <c r="F69" s="339">
        <f ca="1">F41</f>
        <v>0</v>
      </c>
      <c r="O69" s="1614" t="s">
        <v>1016</v>
      </c>
      <c r="P69" s="1653" t="s">
        <v>1549</v>
      </c>
      <c r="Q69" s="1606">
        <f ca="1">C39</f>
        <v>0</v>
      </c>
      <c r="R69" s="1606" t="s">
        <v>1494</v>
      </c>
    </row>
    <row r="70" spans="1:18" s="1570" customFormat="1" ht="15" thickBot="1" x14ac:dyDescent="0.25">
      <c r="A70" s="1085"/>
      <c r="B70" s="1086"/>
      <c r="C70" s="316"/>
      <c r="D70" s="1097"/>
      <c r="E70" s="1081" t="s">
        <v>1442</v>
      </c>
      <c r="F70" s="1185">
        <f ca="1">F42</f>
        <v>0</v>
      </c>
      <c r="O70" s="1614" t="s">
        <v>1017</v>
      </c>
      <c r="P70" s="1653" t="s">
        <v>1550</v>
      </c>
      <c r="Q70" s="1606">
        <f ca="1">C13</f>
        <v>0</v>
      </c>
      <c r="R70" s="1606" t="s">
        <v>1494</v>
      </c>
    </row>
    <row r="71" spans="1:18" s="1570" customFormat="1" ht="15" thickBot="1" x14ac:dyDescent="0.25">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5" thickBot="1" x14ac:dyDescent="0.25">
      <c r="B72" s="735"/>
      <c r="C72" s="735"/>
      <c r="O72" s="1614" t="s">
        <v>1012</v>
      </c>
      <c r="P72" s="1605" t="s">
        <v>1529</v>
      </c>
      <c r="Q72" s="1617">
        <f>L52</f>
        <v>0</v>
      </c>
      <c r="R72" s="1606"/>
    </row>
    <row r="73" spans="1:18" ht="16" thickBot="1" x14ac:dyDescent="0.25">
      <c r="A73" s="1570"/>
      <c r="B73" s="735"/>
      <c r="C73" s="735"/>
      <c r="D73" s="1570"/>
      <c r="E73" s="1570"/>
      <c r="F73" s="1570"/>
      <c r="O73" s="1614" t="s">
        <v>1013</v>
      </c>
      <c r="P73" s="1605" t="s">
        <v>1532</v>
      </c>
      <c r="Q73" s="1606" t="e">
        <f ca="1">L58</f>
        <v>#DIV/0!</v>
      </c>
      <c r="R73" s="1606" t="s">
        <v>1533</v>
      </c>
    </row>
    <row r="74" spans="1:18" ht="15" thickBot="1" x14ac:dyDescent="0.2">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5" thickBot="1" x14ac:dyDescent="0.2">
      <c r="A75" s="1570"/>
      <c r="B75" s="346" t="s">
        <v>1471</v>
      </c>
      <c r="C75" s="347">
        <f ca="1">ROUND(C13*C76,0)</f>
        <v>0</v>
      </c>
      <c r="D75" s="1570"/>
      <c r="E75" s="1570"/>
      <c r="F75" s="1570"/>
      <c r="K75" s="1588"/>
      <c r="L75" s="1570"/>
      <c r="O75" s="1604" t="s">
        <v>1014</v>
      </c>
      <c r="P75" s="1605" t="s">
        <v>1514</v>
      </c>
      <c r="Q75" s="1606" t="e">
        <f ca="1">Q65+Q66</f>
        <v>#DIV/0!</v>
      </c>
      <c r="R75" s="1606" t="s">
        <v>1015</v>
      </c>
    </row>
    <row r="76" spans="1:18" ht="14" x14ac:dyDescent="0.2">
      <c r="B76" s="348" t="s">
        <v>1472</v>
      </c>
      <c r="C76" s="349">
        <f ca="1">INDIRECT("'数据-取费表'!j"&amp;$G$1)</f>
        <v>0</v>
      </c>
      <c r="I76" s="1570"/>
      <c r="J76" s="1570"/>
      <c r="K76" s="1588"/>
      <c r="L76" s="1570"/>
    </row>
    <row r="77" spans="1:18" ht="14" x14ac:dyDescent="0.15">
      <c r="B77" s="350" t="s">
        <v>1473</v>
      </c>
      <c r="C77" s="351"/>
      <c r="I77" s="1570"/>
      <c r="J77" s="1570"/>
      <c r="K77" s="1588"/>
      <c r="L77" s="1570"/>
    </row>
    <row r="78" spans="1:18" ht="14" x14ac:dyDescent="0.15">
      <c r="B78" s="276" t="s">
        <v>1474</v>
      </c>
      <c r="C78" s="352"/>
    </row>
    <row r="79" spans="1:18" ht="14" x14ac:dyDescent="0.15">
      <c r="B79" s="346" t="s">
        <v>1475</v>
      </c>
      <c r="C79" s="280" t="e">
        <f ca="1">1-C80</f>
        <v>#DIV/0!</v>
      </c>
    </row>
    <row r="80" spans="1:18" ht="14" x14ac:dyDescent="0.15">
      <c r="B80" s="346" t="s">
        <v>1476</v>
      </c>
      <c r="C80" s="280" t="e">
        <f ca="1">ROUND(C75/C39,3)</f>
        <v>#DIV/0!</v>
      </c>
    </row>
    <row r="81" spans="2:3" ht="14" x14ac:dyDescent="0.15">
      <c r="B81" s="276" t="s">
        <v>1477</v>
      </c>
      <c r="C81" s="244"/>
    </row>
    <row r="82" spans="2:3" ht="14" x14ac:dyDescent="0.15">
      <c r="B82" s="279" t="s">
        <v>1478</v>
      </c>
      <c r="C82" s="281" t="e">
        <f ca="1">1-C83</f>
        <v>#DIV/0!</v>
      </c>
    </row>
    <row r="83" spans="2:3" ht="14" x14ac:dyDescent="0.15">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rgb="FF92D050"/>
  </sheetPr>
  <dimension ref="A1:V31"/>
  <sheetViews>
    <sheetView view="pageBreakPreview" zoomScaleSheetLayoutView="100" workbookViewId="0">
      <selection activeCell="H5" sqref="H5"/>
    </sheetView>
  </sheetViews>
  <sheetFormatPr baseColWidth="10" defaultColWidth="9" defaultRowHeight="14" x14ac:dyDescent="0.2"/>
  <cols>
    <col min="1" max="1" width="23.6640625" style="1664" customWidth="1"/>
    <col min="2" max="2" width="12" style="1664" customWidth="1"/>
    <col min="3" max="3" width="9" style="1664"/>
    <col min="4" max="4" width="14.1640625" style="1664" customWidth="1"/>
    <col min="5" max="5" width="9" style="1664"/>
    <col min="6" max="6" width="12.83203125" style="1664" customWidth="1"/>
    <col min="7" max="16384" width="9" style="1664"/>
  </cols>
  <sheetData>
    <row r="1" spans="1:22" ht="20" x14ac:dyDescent="0.2">
      <c r="A1" s="2055" t="s">
        <v>2347</v>
      </c>
      <c r="B1" s="2056"/>
      <c r="C1" s="2056"/>
      <c r="D1" s="2056"/>
      <c r="E1" s="2057"/>
      <c r="F1" s="2936"/>
      <c r="G1" s="1676"/>
      <c r="H1" s="1676"/>
      <c r="I1" s="1676"/>
      <c r="J1" s="1676"/>
      <c r="K1" s="1676"/>
      <c r="L1" s="1676"/>
      <c r="M1" s="1676"/>
      <c r="N1" s="1676"/>
      <c r="O1" s="1676"/>
      <c r="P1" s="1676"/>
      <c r="Q1" s="1676"/>
      <c r="R1" s="1676"/>
      <c r="S1" s="1676"/>
    </row>
    <row r="2" spans="1:22" ht="16" x14ac:dyDescent="0.2">
      <c r="A2" s="2058" t="s">
        <v>2148</v>
      </c>
      <c r="B2" s="2059">
        <f ca="1">SUMIF(B6:B13,"&lt;&gt;#ref!",B6:B13)</f>
        <v>0</v>
      </c>
      <c r="C2" s="2060" t="s">
        <v>2340</v>
      </c>
      <c r="D2" s="2061" t="s">
        <v>2341</v>
      </c>
      <c r="E2" s="2833">
        <f>SUM(E6:E13)</f>
        <v>547.29</v>
      </c>
      <c r="F2" s="2936"/>
      <c r="G2" s="1676"/>
      <c r="H2" s="1676"/>
      <c r="I2" s="1676"/>
      <c r="J2" s="1676"/>
      <c r="K2" s="1676"/>
      <c r="L2" s="1676"/>
      <c r="M2" s="1676"/>
      <c r="N2" s="1676"/>
      <c r="O2" s="1676"/>
      <c r="P2" s="1676"/>
      <c r="Q2" s="1676"/>
      <c r="R2" s="1676"/>
      <c r="S2" s="1676"/>
    </row>
    <row r="3" spans="1:22" ht="16" x14ac:dyDescent="0.2">
      <c r="A3" s="2058" t="s">
        <v>1360</v>
      </c>
      <c r="B3" s="2827">
        <f ca="1">ROUND(B2*10000/E2,0)</f>
        <v>0</v>
      </c>
      <c r="C3" s="2060" t="s">
        <v>2348</v>
      </c>
      <c r="D3" s="2938"/>
      <c r="E3" s="2940"/>
      <c r="F3" s="2936"/>
      <c r="G3" s="1676"/>
      <c r="H3" s="1676"/>
      <c r="I3" s="1676"/>
      <c r="J3" s="1676"/>
      <c r="K3" s="1676"/>
      <c r="L3" s="1676"/>
      <c r="M3" s="1676"/>
      <c r="N3" s="1676"/>
      <c r="O3" s="1676"/>
      <c r="P3" s="1676"/>
      <c r="Q3" s="1676"/>
      <c r="R3" s="1676"/>
      <c r="S3" s="1676"/>
    </row>
    <row r="4" spans="1:22" ht="16" x14ac:dyDescent="0.2">
      <c r="A4" s="2941"/>
      <c r="B4" s="2938"/>
      <c r="C4" s="2938"/>
      <c r="D4" s="2938"/>
      <c r="E4" s="2940"/>
      <c r="F4" s="2936"/>
      <c r="G4" s="1676"/>
      <c r="H4" s="1676"/>
      <c r="I4" s="1676"/>
      <c r="J4" s="1676"/>
      <c r="K4" s="1676"/>
      <c r="L4" s="1676"/>
      <c r="M4" s="1676"/>
      <c r="N4" s="1676"/>
      <c r="O4" s="1676"/>
      <c r="P4" s="1676"/>
      <c r="Q4" s="1676"/>
      <c r="R4" s="1676"/>
      <c r="S4" s="1676"/>
    </row>
    <row r="5" spans="1:22" x14ac:dyDescent="0.2">
      <c r="A5" s="2829" t="s">
        <v>2342</v>
      </c>
      <c r="B5" s="3531" t="s">
        <v>2343</v>
      </c>
      <c r="C5" s="3532"/>
      <c r="D5" s="2937"/>
      <c r="E5" s="2062" t="s">
        <v>2344</v>
      </c>
      <c r="F5" s="2063" t="s">
        <v>2345</v>
      </c>
      <c r="G5" s="1676"/>
      <c r="H5" s="1676"/>
      <c r="I5" s="1676"/>
      <c r="J5" s="1676"/>
      <c r="K5" s="1676"/>
      <c r="L5" s="1676"/>
      <c r="M5" s="1676"/>
      <c r="N5" s="1676"/>
      <c r="O5" s="1676"/>
      <c r="P5" s="1676"/>
      <c r="Q5" s="1676"/>
      <c r="R5" s="1676"/>
      <c r="S5" s="1676"/>
    </row>
    <row r="6" spans="1:22" x14ac:dyDescent="0.2">
      <c r="A6" s="2830" t="str">
        <f>'数据-取费表'!AN6</f>
        <v>收益法倒推-商业</v>
      </c>
      <c r="B6" s="2828">
        <f ca="1">IF(F6="是",'数据-取费表'!AO6,0)</f>
        <v>0</v>
      </c>
      <c r="C6" s="2060" t="s">
        <v>2340</v>
      </c>
      <c r="D6" s="2938"/>
      <c r="E6" s="2832">
        <f>IF(OR(A6=0,F6="否"),0,'数据-取费表'!K6+'数据-取费表'!S6)</f>
        <v>547.29</v>
      </c>
      <c r="F6" s="2064" t="s">
        <v>2346</v>
      </c>
      <c r="G6" s="1676"/>
      <c r="H6" s="1676"/>
      <c r="I6" s="1676"/>
      <c r="J6" s="1676"/>
      <c r="K6" s="1676"/>
      <c r="L6" s="1676"/>
      <c r="M6" s="1676"/>
      <c r="N6" s="1676"/>
      <c r="O6" s="1676"/>
      <c r="P6" s="1676"/>
      <c r="Q6" s="1676"/>
      <c r="R6" s="1676"/>
      <c r="S6" s="1676"/>
    </row>
    <row r="7" spans="1:22" x14ac:dyDescent="0.2">
      <c r="A7" s="2830">
        <f>'数据-取费表'!AN7</f>
        <v>0</v>
      </c>
      <c r="B7" s="2828" t="e">
        <f ca="1">IF(F7="是",'数据-取费表'!AO7,0)</f>
        <v>#REF!</v>
      </c>
      <c r="C7" s="2060" t="s">
        <v>2340</v>
      </c>
      <c r="D7" s="2938"/>
      <c r="E7" s="2832">
        <f>IF(OR(A7=0,F7="否"),0,'数据-取费表'!K7+'数据-取费表'!S7)</f>
        <v>0</v>
      </c>
      <c r="F7" s="2064" t="s">
        <v>2346</v>
      </c>
      <c r="G7" s="1676"/>
      <c r="H7" s="1676"/>
      <c r="I7" s="1676"/>
      <c r="J7" s="1676"/>
      <c r="K7" s="1676"/>
      <c r="L7" s="1676"/>
      <c r="M7" s="1676"/>
      <c r="N7" s="1676"/>
      <c r="O7" s="1676"/>
      <c r="P7" s="1676"/>
      <c r="Q7" s="1676"/>
      <c r="R7" s="1676"/>
      <c r="S7" s="1676"/>
    </row>
    <row r="8" spans="1:22" x14ac:dyDescent="0.2">
      <c r="A8" s="2830">
        <f>'数据-取费表'!AN8</f>
        <v>0</v>
      </c>
      <c r="B8" s="2828" t="e">
        <f ca="1">IF(F8="是",'数据-取费表'!AO8,0)</f>
        <v>#REF!</v>
      </c>
      <c r="C8" s="2060" t="s">
        <v>2340</v>
      </c>
      <c r="D8" s="2938"/>
      <c r="E8" s="2832">
        <f>IF(OR(A8=0,F8="否"),0,'数据-取费表'!K8+'数据-取费表'!S8)</f>
        <v>0</v>
      </c>
      <c r="F8" s="2064" t="s">
        <v>2346</v>
      </c>
      <c r="G8" s="1676"/>
      <c r="H8" s="1676"/>
      <c r="I8" s="1676"/>
      <c r="J8" s="1676"/>
      <c r="K8" s="1676"/>
      <c r="L8" s="1676"/>
      <c r="M8" s="1676"/>
      <c r="N8" s="1676"/>
      <c r="O8" s="1676"/>
      <c r="P8" s="1676"/>
      <c r="Q8" s="1676"/>
      <c r="R8" s="1676"/>
      <c r="S8" s="1676"/>
    </row>
    <row r="9" spans="1:22" x14ac:dyDescent="0.2">
      <c r="A9" s="2830">
        <f>'数据-取费表'!AN9</f>
        <v>0</v>
      </c>
      <c r="B9" s="2828" t="e">
        <f ca="1">IF(F9="是",'数据-取费表'!AO9,0)</f>
        <v>#REF!</v>
      </c>
      <c r="C9" s="2060" t="s">
        <v>2340</v>
      </c>
      <c r="D9" s="2938"/>
      <c r="E9" s="2832">
        <f>IF(OR(A9=0,F9="否"),0,'数据-取费表'!K9+'数据-取费表'!S9)</f>
        <v>0</v>
      </c>
      <c r="F9" s="2064" t="s">
        <v>2346</v>
      </c>
      <c r="G9" s="1676"/>
      <c r="H9" s="1676"/>
      <c r="I9" s="1676"/>
      <c r="J9" s="1676"/>
      <c r="K9" s="1676"/>
      <c r="L9" s="1676"/>
      <c r="M9" s="1676"/>
      <c r="N9" s="1676"/>
      <c r="O9" s="1676"/>
      <c r="P9" s="1676"/>
      <c r="Q9" s="1676"/>
      <c r="R9" s="1676"/>
      <c r="S9" s="1676"/>
    </row>
    <row r="10" spans="1:22" x14ac:dyDescent="0.2">
      <c r="A10" s="2830">
        <f>'数据-取费表'!AN10</f>
        <v>0</v>
      </c>
      <c r="B10" s="2828" t="e">
        <f ca="1">IF(F10="是",'数据-取费表'!AO10,0)</f>
        <v>#REF!</v>
      </c>
      <c r="C10" s="2060" t="s">
        <v>2340</v>
      </c>
      <c r="D10" s="2938"/>
      <c r="E10" s="2832">
        <f>IF(OR(A10=0,F10="否"),0,'数据-取费表'!K10+'数据-取费表'!S10)</f>
        <v>0</v>
      </c>
      <c r="F10" s="2064" t="s">
        <v>2346</v>
      </c>
      <c r="G10" s="1676"/>
      <c r="H10" s="1676"/>
      <c r="I10" s="1676"/>
      <c r="J10" s="1676"/>
      <c r="K10" s="1676"/>
      <c r="L10" s="1676"/>
      <c r="M10" s="1676"/>
      <c r="N10" s="1676"/>
      <c r="O10" s="1676"/>
      <c r="P10" s="1676"/>
      <c r="Q10" s="1676"/>
      <c r="R10" s="1676"/>
      <c r="S10" s="1676"/>
    </row>
    <row r="11" spans="1:22" x14ac:dyDescent="0.2">
      <c r="A11" s="2830">
        <f>'数据-取费表'!AN11</f>
        <v>0</v>
      </c>
      <c r="B11" s="2828" t="e">
        <f ca="1">IF(F11="是",'数据-取费表'!AO11,0)</f>
        <v>#REF!</v>
      </c>
      <c r="C11" s="2060" t="s">
        <v>2340</v>
      </c>
      <c r="D11" s="2938"/>
      <c r="E11" s="2832">
        <f>IF(OR(A11=0,F11="否"),0,'数据-取费表'!K11+'数据-取费表'!S11)</f>
        <v>0</v>
      </c>
      <c r="F11" s="2064" t="s">
        <v>2346</v>
      </c>
      <c r="G11" s="1676"/>
      <c r="H11" s="1676"/>
      <c r="I11" s="1676"/>
      <c r="J11" s="1676"/>
      <c r="K11" s="1676"/>
      <c r="L11" s="1676"/>
      <c r="M11" s="1676"/>
      <c r="N11" s="1676"/>
      <c r="O11" s="1676"/>
      <c r="P11" s="1676"/>
      <c r="Q11" s="1676"/>
      <c r="R11" s="1676"/>
      <c r="S11" s="1676"/>
    </row>
    <row r="12" spans="1:22" x14ac:dyDescent="0.2">
      <c r="A12" s="2830">
        <f>'数据-取费表'!AN12</f>
        <v>0</v>
      </c>
      <c r="B12" s="2828" t="e">
        <f ca="1">IF(F12="是",'数据-取费表'!AO12,0)</f>
        <v>#REF!</v>
      </c>
      <c r="C12" s="2060" t="s">
        <v>2340</v>
      </c>
      <c r="D12" s="2938"/>
      <c r="E12" s="2832">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x14ac:dyDescent="0.25">
      <c r="A13" s="2831">
        <f>'数据-取费表'!AN13</f>
        <v>0</v>
      </c>
      <c r="B13" s="2828" t="e">
        <f ca="1">IF(F13="是",'数据-取费表'!AO13,0)</f>
        <v>#REF!</v>
      </c>
      <c r="C13" s="2065" t="s">
        <v>2340</v>
      </c>
      <c r="D13" s="2939"/>
      <c r="E13" s="2832">
        <f>IF(OR(A13=0,F13="否"),0,'数据-取费表'!K13+'数据-取费表'!S13)</f>
        <v>0</v>
      </c>
      <c r="F13" s="2064" t="s">
        <v>2346</v>
      </c>
      <c r="G13" s="1676"/>
      <c r="H13" s="1676"/>
      <c r="I13" s="1676"/>
      <c r="J13" s="1676"/>
      <c r="K13" s="1676"/>
      <c r="L13" s="1676"/>
      <c r="M13" s="1676"/>
      <c r="N13" s="1676"/>
      <c r="O13" s="1676"/>
      <c r="P13" s="1676"/>
      <c r="Q13" s="1676"/>
      <c r="R13" s="1676"/>
      <c r="S13" s="1676"/>
    </row>
    <row r="14" spans="1:22" x14ac:dyDescent="0.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x14ac:dyDescent="0.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x14ac:dyDescent="0.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x14ac:dyDescent="0.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x14ac:dyDescent="0.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x14ac:dyDescent="0.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x14ac:dyDescent="0.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x14ac:dyDescent="0.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x14ac:dyDescent="0.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x14ac:dyDescent="0.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x14ac:dyDescent="0.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x14ac:dyDescent="0.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x14ac:dyDescent="0.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x14ac:dyDescent="0.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x14ac:dyDescent="0.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x14ac:dyDescent="0.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x14ac:dyDescent="0.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x14ac:dyDescent="0.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rgb="FF92D050"/>
  </sheetPr>
  <dimension ref="A1:I38"/>
  <sheetViews>
    <sheetView topLeftCell="A7" workbookViewId="0">
      <selection activeCell="C31" sqref="C31"/>
    </sheetView>
  </sheetViews>
  <sheetFormatPr baseColWidth="10" defaultColWidth="8.83203125" defaultRowHeight="15" x14ac:dyDescent="0.2"/>
  <cols>
    <col min="1" max="1" width="10.5" customWidth="1"/>
    <col min="2" max="2" width="12.83203125" customWidth="1"/>
    <col min="3" max="3" width="8.6640625" customWidth="1"/>
  </cols>
  <sheetData>
    <row r="1" spans="1:9" x14ac:dyDescent="0.2">
      <c r="A1" s="3549" t="s">
        <v>1044</v>
      </c>
      <c r="B1" s="3550"/>
      <c r="C1" s="3551"/>
      <c r="D1" s="3552">
        <f>SUM(I10,I15,I20,I21,I23)</f>
        <v>0</v>
      </c>
      <c r="E1" s="3552"/>
      <c r="F1" s="3552"/>
      <c r="G1" s="3552"/>
      <c r="H1" s="3552"/>
      <c r="I1" s="3553"/>
    </row>
    <row r="2" spans="1:9" x14ac:dyDescent="0.2">
      <c r="A2" s="3539" t="s">
        <v>1045</v>
      </c>
      <c r="B2" s="3540" t="s">
        <v>1046</v>
      </c>
      <c r="C2" s="3540"/>
      <c r="D2" s="1211" t="s">
        <v>1047</v>
      </c>
      <c r="E2" s="1211" t="s">
        <v>1048</v>
      </c>
      <c r="F2" s="1211" t="s">
        <v>1049</v>
      </c>
      <c r="G2" s="1211" t="s">
        <v>1050</v>
      </c>
      <c r="H2" s="1211" t="s">
        <v>1051</v>
      </c>
      <c r="I2" s="1212" t="s">
        <v>1052</v>
      </c>
    </row>
    <row r="3" spans="1:9" x14ac:dyDescent="0.2">
      <c r="A3" s="3539"/>
      <c r="B3" s="3540" t="s">
        <v>1053</v>
      </c>
      <c r="C3" s="3540"/>
      <c r="D3" s="1213"/>
      <c r="E3" s="1211"/>
      <c r="F3" s="1214"/>
      <c r="G3" s="1214"/>
      <c r="H3" s="1215"/>
      <c r="I3" s="1216">
        <f>ROUND(D3*E3*F3*G3*H3/10000,0)</f>
        <v>0</v>
      </c>
    </row>
    <row r="4" spans="1:9" x14ac:dyDescent="0.2">
      <c r="A4" s="3539"/>
      <c r="B4" s="3540" t="s">
        <v>1054</v>
      </c>
      <c r="C4" s="3540"/>
      <c r="D4" s="1213"/>
      <c r="E4" s="1211"/>
      <c r="F4" s="1214"/>
      <c r="G4" s="1214"/>
      <c r="H4" s="1215"/>
      <c r="I4" s="1216">
        <f t="shared" ref="I4:I9" si="0">ROUND(D4*E4*F4*G4*H4/10000,0)</f>
        <v>0</v>
      </c>
    </row>
    <row r="5" spans="1:9" x14ac:dyDescent="0.2">
      <c r="A5" s="3539"/>
      <c r="B5" s="3540" t="s">
        <v>1055</v>
      </c>
      <c r="C5" s="3540"/>
      <c r="D5" s="1213"/>
      <c r="E5" s="1211"/>
      <c r="F5" s="1214"/>
      <c r="G5" s="1214"/>
      <c r="H5" s="1215"/>
      <c r="I5" s="1216">
        <f t="shared" si="0"/>
        <v>0</v>
      </c>
    </row>
    <row r="6" spans="1:9" x14ac:dyDescent="0.2">
      <c r="A6" s="3539"/>
      <c r="B6" s="3540" t="s">
        <v>1056</v>
      </c>
      <c r="C6" s="3540"/>
      <c r="D6" s="1213"/>
      <c r="E6" s="1211"/>
      <c r="F6" s="1214"/>
      <c r="G6" s="1214"/>
      <c r="H6" s="1215"/>
      <c r="I6" s="1216">
        <f t="shared" si="0"/>
        <v>0</v>
      </c>
    </row>
    <row r="7" spans="1:9" x14ac:dyDescent="0.2">
      <c r="A7" s="3539"/>
      <c r="B7" s="3540" t="s">
        <v>1057</v>
      </c>
      <c r="C7" s="3540"/>
      <c r="D7" s="1213"/>
      <c r="E7" s="1211"/>
      <c r="F7" s="1214"/>
      <c r="G7" s="1214"/>
      <c r="H7" s="1215"/>
      <c r="I7" s="1216">
        <f t="shared" si="0"/>
        <v>0</v>
      </c>
    </row>
    <row r="8" spans="1:9" x14ac:dyDescent="0.2">
      <c r="A8" s="3539"/>
      <c r="B8" s="3540" t="s">
        <v>1058</v>
      </c>
      <c r="C8" s="3540"/>
      <c r="D8" s="1213"/>
      <c r="E8" s="1211"/>
      <c r="F8" s="1214"/>
      <c r="G8" s="1214"/>
      <c r="H8" s="1215"/>
      <c r="I8" s="1216">
        <f t="shared" si="0"/>
        <v>0</v>
      </c>
    </row>
    <row r="9" spans="1:9" x14ac:dyDescent="0.2">
      <c r="A9" s="3539"/>
      <c r="B9" s="3540" t="s">
        <v>1059</v>
      </c>
      <c r="C9" s="3540"/>
      <c r="D9" s="1213"/>
      <c r="E9" s="1211"/>
      <c r="F9" s="1214"/>
      <c r="G9" s="1214"/>
      <c r="H9" s="1215"/>
      <c r="I9" s="1216">
        <f t="shared" si="0"/>
        <v>0</v>
      </c>
    </row>
    <row r="10" spans="1:9" x14ac:dyDescent="0.2">
      <c r="A10" s="3539"/>
      <c r="B10" s="3541" t="s">
        <v>1060</v>
      </c>
      <c r="C10" s="3541"/>
      <c r="D10" s="1217"/>
      <c r="E10" s="1217" t="e">
        <f>ROUND(D1*10000/D10/H9,0)</f>
        <v>#DIV/0!</v>
      </c>
      <c r="F10" s="1218"/>
      <c r="G10" s="1218"/>
      <c r="H10" s="1219"/>
      <c r="I10" s="1220">
        <f>SUM(I3:I9)</f>
        <v>0</v>
      </c>
    </row>
    <row r="11" spans="1:9" x14ac:dyDescent="0.2">
      <c r="A11" s="3539" t="s">
        <v>1061</v>
      </c>
      <c r="B11" s="3540" t="s">
        <v>1062</v>
      </c>
      <c r="C11" s="3540"/>
      <c r="D11" s="1213" t="s">
        <v>1063</v>
      </c>
      <c r="E11" s="1213" t="s">
        <v>1064</v>
      </c>
      <c r="F11" s="1214" t="s">
        <v>1065</v>
      </c>
      <c r="G11" s="1214" t="s">
        <v>1051</v>
      </c>
      <c r="H11" s="1221" t="s">
        <v>1066</v>
      </c>
      <c r="I11" s="1212" t="s">
        <v>1052</v>
      </c>
    </row>
    <row r="12" spans="1:9" x14ac:dyDescent="0.2">
      <c r="A12" s="3539"/>
      <c r="B12" s="3540" t="s">
        <v>1067</v>
      </c>
      <c r="C12" s="3540"/>
      <c r="D12" s="1213"/>
      <c r="E12" s="1213"/>
      <c r="F12" s="1214"/>
      <c r="G12" s="1215"/>
      <c r="H12" s="1222"/>
      <c r="I12" s="1212">
        <f>ROUND(D12*E12*F12*G12/10000,0)</f>
        <v>0</v>
      </c>
    </row>
    <row r="13" spans="1:9" x14ac:dyDescent="0.2">
      <c r="A13" s="3539"/>
      <c r="B13" s="3540" t="s">
        <v>1068</v>
      </c>
      <c r="C13" s="3540"/>
      <c r="D13" s="1213"/>
      <c r="E13" s="1213"/>
      <c r="F13" s="1214"/>
      <c r="G13" s="1215"/>
      <c r="H13" s="1222"/>
      <c r="I13" s="1212">
        <f>ROUND(D13*E13*F13*G13/10000,0)</f>
        <v>0</v>
      </c>
    </row>
    <row r="14" spans="1:9" x14ac:dyDescent="0.2">
      <c r="A14" s="3539"/>
      <c r="B14" s="3540" t="s">
        <v>1069</v>
      </c>
      <c r="C14" s="3540"/>
      <c r="D14" s="1213"/>
      <c r="E14" s="1213"/>
      <c r="F14" s="1214"/>
      <c r="G14" s="1215"/>
      <c r="H14" s="1222"/>
      <c r="I14" s="1212">
        <f>ROUND(D14*E14*F14*G14/10000,0)</f>
        <v>0</v>
      </c>
    </row>
    <row r="15" spans="1:9" x14ac:dyDescent="0.2">
      <c r="A15" s="3539"/>
      <c r="B15" s="3541" t="s">
        <v>1060</v>
      </c>
      <c r="C15" s="3541"/>
      <c r="D15" s="1217"/>
      <c r="E15" s="1217">
        <f>SUM(E12:E14)</f>
        <v>0</v>
      </c>
      <c r="F15" s="1218"/>
      <c r="G15" s="1215"/>
      <c r="H15" s="1222"/>
      <c r="I15" s="1223">
        <f>SUM(I12:I14)</f>
        <v>0</v>
      </c>
    </row>
    <row r="16" spans="1:9" ht="28" x14ac:dyDescent="0.2">
      <c r="A16" s="3539" t="s">
        <v>1070</v>
      </c>
      <c r="B16" s="3540" t="s">
        <v>1071</v>
      </c>
      <c r="C16" s="3540"/>
      <c r="D16" s="1213" t="s">
        <v>1047</v>
      </c>
      <c r="E16" s="1224" t="s">
        <v>1072</v>
      </c>
      <c r="F16" s="1214" t="s">
        <v>1073</v>
      </c>
      <c r="G16" s="1215" t="s">
        <v>1051</v>
      </c>
      <c r="H16" s="1221" t="s">
        <v>1066</v>
      </c>
      <c r="I16" s="1212" t="s">
        <v>1052</v>
      </c>
    </row>
    <row r="17" spans="1:9" x14ac:dyDescent="0.2">
      <c r="A17" s="3539"/>
      <c r="B17" s="3540" t="s">
        <v>1074</v>
      </c>
      <c r="C17" s="3540"/>
      <c r="D17" s="1213"/>
      <c r="E17" s="1213"/>
      <c r="F17" s="1214"/>
      <c r="G17" s="1215"/>
      <c r="H17" s="1225"/>
      <c r="I17" s="1226">
        <f>ROUND(D17*E17*F17*G17/10000,0)</f>
        <v>0</v>
      </c>
    </row>
    <row r="18" spans="1:9" x14ac:dyDescent="0.2">
      <c r="A18" s="3539"/>
      <c r="B18" s="3540" t="s">
        <v>1075</v>
      </c>
      <c r="C18" s="3540"/>
      <c r="D18" s="1213"/>
      <c r="E18" s="1213"/>
      <c r="F18" s="1214"/>
      <c r="G18" s="1215"/>
      <c r="H18" s="1225"/>
      <c r="I18" s="1226">
        <f>ROUND(D18*E18*F18*G18/10000,0)</f>
        <v>0</v>
      </c>
    </row>
    <row r="19" spans="1:9" x14ac:dyDescent="0.2">
      <c r="A19" s="3539"/>
      <c r="B19" s="3540" t="s">
        <v>1076</v>
      </c>
      <c r="C19" s="3540"/>
      <c r="D19" s="1213"/>
      <c r="E19" s="1213"/>
      <c r="F19" s="1214"/>
      <c r="G19" s="1215"/>
      <c r="H19" s="1225"/>
      <c r="I19" s="1226">
        <f>ROUND(D19*E19*F19*G19/10000,0)</f>
        <v>0</v>
      </c>
    </row>
    <row r="20" spans="1:9" x14ac:dyDescent="0.2">
      <c r="A20" s="3539"/>
      <c r="B20" s="3541" t="s">
        <v>1060</v>
      </c>
      <c r="C20" s="3541"/>
      <c r="D20" s="1217">
        <f>SUM(D17:D19)</f>
        <v>0</v>
      </c>
      <c r="E20" s="1217"/>
      <c r="F20" s="1218"/>
      <c r="G20" s="1215"/>
      <c r="H20" s="1222"/>
      <c r="I20" s="1223">
        <f>SUM(I17:I19)</f>
        <v>0</v>
      </c>
    </row>
    <row r="21" spans="1:9" x14ac:dyDescent="0.2">
      <c r="A21" s="3539" t="s">
        <v>1077</v>
      </c>
      <c r="B21" s="3542"/>
      <c r="C21" s="3542"/>
      <c r="D21" s="3542"/>
      <c r="E21" s="3542"/>
      <c r="F21" s="3542"/>
      <c r="G21" s="3542"/>
      <c r="H21" s="1504">
        <v>0.1</v>
      </c>
      <c r="I21" s="1220">
        <f>ROUND(I10*H21,0)</f>
        <v>0</v>
      </c>
    </row>
    <row r="22" spans="1:9" x14ac:dyDescent="0.2">
      <c r="A22" s="3543" t="s">
        <v>1078</v>
      </c>
      <c r="B22" s="3544"/>
      <c r="C22" s="3545"/>
      <c r="D22" s="1227" t="s">
        <v>1079</v>
      </c>
      <c r="E22" s="1227" t="s">
        <v>1080</v>
      </c>
      <c r="F22" s="1228" t="s">
        <v>1081</v>
      </c>
      <c r="G22" s="1228" t="s">
        <v>1082</v>
      </c>
      <c r="H22" s="1221" t="s">
        <v>1083</v>
      </c>
      <c r="I22" s="1212" t="s">
        <v>1084</v>
      </c>
    </row>
    <row r="23" spans="1:9" ht="16" thickBot="1" x14ac:dyDescent="0.25">
      <c r="A23" s="3546"/>
      <c r="B23" s="3547"/>
      <c r="C23" s="3548"/>
      <c r="D23" s="1229"/>
      <c r="E23" s="1229"/>
      <c r="F23" s="1229"/>
      <c r="G23" s="1230"/>
      <c r="H23" s="1231"/>
      <c r="I23" s="1232">
        <f>ROUND(E23*D23*F23*(1-G23)/10000,0)</f>
        <v>0</v>
      </c>
    </row>
    <row r="26" spans="1:9" x14ac:dyDescent="0.2">
      <c r="A26" s="1233" t="s">
        <v>1085</v>
      </c>
      <c r="B26" s="1233"/>
      <c r="C26" s="1233"/>
      <c r="D26" s="1233"/>
      <c r="E26" s="3536">
        <f>C27-C30-C31-C32</f>
        <v>0</v>
      </c>
      <c r="F26" s="3536"/>
      <c r="G26" s="3536"/>
      <c r="H26" s="1501" t="s">
        <v>1306</v>
      </c>
    </row>
    <row r="27" spans="1:9" x14ac:dyDescent="0.15">
      <c r="A27" s="1234">
        <v>1</v>
      </c>
      <c r="B27" s="1235" t="s">
        <v>1086</v>
      </c>
      <c r="C27" s="1235">
        <f>C28+C29</f>
        <v>0</v>
      </c>
      <c r="D27" s="1235"/>
      <c r="E27" s="3537"/>
      <c r="F27" s="3537"/>
      <c r="G27" s="3537"/>
    </row>
    <row r="28" spans="1:9" x14ac:dyDescent="0.15">
      <c r="A28" s="1236" t="s">
        <v>1087</v>
      </c>
      <c r="B28" s="1235" t="s">
        <v>1088</v>
      </c>
      <c r="C28" s="1235"/>
      <c r="D28" s="1235"/>
      <c r="E28" s="3537"/>
      <c r="F28" s="3537"/>
      <c r="G28" s="3537"/>
    </row>
    <row r="29" spans="1:9" x14ac:dyDescent="0.15">
      <c r="A29" s="1236" t="s">
        <v>1089</v>
      </c>
      <c r="B29" s="1235" t="s">
        <v>1090</v>
      </c>
      <c r="C29" s="1235"/>
      <c r="D29" s="1235"/>
      <c r="E29" s="1235" t="s">
        <v>1091</v>
      </c>
      <c r="F29" s="1235"/>
      <c r="G29" s="1235"/>
    </row>
    <row r="30" spans="1:9" x14ac:dyDescent="0.15">
      <c r="A30" s="1234">
        <v>2</v>
      </c>
      <c r="B30" s="1235" t="s">
        <v>1092</v>
      </c>
      <c r="C30" s="1235">
        <f>C27*D30</f>
        <v>0</v>
      </c>
      <c r="D30" s="1237">
        <v>0.2</v>
      </c>
      <c r="E30" s="1235" t="s">
        <v>1093</v>
      </c>
      <c r="F30" s="1235"/>
      <c r="G30" s="1235"/>
    </row>
    <row r="31" spans="1:9" x14ac:dyDescent="0.15">
      <c r="A31" s="1234">
        <v>3</v>
      </c>
      <c r="B31" s="1235" t="s">
        <v>1094</v>
      </c>
      <c r="C31" s="1235">
        <f>C27*D31</f>
        <v>0</v>
      </c>
      <c r="D31" s="1237">
        <v>0.15</v>
      </c>
      <c r="E31" s="1235" t="s">
        <v>1095</v>
      </c>
      <c r="F31" s="1235"/>
      <c r="G31" s="1235"/>
    </row>
    <row r="32" spans="1:9" x14ac:dyDescent="0.15">
      <c r="A32" s="1234">
        <v>4</v>
      </c>
      <c r="B32" s="1235" t="s">
        <v>1096</v>
      </c>
      <c r="C32" s="1235">
        <f>C27*D32</f>
        <v>0</v>
      </c>
      <c r="D32" s="1237">
        <v>0.05</v>
      </c>
      <c r="E32" s="3538"/>
      <c r="F32" s="3538"/>
      <c r="G32" s="3538"/>
    </row>
    <row r="33" spans="1:7" hidden="1" x14ac:dyDescent="0.2">
      <c r="A33" s="3533" t="s">
        <v>1097</v>
      </c>
      <c r="B33" s="3534"/>
      <c r="C33" s="3534"/>
      <c r="D33" s="3535"/>
      <c r="E33" s="3536"/>
      <c r="F33" s="3536"/>
      <c r="G33" s="3536"/>
    </row>
    <row r="34" spans="1:7" hidden="1" x14ac:dyDescent="0.15">
      <c r="A34" s="1238">
        <v>1</v>
      </c>
      <c r="B34" s="1235" t="s">
        <v>1098</v>
      </c>
      <c r="C34" s="1235"/>
      <c r="D34" s="1235"/>
      <c r="E34" s="3537"/>
      <c r="F34" s="3537"/>
      <c r="G34" s="3537"/>
    </row>
    <row r="35" spans="1:7" hidden="1" x14ac:dyDescent="0.15">
      <c r="A35" s="1238">
        <v>2</v>
      </c>
      <c r="B35" s="1235" t="s">
        <v>1099</v>
      </c>
      <c r="C35" s="1235"/>
      <c r="D35" s="1235"/>
      <c r="E35" s="3537"/>
      <c r="F35" s="3537"/>
      <c r="G35" s="3537"/>
    </row>
    <row r="36" spans="1:7" hidden="1" x14ac:dyDescent="0.15">
      <c r="A36" s="1238">
        <v>3</v>
      </c>
      <c r="B36" s="1235" t="s">
        <v>1100</v>
      </c>
      <c r="C36" s="1235"/>
      <c r="D36" s="1235"/>
      <c r="E36" s="3537"/>
      <c r="F36" s="3537"/>
      <c r="G36" s="3537"/>
    </row>
    <row r="37" spans="1:7" hidden="1" x14ac:dyDescent="0.15">
      <c r="A37" s="1238">
        <v>4</v>
      </c>
      <c r="B37" s="1235" t="s">
        <v>1101</v>
      </c>
      <c r="C37" s="1235"/>
      <c r="D37" s="1235"/>
      <c r="E37" s="3537"/>
      <c r="F37" s="3537"/>
      <c r="G37" s="3537"/>
    </row>
    <row r="38" spans="1:7" hidden="1" x14ac:dyDescent="0.2">
      <c r="A38" s="3533" t="s">
        <v>1102</v>
      </c>
      <c r="B38" s="3534"/>
      <c r="C38" s="3534"/>
      <c r="D38" s="3535"/>
      <c r="E38" s="3536"/>
      <c r="F38" s="3536"/>
      <c r="G38" s="35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view="pageBreakPreview" zoomScale="60" zoomScaleNormal="60" workbookViewId="0">
      <selection activeCell="F7" sqref="F7:F46"/>
    </sheetView>
  </sheetViews>
  <sheetFormatPr baseColWidth="10" defaultColWidth="9" defaultRowHeight="14" x14ac:dyDescent="0.2"/>
  <cols>
    <col min="1" max="1" width="10.5" style="363" customWidth="1"/>
    <col min="2" max="2" width="15.66406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2104"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x14ac:dyDescent="0.25">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x14ac:dyDescent="0.2">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2"/>
      <c r="M2" s="2943"/>
      <c r="N2" s="2943"/>
      <c r="O2" s="2943"/>
      <c r="P2" s="2073"/>
      <c r="Q2" s="2074"/>
      <c r="R2" s="2074"/>
      <c r="S2" s="2074"/>
      <c r="T2" s="2074"/>
      <c r="U2" s="2074"/>
      <c r="V2" s="2074"/>
      <c r="W2" s="2074"/>
      <c r="X2" s="2074"/>
      <c r="Y2" s="2074"/>
      <c r="Z2" s="2074"/>
      <c r="AA2" s="2074"/>
      <c r="AB2" s="2074"/>
      <c r="AC2" s="2075"/>
    </row>
    <row r="3" spans="1:29" s="353" customFormat="1" ht="28.5" customHeight="1" thickBot="1" x14ac:dyDescent="0.25">
      <c r="A3" s="209" t="s">
        <v>1360</v>
      </c>
      <c r="B3" s="359" t="e">
        <f ca="1">IF(C2="——",C49,ROUND(B2*10000/D3,0))</f>
        <v>#DIV/0!</v>
      </c>
      <c r="C3" s="360" t="s">
        <v>2355</v>
      </c>
      <c r="D3" s="359">
        <f>IF(D1="",'数据-汇总表'!E3,SUMIF('数据-汇总表'!$C19:$C33,D1,'数据-汇总表'!$E19:$E33))</f>
        <v>547.29</v>
      </c>
      <c r="E3" s="1038"/>
      <c r="F3" s="2076"/>
      <c r="G3" s="1038"/>
      <c r="H3" s="1038"/>
      <c r="I3" s="1038"/>
      <c r="J3" s="1038"/>
      <c r="K3" s="2072"/>
      <c r="L3" s="2942"/>
      <c r="M3" s="2943"/>
      <c r="N3" s="2943"/>
      <c r="O3" s="2943"/>
      <c r="P3" s="2073"/>
      <c r="Q3" s="2074"/>
      <c r="R3" s="2074"/>
      <c r="S3" s="2074"/>
      <c r="T3" s="2074"/>
      <c r="U3" s="2074"/>
      <c r="V3" s="2074"/>
      <c r="W3" s="2074"/>
      <c r="X3" s="2074"/>
      <c r="Y3" s="2074"/>
      <c r="Z3" s="2074"/>
      <c r="AA3" s="2074"/>
      <c r="AB3" s="2074"/>
      <c r="AC3" s="1192"/>
    </row>
    <row r="4" spans="1:29" x14ac:dyDescent="0.2">
      <c r="A4" s="361" t="s">
        <v>2356</v>
      </c>
      <c r="B4" s="362"/>
      <c r="C4" s="3429" t="s">
        <v>2357</v>
      </c>
      <c r="D4" s="3430"/>
      <c r="E4" s="3431" t="s">
        <v>2358</v>
      </c>
      <c r="F4" s="3432"/>
      <c r="G4" s="3429" t="s">
        <v>2359</v>
      </c>
      <c r="H4" s="3430"/>
      <c r="I4" s="3429" t="s">
        <v>2360</v>
      </c>
      <c r="J4" s="3430"/>
      <c r="K4" s="2077" t="s">
        <v>2361</v>
      </c>
      <c r="L4" s="2944"/>
      <c r="M4" s="2945"/>
      <c r="N4" s="2945"/>
      <c r="O4" s="2945"/>
      <c r="P4" s="3464" t="s">
        <v>2362</v>
      </c>
      <c r="Q4" s="3465"/>
      <c r="R4" s="3468" t="s">
        <v>2358</v>
      </c>
      <c r="S4" s="3469"/>
      <c r="T4" s="3468" t="s">
        <v>2359</v>
      </c>
      <c r="U4" s="3469"/>
      <c r="V4" s="3446" t="s">
        <v>2360</v>
      </c>
      <c r="W4" s="3446"/>
      <c r="X4" s="1541"/>
      <c r="Y4" s="3468" t="s">
        <v>2362</v>
      </c>
      <c r="Z4" s="3469"/>
      <c r="AA4" s="3463" t="s">
        <v>2358</v>
      </c>
      <c r="AB4" s="3463" t="s">
        <v>2359</v>
      </c>
      <c r="AC4" s="3463" t="s">
        <v>2360</v>
      </c>
    </row>
    <row r="5" spans="1:29" x14ac:dyDescent="0.2">
      <c r="A5" s="364"/>
      <c r="B5" s="365"/>
      <c r="C5" s="3554" t="s">
        <v>2363</v>
      </c>
      <c r="D5" s="3472"/>
      <c r="E5" s="3556" t="s">
        <v>2364</v>
      </c>
      <c r="F5" s="3454"/>
      <c r="G5" s="3554" t="s">
        <v>2365</v>
      </c>
      <c r="H5" s="3472"/>
      <c r="I5" s="3554" t="s">
        <v>2366</v>
      </c>
      <c r="J5" s="3472"/>
      <c r="K5" s="2078"/>
      <c r="L5" s="2944"/>
      <c r="M5" s="2945"/>
      <c r="N5" s="2945"/>
      <c r="O5" s="2945"/>
      <c r="P5" s="3466"/>
      <c r="Q5" s="3436"/>
      <c r="R5" s="3441"/>
      <c r="S5" s="3442"/>
      <c r="T5" s="3441"/>
      <c r="U5" s="3442"/>
      <c r="V5" s="3446"/>
      <c r="W5" s="3446"/>
      <c r="X5" s="1541"/>
      <c r="Y5" s="3441"/>
      <c r="Z5" s="3442"/>
      <c r="AA5" s="3458"/>
      <c r="AB5" s="3458"/>
      <c r="AC5" s="3458"/>
    </row>
    <row r="6" spans="1:29" ht="15" thickBot="1" x14ac:dyDescent="0.25">
      <c r="A6" s="366"/>
      <c r="B6" s="367"/>
      <c r="C6" s="3470" t="s">
        <v>2367</v>
      </c>
      <c r="D6" s="3471"/>
      <c r="E6" s="3555" t="s">
        <v>2367</v>
      </c>
      <c r="F6" s="3456"/>
      <c r="G6" s="3470" t="s">
        <v>2367</v>
      </c>
      <c r="H6" s="3471"/>
      <c r="I6" s="3470" t="s">
        <v>2367</v>
      </c>
      <c r="J6" s="3471"/>
      <c r="K6" s="2078" t="s">
        <v>2368</v>
      </c>
      <c r="L6" s="2944"/>
      <c r="M6" s="2945"/>
      <c r="N6" s="2945"/>
      <c r="O6" s="2945"/>
      <c r="P6" s="3467"/>
      <c r="Q6" s="3438"/>
      <c r="R6" s="3441"/>
      <c r="S6" s="3442"/>
      <c r="T6" s="3443"/>
      <c r="U6" s="3444"/>
      <c r="V6" s="3446"/>
      <c r="W6" s="3446"/>
      <c r="X6" s="1541"/>
      <c r="Y6" s="3443"/>
      <c r="Z6" s="3444"/>
      <c r="AA6" s="3459"/>
      <c r="AB6" s="3459"/>
      <c r="AC6" s="3459"/>
    </row>
    <row r="7" spans="1:29" s="113" customFormat="1" ht="15" thickBot="1" x14ac:dyDescent="0.25">
      <c r="A7" s="368" t="s">
        <v>2369</v>
      </c>
      <c r="B7" s="369"/>
      <c r="C7" s="370">
        <f>'数据-取费表'!B2</f>
        <v>44606</v>
      </c>
      <c r="D7" s="371">
        <v>100</v>
      </c>
      <c r="E7" s="372"/>
      <c r="F7" s="373">
        <f>SUMIF(58:58,YEAR(E7)&amp;"-"&amp;MONTH(E7),59:59)</f>
        <v>0</v>
      </c>
      <c r="G7" s="372"/>
      <c r="H7" s="371">
        <f>SUMIF(58:58,YEAR(G7)&amp;"-"&amp;MONTH(G7),59:59)</f>
        <v>0</v>
      </c>
      <c r="I7" s="372"/>
      <c r="J7" s="371">
        <f>SUMIF(58:58,YEAR(I7)&amp;"-"&amp;MONTH(I7),59:59)</f>
        <v>0</v>
      </c>
      <c r="K7" s="2079"/>
      <c r="L7" s="2946"/>
      <c r="M7" s="2947"/>
      <c r="N7" s="2947"/>
      <c r="O7" s="2947"/>
      <c r="P7" s="3451" t="s">
        <v>2370</v>
      </c>
      <c r="Q7" s="3452"/>
      <c r="R7" s="710" t="s">
        <v>23</v>
      </c>
      <c r="S7" s="711">
        <f t="shared" ref="S7:S15" si="0">F7</f>
        <v>0</v>
      </c>
      <c r="T7" s="710" t="s">
        <v>23</v>
      </c>
      <c r="U7" s="711">
        <f t="shared" ref="U7:U15" si="1">H7</f>
        <v>0</v>
      </c>
      <c r="V7" s="710" t="s">
        <v>23</v>
      </c>
      <c r="W7" s="711">
        <f t="shared" ref="W7:W15" si="2">J7</f>
        <v>0</v>
      </c>
      <c r="X7" s="712"/>
      <c r="Y7" s="3451" t="s">
        <v>2370</v>
      </c>
      <c r="Z7" s="3450"/>
      <c r="AA7" s="713" t="e">
        <f>D7/F7</f>
        <v>#DIV/0!</v>
      </c>
      <c r="AB7" s="713" t="e">
        <f>D7/H7</f>
        <v>#DIV/0!</v>
      </c>
      <c r="AC7" s="713" t="e">
        <f>D7/J7</f>
        <v>#DIV/0!</v>
      </c>
    </row>
    <row r="8" spans="1:29" s="113" customFormat="1" ht="15" thickBot="1" x14ac:dyDescent="0.25">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6"/>
      <c r="M8" s="2947"/>
      <c r="N8" s="2947"/>
      <c r="O8" s="2947"/>
      <c r="P8" s="3451" t="s">
        <v>2373</v>
      </c>
      <c r="Q8" s="3450"/>
      <c r="R8" s="710" t="s">
        <v>23</v>
      </c>
      <c r="S8" s="711">
        <f t="shared" si="0"/>
        <v>0</v>
      </c>
      <c r="T8" s="710" t="s">
        <v>23</v>
      </c>
      <c r="U8" s="711">
        <f t="shared" si="1"/>
        <v>0</v>
      </c>
      <c r="V8" s="710" t="s">
        <v>23</v>
      </c>
      <c r="W8" s="711">
        <f t="shared" si="2"/>
        <v>0</v>
      </c>
      <c r="X8" s="712"/>
      <c r="Y8" s="3451" t="s">
        <v>2373</v>
      </c>
      <c r="Z8" s="3450"/>
      <c r="AA8" s="713" t="e">
        <f t="shared" ref="AA8:AA19" si="3">D8/F8</f>
        <v>#DIV/0!</v>
      </c>
      <c r="AB8" s="713" t="e">
        <f t="shared" ref="AB8:AB19" si="4">D8/H8</f>
        <v>#DIV/0!</v>
      </c>
      <c r="AC8" s="713" t="e">
        <f t="shared" ref="AC8:AC19" si="5">D8/J8</f>
        <v>#DIV/0!</v>
      </c>
    </row>
    <row r="9" spans="1:29" s="113" customFormat="1" x14ac:dyDescent="0.2">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6"/>
      <c r="M9" s="2947"/>
      <c r="N9" s="2947"/>
      <c r="O9" s="2947"/>
      <c r="P9" s="3410" t="s">
        <v>2376</v>
      </c>
      <c r="Q9" s="1529" t="str">
        <f t="shared" ref="Q9:Q15" si="6">B9</f>
        <v>用途</v>
      </c>
      <c r="R9" s="710" t="s">
        <v>17</v>
      </c>
      <c r="S9" s="711">
        <f t="shared" si="0"/>
        <v>100</v>
      </c>
      <c r="T9" s="710" t="s">
        <v>17</v>
      </c>
      <c r="U9" s="711">
        <f t="shared" si="1"/>
        <v>100</v>
      </c>
      <c r="V9" s="710" t="s">
        <v>17</v>
      </c>
      <c r="W9" s="711">
        <f t="shared" si="2"/>
        <v>100</v>
      </c>
      <c r="X9" s="712"/>
      <c r="Y9" s="3311" t="s">
        <v>2377</v>
      </c>
      <c r="Z9" s="55" t="str">
        <f t="shared" ref="Z9:Z15" si="7">Q9</f>
        <v>用途</v>
      </c>
      <c r="AA9" s="713">
        <f t="shared" si="3"/>
        <v>1</v>
      </c>
      <c r="AB9" s="713">
        <f t="shared" si="4"/>
        <v>1</v>
      </c>
      <c r="AC9" s="713">
        <f t="shared" si="5"/>
        <v>1</v>
      </c>
    </row>
    <row r="10" spans="1:29" s="386" customFormat="1" ht="28" x14ac:dyDescent="0.2">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410"/>
      <c r="Q10" s="1529"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6" x14ac:dyDescent="0.2">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410"/>
      <c r="Q11" s="1529" t="str">
        <f t="shared" si="6"/>
        <v>容积率</v>
      </c>
      <c r="R11" s="710" t="s">
        <v>21</v>
      </c>
      <c r="S11" s="711" t="e">
        <f t="shared" si="0"/>
        <v>#N/A</v>
      </c>
      <c r="T11" s="710" t="s">
        <v>21</v>
      </c>
      <c r="U11" s="711" t="e">
        <f t="shared" si="1"/>
        <v>#N/A</v>
      </c>
      <c r="V11" s="710" t="s">
        <v>21</v>
      </c>
      <c r="W11" s="711" t="e">
        <f t="shared" si="2"/>
        <v>#N/A</v>
      </c>
      <c r="X11" s="712"/>
      <c r="Y11" s="3311"/>
      <c r="Z11" s="55" t="str">
        <f t="shared" si="7"/>
        <v>容积率</v>
      </c>
      <c r="AA11" s="713" t="e">
        <f t="shared" si="3"/>
        <v>#N/A</v>
      </c>
      <c r="AB11" s="713" t="e">
        <f t="shared" si="4"/>
        <v>#N/A</v>
      </c>
      <c r="AC11" s="713" t="e">
        <f t="shared" si="5"/>
        <v>#N/A</v>
      </c>
    </row>
    <row r="12" spans="1:29" s="113" customFormat="1" ht="16" x14ac:dyDescent="0.2">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6"/>
      <c r="M12" s="2947"/>
      <c r="N12" s="2947"/>
      <c r="O12" s="2947"/>
      <c r="P12" s="3410"/>
      <c r="Q12" s="1529">
        <f t="shared" si="6"/>
        <v>111</v>
      </c>
      <c r="R12" s="710" t="s">
        <v>21</v>
      </c>
      <c r="S12" s="711">
        <f t="shared" si="0"/>
        <v>100</v>
      </c>
      <c r="T12" s="710" t="s">
        <v>21</v>
      </c>
      <c r="U12" s="711">
        <f t="shared" si="1"/>
        <v>100</v>
      </c>
      <c r="V12" s="710" t="s">
        <v>21</v>
      </c>
      <c r="W12" s="711">
        <f t="shared" si="2"/>
        <v>100</v>
      </c>
      <c r="X12" s="712"/>
      <c r="Y12" s="3311"/>
      <c r="Z12" s="55">
        <f t="shared" si="7"/>
        <v>111</v>
      </c>
      <c r="AA12" s="713">
        <f>D12/F12</f>
        <v>1</v>
      </c>
      <c r="AB12" s="713">
        <f>D12/H12</f>
        <v>1</v>
      </c>
      <c r="AC12" s="713">
        <f>D12/J12</f>
        <v>1</v>
      </c>
    </row>
    <row r="13" spans="1:29" ht="16" x14ac:dyDescent="0.2">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1"/>
      <c r="M13" s="2945"/>
      <c r="N13" s="2945"/>
      <c r="O13" s="2945"/>
      <c r="P13" s="3410"/>
      <c r="Q13" s="1529">
        <f t="shared" si="6"/>
        <v>111</v>
      </c>
      <c r="R13" s="710" t="s">
        <v>21</v>
      </c>
      <c r="S13" s="711">
        <f t="shared" si="0"/>
        <v>100</v>
      </c>
      <c r="T13" s="710" t="s">
        <v>21</v>
      </c>
      <c r="U13" s="711">
        <f t="shared" si="1"/>
        <v>100</v>
      </c>
      <c r="V13" s="710" t="s">
        <v>21</v>
      </c>
      <c r="W13" s="711">
        <f t="shared" si="2"/>
        <v>100</v>
      </c>
      <c r="X13" s="712"/>
      <c r="Y13" s="3311"/>
      <c r="Z13" s="55">
        <f t="shared" si="7"/>
        <v>111</v>
      </c>
      <c r="AA13" s="713">
        <f t="shared" si="3"/>
        <v>1</v>
      </c>
      <c r="AB13" s="713">
        <f t="shared" si="4"/>
        <v>1</v>
      </c>
      <c r="AC13" s="713">
        <f t="shared" si="5"/>
        <v>1</v>
      </c>
    </row>
    <row r="14" spans="1:29" ht="17" thickBot="1" x14ac:dyDescent="0.25">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1"/>
      <c r="M14" s="2945"/>
      <c r="N14" s="2945"/>
      <c r="O14" s="2945"/>
      <c r="P14" s="3410"/>
      <c r="Q14" s="1529">
        <f t="shared" si="6"/>
        <v>111</v>
      </c>
      <c r="R14" s="710" t="s">
        <v>21</v>
      </c>
      <c r="S14" s="711">
        <f t="shared" si="0"/>
        <v>100</v>
      </c>
      <c r="T14" s="710" t="s">
        <v>21</v>
      </c>
      <c r="U14" s="711">
        <f t="shared" si="1"/>
        <v>100</v>
      </c>
      <c r="V14" s="710" t="s">
        <v>21</v>
      </c>
      <c r="W14" s="711">
        <f t="shared" si="2"/>
        <v>100</v>
      </c>
      <c r="X14" s="712"/>
      <c r="Y14" s="3311"/>
      <c r="Z14" s="55">
        <f t="shared" si="7"/>
        <v>111</v>
      </c>
      <c r="AA14" s="713">
        <f t="shared" si="3"/>
        <v>1</v>
      </c>
      <c r="AB14" s="713">
        <f t="shared" si="4"/>
        <v>1</v>
      </c>
      <c r="AC14" s="713">
        <f t="shared" si="5"/>
        <v>1</v>
      </c>
    </row>
    <row r="15" spans="1:29" ht="98" x14ac:dyDescent="0.2">
      <c r="A15" s="399" t="s">
        <v>2380</v>
      </c>
      <c r="B15" s="65" t="s">
        <v>1943</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16" t="s">
        <v>2381</v>
      </c>
      <c r="Q15" s="1538" t="str">
        <f t="shared" si="6"/>
        <v>居住社区成熟度</v>
      </c>
      <c r="R15" s="714" t="s">
        <v>21</v>
      </c>
      <c r="S15" s="715">
        <f t="shared" si="0"/>
        <v>100</v>
      </c>
      <c r="T15" s="714" t="s">
        <v>21</v>
      </c>
      <c r="U15" s="715">
        <f t="shared" si="1"/>
        <v>100</v>
      </c>
      <c r="V15" s="714" t="s">
        <v>21</v>
      </c>
      <c r="W15" s="715">
        <f t="shared" si="2"/>
        <v>100</v>
      </c>
      <c r="X15" s="1541"/>
      <c r="Y15" s="3418" t="s">
        <v>2381</v>
      </c>
      <c r="Z15" s="1542" t="str">
        <f t="shared" si="7"/>
        <v>居住社区成熟度</v>
      </c>
      <c r="AA15" s="1539">
        <f t="shared" si="3"/>
        <v>1</v>
      </c>
      <c r="AB15" s="1539">
        <f t="shared" si="4"/>
        <v>1</v>
      </c>
      <c r="AC15" s="1539">
        <f t="shared" si="5"/>
        <v>1</v>
      </c>
    </row>
    <row r="16" spans="1:29" ht="16" x14ac:dyDescent="0.2">
      <c r="A16" s="387"/>
      <c r="B16" s="405"/>
      <c r="C16" s="406"/>
      <c r="D16" s="407"/>
      <c r="E16" s="2085"/>
      <c r="F16" s="407"/>
      <c r="G16" s="2086"/>
      <c r="H16" s="409"/>
      <c r="I16" s="2086"/>
      <c r="J16" s="407"/>
      <c r="K16" s="2087"/>
      <c r="L16" s="2951"/>
      <c r="M16" s="2945"/>
      <c r="N16" s="2945"/>
      <c r="O16" s="2945"/>
      <c r="P16" s="3417"/>
      <c r="Q16" s="1538"/>
      <c r="R16" s="714"/>
      <c r="S16" s="715"/>
      <c r="T16" s="714"/>
      <c r="U16" s="715"/>
      <c r="V16" s="714"/>
      <c r="W16" s="715"/>
      <c r="X16" s="1541"/>
      <c r="Y16" s="3419"/>
      <c r="Z16" s="1542"/>
      <c r="AA16" s="1539">
        <v>1</v>
      </c>
      <c r="AB16" s="1539">
        <v>1</v>
      </c>
      <c r="AC16" s="1539">
        <v>1</v>
      </c>
    </row>
    <row r="17" spans="1:29" ht="84" x14ac:dyDescent="0.2">
      <c r="A17" s="387"/>
      <c r="B17" s="410" t="s">
        <v>1945</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17"/>
      <c r="Q17" s="1538" t="str">
        <f>B17</f>
        <v>交通便捷度</v>
      </c>
      <c r="R17" s="714" t="s">
        <v>21</v>
      </c>
      <c r="S17" s="715">
        <f>F17</f>
        <v>100</v>
      </c>
      <c r="T17" s="714" t="s">
        <v>21</v>
      </c>
      <c r="U17" s="715">
        <f>H17</f>
        <v>100</v>
      </c>
      <c r="V17" s="714" t="s">
        <v>21</v>
      </c>
      <c r="W17" s="715">
        <f>J17</f>
        <v>100</v>
      </c>
      <c r="X17" s="1541"/>
      <c r="Y17" s="3419"/>
      <c r="Z17" s="1542" t="str">
        <f>Q17</f>
        <v>交通便捷度</v>
      </c>
      <c r="AA17" s="1539">
        <f t="shared" si="3"/>
        <v>1</v>
      </c>
      <c r="AB17" s="1539">
        <f t="shared" si="4"/>
        <v>1</v>
      </c>
      <c r="AC17" s="1539">
        <f t="shared" si="5"/>
        <v>1</v>
      </c>
    </row>
    <row r="18" spans="1:29" ht="16" x14ac:dyDescent="0.2">
      <c r="A18" s="387"/>
      <c r="B18" s="415"/>
      <c r="C18" s="2089"/>
      <c r="D18" s="409"/>
      <c r="E18" s="2090"/>
      <c r="F18" s="409"/>
      <c r="G18" s="2091"/>
      <c r="H18" s="407"/>
      <c r="I18" s="2091"/>
      <c r="J18" s="407"/>
      <c r="K18" s="2087"/>
      <c r="L18" s="2951"/>
      <c r="M18" s="2945"/>
      <c r="N18" s="2945"/>
      <c r="O18" s="2945"/>
      <c r="P18" s="3417"/>
      <c r="Q18" s="1538"/>
      <c r="R18" s="714"/>
      <c r="S18" s="715"/>
      <c r="T18" s="714"/>
      <c r="U18" s="715"/>
      <c r="V18" s="714"/>
      <c r="W18" s="715"/>
      <c r="X18" s="1541"/>
      <c r="Y18" s="3419"/>
      <c r="Z18" s="1542"/>
      <c r="AA18" s="1539">
        <v>1</v>
      </c>
      <c r="AB18" s="1539">
        <v>1</v>
      </c>
      <c r="AC18" s="1539">
        <v>1</v>
      </c>
    </row>
    <row r="19" spans="1:29" ht="42" x14ac:dyDescent="0.2">
      <c r="A19" s="387"/>
      <c r="B19" s="410" t="s">
        <v>1944</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17"/>
      <c r="Q19" s="1538" t="str">
        <f>B19</f>
        <v>公共配套设施</v>
      </c>
      <c r="R19" s="714" t="s">
        <v>21</v>
      </c>
      <c r="S19" s="715">
        <f>F19</f>
        <v>100</v>
      </c>
      <c r="T19" s="714" t="s">
        <v>21</v>
      </c>
      <c r="U19" s="715">
        <f>H19</f>
        <v>100</v>
      </c>
      <c r="V19" s="714" t="s">
        <v>21</v>
      </c>
      <c r="W19" s="715">
        <f>J19</f>
        <v>100</v>
      </c>
      <c r="X19" s="1541"/>
      <c r="Y19" s="3419"/>
      <c r="Z19" s="1542" t="str">
        <f>Q19</f>
        <v>公共配套设施</v>
      </c>
      <c r="AA19" s="1539">
        <f t="shared" si="3"/>
        <v>1</v>
      </c>
      <c r="AB19" s="1539">
        <f t="shared" si="4"/>
        <v>1</v>
      </c>
      <c r="AC19" s="1539">
        <f t="shared" si="5"/>
        <v>1</v>
      </c>
    </row>
    <row r="20" spans="1:29" ht="16" x14ac:dyDescent="0.2">
      <c r="A20" s="387"/>
      <c r="B20" s="415"/>
      <c r="C20" s="406"/>
      <c r="D20" s="407"/>
      <c r="E20" s="2085"/>
      <c r="F20" s="407"/>
      <c r="G20" s="2086"/>
      <c r="H20" s="407"/>
      <c r="I20" s="2086"/>
      <c r="J20" s="407"/>
      <c r="K20" s="2087"/>
      <c r="L20" s="2951"/>
      <c r="M20" s="2945"/>
      <c r="N20" s="2945"/>
      <c r="O20" s="2945"/>
      <c r="P20" s="3417"/>
      <c r="Q20" s="1538"/>
      <c r="R20" s="714"/>
      <c r="S20" s="715"/>
      <c r="T20" s="714"/>
      <c r="U20" s="715"/>
      <c r="V20" s="714"/>
      <c r="W20" s="715"/>
      <c r="X20" s="1541"/>
      <c r="Y20" s="3419"/>
      <c r="Z20" s="1542"/>
      <c r="AA20" s="1539">
        <v>1</v>
      </c>
      <c r="AB20" s="1539">
        <v>1</v>
      </c>
      <c r="AC20" s="1539">
        <v>1</v>
      </c>
    </row>
    <row r="21" spans="1:29" ht="28" x14ac:dyDescent="0.2">
      <c r="A21" s="387"/>
      <c r="B21" s="1293" t="s">
        <v>1946</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17"/>
      <c r="Q21" s="1538" t="str">
        <f>B21</f>
        <v>基础设施水平</v>
      </c>
      <c r="R21" s="714" t="s">
        <v>17</v>
      </c>
      <c r="S21" s="715">
        <f>F21</f>
        <v>100</v>
      </c>
      <c r="T21" s="714" t="s">
        <v>17</v>
      </c>
      <c r="U21" s="715">
        <f>H21</f>
        <v>100</v>
      </c>
      <c r="V21" s="714" t="s">
        <v>17</v>
      </c>
      <c r="W21" s="715">
        <f>J21</f>
        <v>100</v>
      </c>
      <c r="X21" s="1541"/>
      <c r="Y21" s="3419"/>
      <c r="Z21" s="1542" t="str">
        <f>Q21</f>
        <v>基础设施水平</v>
      </c>
      <c r="AA21" s="1539">
        <f t="shared" ref="AA21" si="8">D21/F21</f>
        <v>1</v>
      </c>
      <c r="AB21" s="1539">
        <f t="shared" ref="AB21" si="9">D21/H21</f>
        <v>1</v>
      </c>
      <c r="AC21" s="1539">
        <f t="shared" ref="AC21" si="10">D21/J21</f>
        <v>1</v>
      </c>
    </row>
    <row r="22" spans="1:29" ht="16" x14ac:dyDescent="0.2">
      <c r="A22" s="387"/>
      <c r="B22" s="1293"/>
      <c r="C22" s="2089"/>
      <c r="D22" s="407"/>
      <c r="E22" s="406"/>
      <c r="F22" s="407"/>
      <c r="G22" s="2092"/>
      <c r="H22" s="407"/>
      <c r="I22" s="406"/>
      <c r="J22" s="407"/>
      <c r="K22" s="2093"/>
      <c r="L22" s="2951"/>
      <c r="M22" s="2945"/>
      <c r="N22" s="2945"/>
      <c r="O22" s="2945"/>
      <c r="P22" s="3417"/>
      <c r="Q22" s="1538"/>
      <c r="R22" s="714"/>
      <c r="S22" s="715"/>
      <c r="T22" s="714"/>
      <c r="U22" s="715"/>
      <c r="V22" s="714"/>
      <c r="W22" s="715"/>
      <c r="X22" s="1541"/>
      <c r="Y22" s="3419"/>
      <c r="Z22" s="1542"/>
      <c r="AA22" s="1539">
        <v>1</v>
      </c>
      <c r="AB22" s="1539">
        <v>1</v>
      </c>
      <c r="AC22" s="1539">
        <v>1</v>
      </c>
    </row>
    <row r="23" spans="1:29" ht="56" x14ac:dyDescent="0.2">
      <c r="A23" s="387"/>
      <c r="B23" s="410" t="s">
        <v>1947</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17"/>
      <c r="Q23" s="1538" t="str">
        <f>B23</f>
        <v>自然及人文环境</v>
      </c>
      <c r="R23" s="714" t="s">
        <v>21</v>
      </c>
      <c r="S23" s="715">
        <f>F23</f>
        <v>100</v>
      </c>
      <c r="T23" s="714" t="s">
        <v>21</v>
      </c>
      <c r="U23" s="715">
        <f>H23</f>
        <v>100</v>
      </c>
      <c r="V23" s="714" t="s">
        <v>21</v>
      </c>
      <c r="W23" s="715">
        <f>J23</f>
        <v>100</v>
      </c>
      <c r="X23" s="1541"/>
      <c r="Y23" s="3419"/>
      <c r="Z23" s="1542" t="str">
        <f>Q23</f>
        <v>自然及人文环境</v>
      </c>
      <c r="AA23" s="1539">
        <f>D23/F23</f>
        <v>1</v>
      </c>
      <c r="AB23" s="1539">
        <f>D23/H23</f>
        <v>1</v>
      </c>
      <c r="AC23" s="1539">
        <f>D23/J23</f>
        <v>1</v>
      </c>
    </row>
    <row r="24" spans="1:29" ht="16" x14ac:dyDescent="0.2">
      <c r="A24" s="387"/>
      <c r="B24" s="415"/>
      <c r="C24" s="406"/>
      <c r="D24" s="407"/>
      <c r="E24" s="2085"/>
      <c r="F24" s="407"/>
      <c r="G24" s="2086"/>
      <c r="H24" s="407"/>
      <c r="I24" s="2086"/>
      <c r="J24" s="407"/>
      <c r="K24" s="2087"/>
      <c r="L24" s="2951"/>
      <c r="M24" s="2945"/>
      <c r="N24" s="2945"/>
      <c r="O24" s="2945"/>
      <c r="P24" s="3417"/>
      <c r="Q24" s="1538"/>
      <c r="R24" s="714"/>
      <c r="S24" s="715"/>
      <c r="T24" s="714"/>
      <c r="U24" s="715"/>
      <c r="V24" s="714"/>
      <c r="W24" s="715"/>
      <c r="X24" s="1541"/>
      <c r="Y24" s="3419"/>
      <c r="Z24" s="1542"/>
      <c r="AA24" s="1539">
        <v>1</v>
      </c>
      <c r="AB24" s="1539">
        <v>1</v>
      </c>
      <c r="AC24" s="1539">
        <v>1</v>
      </c>
    </row>
    <row r="25" spans="1:29" ht="16" x14ac:dyDescent="0.2">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51"/>
      <c r="M25" s="2945"/>
      <c r="N25" s="2945"/>
      <c r="O25" s="2945"/>
      <c r="P25" s="3417"/>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419"/>
      <c r="Z25" s="1542" t="str">
        <f>Q25</f>
        <v>楼层-1</v>
      </c>
      <c r="AA25" s="1539">
        <f t="shared" ref="AA25:AA46" si="15">D25/F25</f>
        <v>1</v>
      </c>
      <c r="AB25" s="1539">
        <f t="shared" ref="AB25:AB46" si="16">D25/H25</f>
        <v>1</v>
      </c>
      <c r="AC25" s="1539">
        <f t="shared" ref="AC25:AC46" si="17">D25/J25</f>
        <v>1</v>
      </c>
    </row>
    <row r="26" spans="1:29" ht="16" x14ac:dyDescent="0.2">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51"/>
      <c r="M26" s="2945"/>
      <c r="N26" s="2945"/>
      <c r="O26" s="2945"/>
      <c r="P26" s="3417"/>
      <c r="Q26" s="1538" t="str">
        <f t="shared" si="11"/>
        <v>朝向</v>
      </c>
      <c r="R26" s="714" t="s">
        <v>21</v>
      </c>
      <c r="S26" s="715">
        <f t="shared" si="12"/>
        <v>100</v>
      </c>
      <c r="T26" s="714" t="s">
        <v>21</v>
      </c>
      <c r="U26" s="715">
        <f t="shared" si="13"/>
        <v>100</v>
      </c>
      <c r="V26" s="714" t="s">
        <v>21</v>
      </c>
      <c r="W26" s="715">
        <f t="shared" si="14"/>
        <v>100</v>
      </c>
      <c r="X26" s="1541"/>
      <c r="Y26" s="3419"/>
      <c r="Z26" s="1542" t="str">
        <f>Q26</f>
        <v>朝向</v>
      </c>
      <c r="AA26" s="1539">
        <f t="shared" si="15"/>
        <v>1</v>
      </c>
      <c r="AB26" s="1539">
        <f t="shared" si="16"/>
        <v>1</v>
      </c>
      <c r="AC26" s="1539">
        <f t="shared" si="17"/>
        <v>1</v>
      </c>
    </row>
    <row r="27" spans="1:29" s="113" customFormat="1" ht="16" x14ac:dyDescent="0.2">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6"/>
      <c r="M27" s="2947"/>
      <c r="N27" s="2947"/>
      <c r="O27" s="2947"/>
      <c r="P27" s="3417"/>
      <c r="Q27" s="1529">
        <f t="shared" si="11"/>
        <v>111</v>
      </c>
      <c r="R27" s="710" t="s">
        <v>21</v>
      </c>
      <c r="S27" s="711">
        <f t="shared" si="12"/>
        <v>100</v>
      </c>
      <c r="T27" s="710" t="s">
        <v>21</v>
      </c>
      <c r="U27" s="711">
        <f t="shared" si="13"/>
        <v>100</v>
      </c>
      <c r="V27" s="710" t="s">
        <v>21</v>
      </c>
      <c r="W27" s="711">
        <f t="shared" si="14"/>
        <v>100</v>
      </c>
      <c r="X27" s="712"/>
      <c r="Y27" s="3419"/>
      <c r="Z27" s="55">
        <f>Q27</f>
        <v>111</v>
      </c>
      <c r="AA27" s="1539">
        <f t="shared" si="15"/>
        <v>1</v>
      </c>
      <c r="AB27" s="1539">
        <f t="shared" si="16"/>
        <v>1</v>
      </c>
      <c r="AC27" s="1539">
        <f t="shared" si="17"/>
        <v>1</v>
      </c>
    </row>
    <row r="28" spans="1:29" ht="16" x14ac:dyDescent="0.2">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1"/>
      <c r="M28" s="2945"/>
      <c r="N28" s="2945"/>
      <c r="O28" s="2945"/>
      <c r="P28" s="3417"/>
      <c r="Q28" s="1538">
        <f t="shared" si="11"/>
        <v>111</v>
      </c>
      <c r="R28" s="714" t="s">
        <v>21</v>
      </c>
      <c r="S28" s="715">
        <f t="shared" si="12"/>
        <v>100</v>
      </c>
      <c r="T28" s="714" t="s">
        <v>21</v>
      </c>
      <c r="U28" s="715">
        <f t="shared" si="13"/>
        <v>100</v>
      </c>
      <c r="V28" s="714" t="s">
        <v>21</v>
      </c>
      <c r="W28" s="715">
        <f t="shared" si="14"/>
        <v>100</v>
      </c>
      <c r="X28" s="1541"/>
      <c r="Y28" s="3419"/>
      <c r="Z28" s="1542">
        <f t="shared" ref="Z28:Z46" si="18">Q28</f>
        <v>111</v>
      </c>
      <c r="AA28" s="1539">
        <f t="shared" si="15"/>
        <v>1</v>
      </c>
      <c r="AB28" s="1539">
        <f t="shared" si="16"/>
        <v>1</v>
      </c>
      <c r="AC28" s="1539">
        <f t="shared" si="17"/>
        <v>1</v>
      </c>
    </row>
    <row r="29" spans="1:29" ht="16" x14ac:dyDescent="0.2">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1"/>
      <c r="M29" s="2945"/>
      <c r="N29" s="2945"/>
      <c r="O29" s="2945"/>
      <c r="P29" s="3417"/>
      <c r="Q29" s="1538">
        <f t="shared" si="11"/>
        <v>111</v>
      </c>
      <c r="R29" s="714" t="s">
        <v>21</v>
      </c>
      <c r="S29" s="715">
        <f t="shared" si="12"/>
        <v>100</v>
      </c>
      <c r="T29" s="714" t="s">
        <v>21</v>
      </c>
      <c r="U29" s="715">
        <f t="shared" si="13"/>
        <v>100</v>
      </c>
      <c r="V29" s="714" t="s">
        <v>21</v>
      </c>
      <c r="W29" s="715">
        <f t="shared" si="14"/>
        <v>100</v>
      </c>
      <c r="X29" s="1541"/>
      <c r="Y29" s="3419"/>
      <c r="Z29" s="1542">
        <f t="shared" si="18"/>
        <v>111</v>
      </c>
      <c r="AA29" s="1539">
        <f t="shared" si="15"/>
        <v>1</v>
      </c>
      <c r="AB29" s="1539">
        <f t="shared" si="16"/>
        <v>1</v>
      </c>
      <c r="AC29" s="1539">
        <f t="shared" si="17"/>
        <v>1</v>
      </c>
    </row>
    <row r="30" spans="1:29" ht="16" x14ac:dyDescent="0.2">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1"/>
      <c r="M30" s="2945"/>
      <c r="N30" s="2945"/>
      <c r="O30" s="2945"/>
      <c r="P30" s="3417"/>
      <c r="Q30" s="1538">
        <f t="shared" si="11"/>
        <v>111</v>
      </c>
      <c r="R30" s="714" t="s">
        <v>21</v>
      </c>
      <c r="S30" s="715">
        <f t="shared" si="12"/>
        <v>100</v>
      </c>
      <c r="T30" s="714" t="s">
        <v>21</v>
      </c>
      <c r="U30" s="715">
        <f t="shared" si="13"/>
        <v>100</v>
      </c>
      <c r="V30" s="714" t="s">
        <v>21</v>
      </c>
      <c r="W30" s="715">
        <f t="shared" si="14"/>
        <v>100</v>
      </c>
      <c r="X30" s="1541"/>
      <c r="Y30" s="3419"/>
      <c r="Z30" s="1542">
        <f t="shared" si="18"/>
        <v>111</v>
      </c>
      <c r="AA30" s="1539">
        <f t="shared" si="15"/>
        <v>1</v>
      </c>
      <c r="AB30" s="1539">
        <f t="shared" si="16"/>
        <v>1</v>
      </c>
      <c r="AC30" s="1539">
        <f t="shared" si="17"/>
        <v>1</v>
      </c>
    </row>
    <row r="31" spans="1:29" ht="17" thickBot="1" x14ac:dyDescent="0.25">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1"/>
      <c r="M31" s="2945"/>
      <c r="N31" s="2945"/>
      <c r="O31" s="2945"/>
      <c r="P31" s="3417"/>
      <c r="Q31" s="1538">
        <f t="shared" si="11"/>
        <v>111</v>
      </c>
      <c r="R31" s="714" t="s">
        <v>21</v>
      </c>
      <c r="S31" s="715">
        <f t="shared" si="12"/>
        <v>100</v>
      </c>
      <c r="T31" s="714" t="s">
        <v>21</v>
      </c>
      <c r="U31" s="715">
        <f t="shared" si="13"/>
        <v>100</v>
      </c>
      <c r="V31" s="714" t="s">
        <v>21</v>
      </c>
      <c r="W31" s="715">
        <f t="shared" si="14"/>
        <v>100</v>
      </c>
      <c r="X31" s="1541"/>
      <c r="Y31" s="3419"/>
      <c r="Z31" s="1542">
        <f t="shared" si="18"/>
        <v>111</v>
      </c>
      <c r="AA31" s="1539">
        <f t="shared" si="15"/>
        <v>1</v>
      </c>
      <c r="AB31" s="1539">
        <f t="shared" si="16"/>
        <v>1</v>
      </c>
      <c r="AC31" s="1539">
        <f t="shared" si="17"/>
        <v>1</v>
      </c>
    </row>
    <row r="32" spans="1:29" ht="16" x14ac:dyDescent="0.2">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1"/>
      <c r="M32" s="2945"/>
      <c r="N32" s="2945"/>
      <c r="O32" s="2945"/>
      <c r="P32" s="3420" t="s">
        <v>2386</v>
      </c>
      <c r="Q32" s="1538" t="str">
        <f t="shared" si="11"/>
        <v>建筑类型</v>
      </c>
      <c r="R32" s="714" t="s">
        <v>21</v>
      </c>
      <c r="S32" s="715">
        <f t="shared" si="12"/>
        <v>100</v>
      </c>
      <c r="T32" s="714" t="s">
        <v>21</v>
      </c>
      <c r="U32" s="715">
        <f t="shared" si="13"/>
        <v>100</v>
      </c>
      <c r="V32" s="714" t="s">
        <v>21</v>
      </c>
      <c r="W32" s="715">
        <f t="shared" si="14"/>
        <v>100</v>
      </c>
      <c r="X32" s="1541"/>
      <c r="Y32" s="3423" t="s">
        <v>2386</v>
      </c>
      <c r="Z32" s="1542" t="str">
        <f t="shared" si="18"/>
        <v>建筑类型</v>
      </c>
      <c r="AA32" s="1539">
        <f t="shared" si="15"/>
        <v>1</v>
      </c>
      <c r="AB32" s="1539">
        <f t="shared" si="16"/>
        <v>1</v>
      </c>
      <c r="AC32" s="1539">
        <f t="shared" si="17"/>
        <v>1</v>
      </c>
    </row>
    <row r="33" spans="1:29" s="430" customFormat="1" ht="16" x14ac:dyDescent="0.2">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0"/>
      <c r="M33" s="2952"/>
      <c r="N33" s="2952"/>
      <c r="O33" s="2952"/>
      <c r="P33" s="3421"/>
      <c r="Q33" s="716" t="str">
        <f t="shared" si="11"/>
        <v>项目建筑规模</v>
      </c>
      <c r="R33" s="717" t="s">
        <v>21</v>
      </c>
      <c r="S33" s="718" t="e">
        <f t="shared" si="12"/>
        <v>#N/A</v>
      </c>
      <c r="T33" s="717" t="s">
        <v>21</v>
      </c>
      <c r="U33" s="718" t="e">
        <f t="shared" si="13"/>
        <v>#N/A</v>
      </c>
      <c r="V33" s="717" t="s">
        <v>21</v>
      </c>
      <c r="W33" s="718" t="e">
        <f t="shared" si="14"/>
        <v>#N/A</v>
      </c>
      <c r="X33" s="719"/>
      <c r="Y33" s="3423"/>
      <c r="Z33" s="720" t="str">
        <f t="shared" si="18"/>
        <v>项目建筑规模</v>
      </c>
      <c r="AA33" s="1539" t="e">
        <f t="shared" si="15"/>
        <v>#N/A</v>
      </c>
      <c r="AB33" s="1539" t="e">
        <f t="shared" si="16"/>
        <v>#N/A</v>
      </c>
      <c r="AC33" s="1539" t="e">
        <f t="shared" si="17"/>
        <v>#N/A</v>
      </c>
    </row>
    <row r="34" spans="1:29" ht="16" x14ac:dyDescent="0.2">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1"/>
      <c r="M34" s="2945"/>
      <c r="N34" s="2945"/>
      <c r="O34" s="2945"/>
      <c r="P34" s="3421"/>
      <c r="Q34" s="1538" t="str">
        <f t="shared" si="11"/>
        <v>建筑结构</v>
      </c>
      <c r="R34" s="714" t="s">
        <v>21</v>
      </c>
      <c r="S34" s="715">
        <f t="shared" si="12"/>
        <v>100</v>
      </c>
      <c r="T34" s="714" t="s">
        <v>21</v>
      </c>
      <c r="U34" s="715">
        <f t="shared" si="13"/>
        <v>100</v>
      </c>
      <c r="V34" s="714" t="s">
        <v>21</v>
      </c>
      <c r="W34" s="715">
        <f t="shared" si="14"/>
        <v>100</v>
      </c>
      <c r="X34" s="1541"/>
      <c r="Y34" s="3423"/>
      <c r="Z34" s="1542" t="str">
        <f t="shared" si="18"/>
        <v>建筑结构</v>
      </c>
      <c r="AA34" s="1539">
        <f t="shared" si="15"/>
        <v>1</v>
      </c>
      <c r="AB34" s="1539">
        <f t="shared" si="16"/>
        <v>1</v>
      </c>
      <c r="AC34" s="1539">
        <f t="shared" si="17"/>
        <v>1</v>
      </c>
    </row>
    <row r="35" spans="1:29" ht="16" x14ac:dyDescent="0.2">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1"/>
      <c r="M35" s="2945"/>
      <c r="N35" s="2945"/>
      <c r="O35" s="2945"/>
      <c r="P35" s="3421"/>
      <c r="Q35" s="1538" t="str">
        <f t="shared" si="11"/>
        <v>建筑品质</v>
      </c>
      <c r="R35" s="714" t="s">
        <v>21</v>
      </c>
      <c r="S35" s="715">
        <f t="shared" si="12"/>
        <v>100</v>
      </c>
      <c r="T35" s="714" t="s">
        <v>21</v>
      </c>
      <c r="U35" s="715">
        <f t="shared" si="13"/>
        <v>100</v>
      </c>
      <c r="V35" s="714" t="s">
        <v>21</v>
      </c>
      <c r="W35" s="715">
        <f t="shared" si="14"/>
        <v>100</v>
      </c>
      <c r="X35" s="1541"/>
      <c r="Y35" s="3423"/>
      <c r="Z35" s="1542" t="str">
        <f t="shared" si="18"/>
        <v>建筑品质</v>
      </c>
      <c r="AA35" s="1539">
        <f t="shared" si="15"/>
        <v>1</v>
      </c>
      <c r="AB35" s="1539">
        <f t="shared" si="16"/>
        <v>1</v>
      </c>
      <c r="AC35" s="1539">
        <f t="shared" si="17"/>
        <v>1</v>
      </c>
    </row>
    <row r="36" spans="1:29" ht="16" x14ac:dyDescent="0.2">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1"/>
      <c r="M36" s="2945"/>
      <c r="N36" s="2945"/>
      <c r="O36" s="2945"/>
      <c r="P36" s="3421"/>
      <c r="Q36" s="1538" t="str">
        <f t="shared" si="11"/>
        <v>公共部分装修</v>
      </c>
      <c r="R36" s="714" t="s">
        <v>21</v>
      </c>
      <c r="S36" s="715">
        <f t="shared" si="12"/>
        <v>100</v>
      </c>
      <c r="T36" s="714" t="s">
        <v>21</v>
      </c>
      <c r="U36" s="715">
        <f t="shared" si="13"/>
        <v>100</v>
      </c>
      <c r="V36" s="714" t="s">
        <v>21</v>
      </c>
      <c r="W36" s="715">
        <f t="shared" si="14"/>
        <v>100</v>
      </c>
      <c r="X36" s="1541"/>
      <c r="Y36" s="3423"/>
      <c r="Z36" s="1542" t="str">
        <f t="shared" si="18"/>
        <v>公共部分装修</v>
      </c>
      <c r="AA36" s="1539">
        <f t="shared" si="15"/>
        <v>1</v>
      </c>
      <c r="AB36" s="1539">
        <f t="shared" si="16"/>
        <v>1</v>
      </c>
      <c r="AC36" s="1539">
        <f t="shared" si="17"/>
        <v>1</v>
      </c>
    </row>
    <row r="37" spans="1:29" s="113" customFormat="1" ht="16" x14ac:dyDescent="0.2">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21"/>
      <c r="Q37" s="1529" t="str">
        <f t="shared" si="11"/>
        <v>成新度</v>
      </c>
      <c r="R37" s="710" t="s">
        <v>21</v>
      </c>
      <c r="S37" s="711" t="e">
        <f t="shared" si="12"/>
        <v>#N/A</v>
      </c>
      <c r="T37" s="710" t="s">
        <v>21</v>
      </c>
      <c r="U37" s="711" t="e">
        <f t="shared" si="13"/>
        <v>#N/A</v>
      </c>
      <c r="V37" s="710" t="s">
        <v>21</v>
      </c>
      <c r="W37" s="711" t="e">
        <f t="shared" si="14"/>
        <v>#N/A</v>
      </c>
      <c r="X37" s="712"/>
      <c r="Y37" s="3423"/>
      <c r="Z37" s="55" t="str">
        <f t="shared" si="18"/>
        <v>成新度</v>
      </c>
      <c r="AA37" s="713" t="e">
        <f t="shared" si="15"/>
        <v>#N/A</v>
      </c>
      <c r="AB37" s="713" t="e">
        <f t="shared" si="16"/>
        <v>#N/A</v>
      </c>
      <c r="AC37" s="713" t="e">
        <f t="shared" si="17"/>
        <v>#N/A</v>
      </c>
    </row>
    <row r="38" spans="1:29" ht="16" x14ac:dyDescent="0.2">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1"/>
      <c r="M38" s="2945"/>
      <c r="N38" s="2945"/>
      <c r="O38" s="2945"/>
      <c r="P38" s="3421" t="s">
        <v>2386</v>
      </c>
      <c r="Q38" s="1538" t="str">
        <f t="shared" si="11"/>
        <v>物业管理</v>
      </c>
      <c r="R38" s="714" t="s">
        <v>21</v>
      </c>
      <c r="S38" s="715">
        <f t="shared" si="12"/>
        <v>100</v>
      </c>
      <c r="T38" s="714" t="s">
        <v>21</v>
      </c>
      <c r="U38" s="715">
        <f t="shared" si="13"/>
        <v>100</v>
      </c>
      <c r="V38" s="714" t="s">
        <v>21</v>
      </c>
      <c r="W38" s="715">
        <f t="shared" si="14"/>
        <v>100</v>
      </c>
      <c r="X38" s="1541"/>
      <c r="Y38" s="3423" t="s">
        <v>2386</v>
      </c>
      <c r="Z38" s="1542" t="str">
        <f t="shared" si="18"/>
        <v>物业管理</v>
      </c>
      <c r="AA38" s="1539">
        <f t="shared" si="15"/>
        <v>1</v>
      </c>
      <c r="AB38" s="1539">
        <f t="shared" si="16"/>
        <v>1</v>
      </c>
      <c r="AC38" s="1539">
        <f t="shared" si="17"/>
        <v>1</v>
      </c>
    </row>
    <row r="39" spans="1:29" ht="16" x14ac:dyDescent="0.2">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1"/>
      <c r="M39" s="2945"/>
      <c r="N39" s="2945"/>
      <c r="O39" s="2945"/>
      <c r="P39" s="3421"/>
      <c r="Q39" s="1538" t="str">
        <f t="shared" si="11"/>
        <v>市政基础设施</v>
      </c>
      <c r="R39" s="714" t="s">
        <v>21</v>
      </c>
      <c r="S39" s="715">
        <f t="shared" si="12"/>
        <v>100</v>
      </c>
      <c r="T39" s="714" t="s">
        <v>21</v>
      </c>
      <c r="U39" s="715">
        <f t="shared" si="13"/>
        <v>100</v>
      </c>
      <c r="V39" s="714" t="s">
        <v>21</v>
      </c>
      <c r="W39" s="715">
        <f t="shared" si="14"/>
        <v>100</v>
      </c>
      <c r="X39" s="1541"/>
      <c r="Y39" s="3423"/>
      <c r="Z39" s="1542" t="str">
        <f t="shared" si="18"/>
        <v>市政基础设施</v>
      </c>
      <c r="AA39" s="1539">
        <f t="shared" si="15"/>
        <v>1</v>
      </c>
      <c r="AB39" s="1539">
        <f t="shared" si="16"/>
        <v>1</v>
      </c>
      <c r="AC39" s="1539">
        <f t="shared" si="17"/>
        <v>1</v>
      </c>
    </row>
    <row r="40" spans="1:29" ht="16" x14ac:dyDescent="0.2">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1"/>
      <c r="M40" s="2945"/>
      <c r="N40" s="2945"/>
      <c r="O40" s="2945"/>
      <c r="P40" s="3421"/>
      <c r="Q40" s="1538" t="str">
        <f t="shared" si="11"/>
        <v>房型</v>
      </c>
      <c r="R40" s="714" t="s">
        <v>21</v>
      </c>
      <c r="S40" s="715">
        <f t="shared" si="12"/>
        <v>100</v>
      </c>
      <c r="T40" s="714" t="s">
        <v>21</v>
      </c>
      <c r="U40" s="715">
        <f t="shared" si="13"/>
        <v>100</v>
      </c>
      <c r="V40" s="714" t="s">
        <v>21</v>
      </c>
      <c r="W40" s="715">
        <f t="shared" si="14"/>
        <v>100</v>
      </c>
      <c r="X40" s="1541"/>
      <c r="Y40" s="3423"/>
      <c r="Z40" s="1542" t="str">
        <f t="shared" si="18"/>
        <v>房型</v>
      </c>
      <c r="AA40" s="1539">
        <f t="shared" si="15"/>
        <v>1</v>
      </c>
      <c r="AB40" s="1539">
        <f t="shared" si="16"/>
        <v>1</v>
      </c>
      <c r="AC40" s="1539">
        <f t="shared" si="17"/>
        <v>1</v>
      </c>
    </row>
    <row r="41" spans="1:29" s="430" customFormat="1" ht="28" x14ac:dyDescent="0.2">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0"/>
      <c r="M41" s="2952"/>
      <c r="N41" s="2952"/>
      <c r="O41" s="2952"/>
      <c r="P41" s="3421"/>
      <c r="Q41" s="716" t="str">
        <f t="shared" si="11"/>
        <v>单套/主力户型建筑面积</v>
      </c>
      <c r="R41" s="717" t="s">
        <v>21</v>
      </c>
      <c r="S41" s="718">
        <f t="shared" si="12"/>
        <v>100</v>
      </c>
      <c r="T41" s="717" t="s">
        <v>21</v>
      </c>
      <c r="U41" s="718">
        <f t="shared" si="13"/>
        <v>100</v>
      </c>
      <c r="V41" s="717" t="s">
        <v>21</v>
      </c>
      <c r="W41" s="718">
        <f t="shared" si="14"/>
        <v>100</v>
      </c>
      <c r="X41" s="719"/>
      <c r="Y41" s="3423"/>
      <c r="Z41" s="720" t="str">
        <f t="shared" si="18"/>
        <v>单套/主力户型建筑面积</v>
      </c>
      <c r="AA41" s="1539">
        <f t="shared" si="15"/>
        <v>1</v>
      </c>
      <c r="AB41" s="1539">
        <f t="shared" si="16"/>
        <v>1</v>
      </c>
      <c r="AC41" s="1539">
        <f t="shared" si="17"/>
        <v>1</v>
      </c>
    </row>
    <row r="42" spans="1:29" ht="16" x14ac:dyDescent="0.2">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1"/>
      <c r="M42" s="2945"/>
      <c r="N42" s="2945"/>
      <c r="O42" s="2945"/>
      <c r="P42" s="3421"/>
      <c r="Q42" s="1538" t="str">
        <f t="shared" si="11"/>
        <v>内部装修</v>
      </c>
      <c r="R42" s="714" t="s">
        <v>21</v>
      </c>
      <c r="S42" s="715">
        <f t="shared" si="12"/>
        <v>100</v>
      </c>
      <c r="T42" s="714" t="s">
        <v>21</v>
      </c>
      <c r="U42" s="715">
        <f t="shared" si="13"/>
        <v>100</v>
      </c>
      <c r="V42" s="714" t="s">
        <v>21</v>
      </c>
      <c r="W42" s="715">
        <f t="shared" si="14"/>
        <v>100</v>
      </c>
      <c r="X42" s="1541"/>
      <c r="Y42" s="3423"/>
      <c r="Z42" s="1542" t="str">
        <f t="shared" si="18"/>
        <v>内部装修</v>
      </c>
      <c r="AA42" s="1539">
        <f t="shared" si="15"/>
        <v>1</v>
      </c>
      <c r="AB42" s="1539">
        <f t="shared" si="16"/>
        <v>1</v>
      </c>
      <c r="AC42" s="1539">
        <f t="shared" si="17"/>
        <v>1</v>
      </c>
    </row>
    <row r="43" spans="1:29" ht="16" x14ac:dyDescent="0.2">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1"/>
      <c r="M43" s="2945"/>
      <c r="N43" s="2945"/>
      <c r="O43" s="2945"/>
      <c r="P43" s="3421"/>
      <c r="Q43" s="1538" t="str">
        <f t="shared" si="11"/>
        <v>内部装修维护情况</v>
      </c>
      <c r="R43" s="714" t="s">
        <v>21</v>
      </c>
      <c r="S43" s="715">
        <f t="shared" si="12"/>
        <v>100</v>
      </c>
      <c r="T43" s="714" t="s">
        <v>21</v>
      </c>
      <c r="U43" s="715">
        <f t="shared" si="13"/>
        <v>100</v>
      </c>
      <c r="V43" s="714" t="s">
        <v>21</v>
      </c>
      <c r="W43" s="715">
        <f t="shared" si="14"/>
        <v>100</v>
      </c>
      <c r="X43" s="1541"/>
      <c r="Y43" s="3423"/>
      <c r="Z43" s="1542" t="str">
        <f t="shared" si="18"/>
        <v>内部装修维护情况</v>
      </c>
      <c r="AA43" s="1539">
        <f t="shared" si="15"/>
        <v>1</v>
      </c>
      <c r="AB43" s="1539">
        <f t="shared" si="16"/>
        <v>1</v>
      </c>
      <c r="AC43" s="1539">
        <f t="shared" si="17"/>
        <v>1</v>
      </c>
    </row>
    <row r="44" spans="1:29" s="113" customFormat="1" ht="16" x14ac:dyDescent="0.2">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6"/>
      <c r="M44" s="2947"/>
      <c r="N44" s="2947"/>
      <c r="O44" s="2947"/>
      <c r="P44" s="3421"/>
      <c r="Q44" s="1529">
        <f t="shared" si="11"/>
        <v>111</v>
      </c>
      <c r="R44" s="710" t="s">
        <v>21</v>
      </c>
      <c r="S44" s="711">
        <f t="shared" si="12"/>
        <v>100</v>
      </c>
      <c r="T44" s="710" t="s">
        <v>21</v>
      </c>
      <c r="U44" s="711">
        <f t="shared" si="13"/>
        <v>100</v>
      </c>
      <c r="V44" s="710" t="s">
        <v>21</v>
      </c>
      <c r="W44" s="711">
        <f t="shared" si="14"/>
        <v>100</v>
      </c>
      <c r="X44" s="712"/>
      <c r="Y44" s="3423"/>
      <c r="Z44" s="55">
        <f t="shared" si="18"/>
        <v>111</v>
      </c>
      <c r="AA44" s="713">
        <f t="shared" si="15"/>
        <v>1</v>
      </c>
      <c r="AB44" s="713">
        <f t="shared" si="16"/>
        <v>1</v>
      </c>
      <c r="AC44" s="713">
        <f t="shared" si="17"/>
        <v>1</v>
      </c>
    </row>
    <row r="45" spans="1:29" ht="16" x14ac:dyDescent="0.2">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1"/>
      <c r="M45" s="2945"/>
      <c r="N45" s="2945"/>
      <c r="O45" s="2945"/>
      <c r="P45" s="3421"/>
      <c r="Q45" s="1538">
        <f t="shared" si="11"/>
        <v>111</v>
      </c>
      <c r="R45" s="714" t="s">
        <v>21</v>
      </c>
      <c r="S45" s="715">
        <f t="shared" si="12"/>
        <v>100</v>
      </c>
      <c r="T45" s="714" t="s">
        <v>21</v>
      </c>
      <c r="U45" s="715">
        <f t="shared" si="13"/>
        <v>100</v>
      </c>
      <c r="V45" s="714" t="s">
        <v>21</v>
      </c>
      <c r="W45" s="715">
        <f t="shared" si="14"/>
        <v>100</v>
      </c>
      <c r="X45" s="1541"/>
      <c r="Y45" s="3423"/>
      <c r="Z45" s="1542">
        <f t="shared" si="18"/>
        <v>111</v>
      </c>
      <c r="AA45" s="1539">
        <f t="shared" si="15"/>
        <v>1</v>
      </c>
      <c r="AB45" s="1539">
        <f t="shared" si="16"/>
        <v>1</v>
      </c>
      <c r="AC45" s="1539">
        <f t="shared" si="17"/>
        <v>1</v>
      </c>
    </row>
    <row r="46" spans="1:29" ht="17" thickBot="1" x14ac:dyDescent="0.25">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1"/>
      <c r="M46" s="2945"/>
      <c r="N46" s="2945"/>
      <c r="O46" s="2945"/>
      <c r="P46" s="3422"/>
      <c r="Q46" s="1538">
        <f t="shared" si="11"/>
        <v>111</v>
      </c>
      <c r="R46" s="714" t="s">
        <v>20</v>
      </c>
      <c r="S46" s="715">
        <f t="shared" si="12"/>
        <v>100</v>
      </c>
      <c r="T46" s="714" t="s">
        <v>20</v>
      </c>
      <c r="U46" s="715">
        <f t="shared" si="13"/>
        <v>100</v>
      </c>
      <c r="V46" s="714" t="s">
        <v>20</v>
      </c>
      <c r="W46" s="715">
        <f t="shared" si="14"/>
        <v>100</v>
      </c>
      <c r="X46" s="1541"/>
      <c r="Y46" s="3424"/>
      <c r="Z46" s="1542">
        <f t="shared" si="18"/>
        <v>111</v>
      </c>
      <c r="AA46" s="1539">
        <f t="shared" si="15"/>
        <v>1</v>
      </c>
      <c r="AB46" s="1539">
        <f t="shared" si="16"/>
        <v>1</v>
      </c>
      <c r="AC46" s="1539">
        <f t="shared" si="17"/>
        <v>1</v>
      </c>
    </row>
    <row r="47" spans="1:29" x14ac:dyDescent="0.2">
      <c r="A47" s="438" t="s">
        <v>2398</v>
      </c>
      <c r="B47" s="439"/>
      <c r="C47" s="1316" t="s">
        <v>19</v>
      </c>
      <c r="D47" s="1317"/>
      <c r="E47" s="1318"/>
      <c r="F47" s="1319"/>
      <c r="G47" s="1320"/>
      <c r="H47" s="1321"/>
      <c r="I47" s="1318"/>
      <c r="J47" s="1321"/>
      <c r="K47" s="2102"/>
      <c r="L47" s="2953"/>
      <c r="M47" s="2954"/>
      <c r="N47" s="2945"/>
      <c r="O47" s="2954"/>
      <c r="P47" s="3411" t="str">
        <f>A47</f>
        <v>成交单价（元/平方米）</v>
      </c>
      <c r="Q47" s="3411"/>
      <c r="R47" s="3425">
        <f>E47</f>
        <v>0</v>
      </c>
      <c r="S47" s="3425"/>
      <c r="T47" s="3425">
        <f>G47</f>
        <v>0</v>
      </c>
      <c r="U47" s="3425"/>
      <c r="V47" s="3425">
        <f>I47</f>
        <v>0</v>
      </c>
      <c r="W47" s="3425"/>
      <c r="X47" s="699"/>
      <c r="Y47" s="721"/>
      <c r="Z47" s="699"/>
      <c r="AA47" s="699"/>
      <c r="AB47" s="699"/>
      <c r="AC47" s="699"/>
    </row>
    <row r="48" spans="1:29" ht="15" thickBot="1" x14ac:dyDescent="0.25">
      <c r="A48" s="445" t="s">
        <v>2399</v>
      </c>
      <c r="B48" s="446"/>
      <c r="C48" s="1322" t="e">
        <f>R49</f>
        <v>#DIV/0!</v>
      </c>
      <c r="D48" s="2540" t="s">
        <v>2879</v>
      </c>
      <c r="E48" s="1323" t="e">
        <f>R48</f>
        <v>#DIV/0!</v>
      </c>
      <c r="F48" s="2541"/>
      <c r="G48" s="1322" t="e">
        <f>T48</f>
        <v>#DIV/0!</v>
      </c>
      <c r="H48" s="2541"/>
      <c r="I48" s="1323" t="e">
        <f>V48</f>
        <v>#DIV/0!</v>
      </c>
      <c r="J48" s="2541"/>
      <c r="K48" s="2542">
        <f>F48+H48+J48</f>
        <v>0</v>
      </c>
      <c r="L48" s="2953"/>
      <c r="M48" s="2954"/>
      <c r="N48" s="2954"/>
      <c r="O48" s="2954"/>
      <c r="P48" s="3411" t="str">
        <f>A48</f>
        <v>比较价值（元/平方米）</v>
      </c>
      <c r="Q48" s="3411"/>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699"/>
      <c r="Y48" s="699"/>
      <c r="Z48" s="699"/>
      <c r="AA48" s="699"/>
      <c r="AB48" s="699"/>
      <c r="AC48" s="699"/>
    </row>
    <row r="49" spans="1:29" ht="15" thickBot="1" x14ac:dyDescent="0.25">
      <c r="A49" s="449" t="s">
        <v>2400</v>
      </c>
      <c r="B49" s="450"/>
      <c r="C49" s="1324" t="e">
        <f>R49</f>
        <v>#DIV/0!</v>
      </c>
      <c r="D49" s="1325"/>
      <c r="E49" s="1325"/>
      <c r="F49" s="1325"/>
      <c r="G49" s="1325"/>
      <c r="H49" s="1325"/>
      <c r="I49" s="1325"/>
      <c r="J49" s="1325"/>
      <c r="K49" s="2103"/>
      <c r="L49" s="2953"/>
      <c r="M49" s="2954"/>
      <c r="N49" s="2954"/>
      <c r="O49" s="2954"/>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699"/>
      <c r="Y49" s="699"/>
      <c r="Z49" s="699"/>
      <c r="AA49" s="699"/>
      <c r="AB49" s="699"/>
      <c r="AC49" s="699"/>
    </row>
    <row r="50" spans="1:29" x14ac:dyDescent="0.2">
      <c r="A50" s="2954"/>
      <c r="B50" s="2954"/>
      <c r="C50" s="2954"/>
      <c r="D50" s="2954"/>
      <c r="E50" s="2954"/>
      <c r="F50" s="2954"/>
      <c r="G50" s="2958"/>
      <c r="H50" s="2954"/>
      <c r="I50" s="2954"/>
      <c r="J50" s="2954"/>
      <c r="K50" s="2959"/>
      <c r="L50" s="2955"/>
      <c r="M50" s="2954"/>
      <c r="N50" s="2954"/>
      <c r="O50" s="2954"/>
    </row>
    <row r="51" spans="1:29" x14ac:dyDescent="0.2">
      <c r="A51" s="2954"/>
      <c r="B51" s="2954"/>
      <c r="C51" s="2954"/>
      <c r="D51" s="2954"/>
      <c r="E51" s="2954"/>
      <c r="F51" s="2954"/>
      <c r="G51" s="2954"/>
      <c r="H51" s="2954"/>
      <c r="I51" s="2954"/>
      <c r="J51" s="2954"/>
      <c r="K51" s="2959"/>
      <c r="L51" s="2955"/>
      <c r="M51" s="2954"/>
      <c r="N51" s="2954"/>
      <c r="O51" s="2954"/>
    </row>
    <row r="52" spans="1:29" ht="13.5" customHeight="1" x14ac:dyDescent="0.2">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x14ac:dyDescent="0.2">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x14ac:dyDescent="0.2">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5"/>
    </row>
    <row r="55" spans="1:29" s="459" customFormat="1" x14ac:dyDescent="0.2">
      <c r="A55" s="2957"/>
      <c r="B55" s="2960"/>
      <c r="C55" s="2961"/>
      <c r="D55" s="2957"/>
      <c r="E55" s="2957"/>
      <c r="F55" s="2957"/>
      <c r="G55" s="2957"/>
      <c r="H55" s="2957"/>
      <c r="I55" s="2957"/>
      <c r="J55" s="2957"/>
      <c r="K55" s="2962"/>
      <c r="L55" s="2956"/>
      <c r="M55" s="2957"/>
      <c r="N55" s="2957"/>
      <c r="O55" s="2957"/>
      <c r="P55" s="2105"/>
    </row>
    <row r="56" spans="1:29" x14ac:dyDescent="0.2">
      <c r="A56" s="2954"/>
      <c r="B56" s="2960"/>
      <c r="C56" s="2961"/>
      <c r="D56" s="2954"/>
      <c r="E56" s="2954"/>
      <c r="F56" s="2954"/>
      <c r="G56" s="2954"/>
      <c r="H56" s="2954"/>
      <c r="I56" s="2954"/>
      <c r="J56" s="2954"/>
      <c r="K56" s="2959"/>
      <c r="L56" s="2955"/>
      <c r="M56" s="2954"/>
      <c r="N56" s="2954"/>
      <c r="O56" s="2954"/>
    </row>
    <row r="57" spans="1:29" ht="21" thickBot="1" x14ac:dyDescent="0.25">
      <c r="A57" s="703" t="s">
        <v>2404</v>
      </c>
      <c r="B57" s="699"/>
      <c r="C57" s="704"/>
      <c r="D57" s="704"/>
      <c r="E57" s="704"/>
      <c r="F57" s="705"/>
      <c r="G57" s="705"/>
      <c r="H57" s="704"/>
      <c r="I57" s="704"/>
      <c r="J57" s="704"/>
      <c r="K57" s="1072"/>
      <c r="L57" s="1073"/>
      <c r="M57" s="1071"/>
      <c r="N57" s="1071"/>
      <c r="O57" s="1071"/>
      <c r="P57" s="2106"/>
      <c r="Q57" s="461"/>
    </row>
    <row r="58" spans="1:29" s="465" customFormat="1" x14ac:dyDescent="0.2">
      <c r="A58" s="462" t="s">
        <v>2405</v>
      </c>
      <c r="B58" s="463"/>
      <c r="C58" s="1348" t="str">
        <f>YEAR(C7)&amp;"-"&amp;MONTH(C7)</f>
        <v>2022-2</v>
      </c>
      <c r="D58" s="1347">
        <f>EDATE(C58,-1)</f>
        <v>44562</v>
      </c>
      <c r="E58" s="1347">
        <f>EDATE(D58,-1)</f>
        <v>44531</v>
      </c>
      <c r="F58" s="1347">
        <f t="shared" ref="F58:O58" si="19">EDATE(E58,-1)</f>
        <v>44501</v>
      </c>
      <c r="G58" s="1347">
        <f t="shared" si="19"/>
        <v>44470</v>
      </c>
      <c r="H58" s="1347">
        <f t="shared" si="19"/>
        <v>44440</v>
      </c>
      <c r="I58" s="1347">
        <f t="shared" si="19"/>
        <v>44409</v>
      </c>
      <c r="J58" s="1347">
        <f t="shared" si="19"/>
        <v>44378</v>
      </c>
      <c r="K58" s="1347">
        <f t="shared" si="19"/>
        <v>44348</v>
      </c>
      <c r="L58" s="1347">
        <f t="shared" si="19"/>
        <v>44317</v>
      </c>
      <c r="M58" s="1347">
        <f t="shared" si="19"/>
        <v>44287</v>
      </c>
      <c r="N58" s="1347">
        <f t="shared" si="19"/>
        <v>44256</v>
      </c>
      <c r="O58" s="1347">
        <f t="shared" si="19"/>
        <v>44228</v>
      </c>
      <c r="P58" s="1343"/>
    </row>
    <row r="59" spans="1:29" s="113" customFormat="1" x14ac:dyDescent="0.2">
      <c r="A59" s="466"/>
      <c r="B59" s="2107"/>
      <c r="C59" s="1345">
        <v>100</v>
      </c>
      <c r="D59" s="468"/>
      <c r="E59" s="469"/>
      <c r="F59" s="469"/>
      <c r="G59" s="469"/>
      <c r="H59" s="469"/>
      <c r="I59" s="469"/>
      <c r="J59" s="469"/>
      <c r="K59" s="469"/>
      <c r="L59" s="469"/>
      <c r="M59" s="470"/>
      <c r="N59" s="469"/>
      <c r="O59" s="470"/>
      <c r="P59" s="2108"/>
    </row>
    <row r="60" spans="1:29" s="113" customFormat="1" ht="15" thickBot="1" x14ac:dyDescent="0.25">
      <c r="A60" s="472" t="s">
        <v>2406</v>
      </c>
      <c r="B60" s="473"/>
      <c r="C60" s="474"/>
      <c r="D60" s="475"/>
      <c r="E60" s="475"/>
      <c r="F60" s="475"/>
      <c r="G60" s="475"/>
      <c r="H60" s="475"/>
      <c r="I60" s="475"/>
      <c r="J60" s="475"/>
      <c r="K60" s="475"/>
      <c r="L60" s="475"/>
      <c r="M60" s="476"/>
      <c r="N60" s="475"/>
      <c r="O60" s="476"/>
      <c r="P60" s="2108"/>
      <c r="Q60" s="461"/>
    </row>
    <row r="61" spans="1:29" s="113" customFormat="1" x14ac:dyDescent="0.2">
      <c r="A61" s="478" t="s">
        <v>2407</v>
      </c>
      <c r="B61" s="467"/>
      <c r="C61" s="479" t="s">
        <v>2408</v>
      </c>
      <c r="D61" s="480"/>
      <c r="E61" s="480"/>
      <c r="F61" s="480"/>
      <c r="G61" s="480"/>
      <c r="H61" s="480"/>
      <c r="I61" s="480"/>
      <c r="J61" s="480"/>
      <c r="K61" s="480"/>
      <c r="L61" s="481"/>
      <c r="M61" s="482"/>
      <c r="N61" s="1063"/>
      <c r="O61" s="1063"/>
      <c r="P61" s="2109"/>
      <c r="Q61" s="461"/>
    </row>
    <row r="62" spans="1:29" s="113" customFormat="1" ht="15" thickBot="1" x14ac:dyDescent="0.25">
      <c r="A62" s="478"/>
      <c r="B62" s="467"/>
      <c r="C62" s="468">
        <v>100</v>
      </c>
      <c r="D62" s="469"/>
      <c r="E62" s="469"/>
      <c r="F62" s="469"/>
      <c r="G62" s="469"/>
      <c r="H62" s="469"/>
      <c r="I62" s="469"/>
      <c r="J62" s="469"/>
      <c r="K62" s="469"/>
      <c r="L62" s="469"/>
      <c r="M62" s="471"/>
      <c r="N62" s="1063"/>
      <c r="O62" s="1063"/>
      <c r="P62" s="2108"/>
      <c r="Q62" s="461"/>
    </row>
    <row r="63" spans="1:29" x14ac:dyDescent="0.2">
      <c r="A63" s="484" t="s">
        <v>2409</v>
      </c>
      <c r="B63" s="485" t="s">
        <v>2375</v>
      </c>
      <c r="C63" s="486">
        <f>C9</f>
        <v>0</v>
      </c>
      <c r="D63" s="487"/>
      <c r="E63" s="487"/>
      <c r="F63" s="487"/>
      <c r="G63" s="487"/>
      <c r="H63" s="487"/>
      <c r="I63" s="487"/>
      <c r="J63" s="487"/>
      <c r="K63" s="488"/>
      <c r="L63" s="489"/>
      <c r="M63" s="490"/>
      <c r="N63" s="1064"/>
      <c r="O63" s="1064"/>
      <c r="P63" s="2110"/>
      <c r="Q63" s="461"/>
    </row>
    <row r="64" spans="1:29" ht="15" thickBot="1" x14ac:dyDescent="0.25">
      <c r="A64" s="491"/>
      <c r="B64" s="492"/>
      <c r="C64" s="493">
        <v>100</v>
      </c>
      <c r="D64" s="493"/>
      <c r="E64" s="493"/>
      <c r="F64" s="493"/>
      <c r="G64" s="493"/>
      <c r="H64" s="493"/>
      <c r="I64" s="493"/>
      <c r="J64" s="493"/>
      <c r="K64" s="493"/>
      <c r="L64" s="493"/>
      <c r="M64" s="494"/>
      <c r="N64" s="1065"/>
      <c r="O64" s="1065"/>
      <c r="P64" s="2110"/>
      <c r="Q64" s="461"/>
    </row>
    <row r="65" spans="1:17" ht="29" thickTop="1" x14ac:dyDescent="0.2">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 thickBot="1" x14ac:dyDescent="0.25">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 thickTop="1" x14ac:dyDescent="0.2">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x14ac:dyDescent="0.2">
      <c r="A68" s="491"/>
      <c r="B68" s="505"/>
      <c r="C68" s="506"/>
      <c r="D68" s="506"/>
      <c r="E68" s="506"/>
      <c r="F68" s="506"/>
      <c r="G68" s="506"/>
      <c r="H68" s="506"/>
      <c r="I68" s="506"/>
      <c r="J68" s="506"/>
      <c r="K68" s="507"/>
      <c r="L68" s="508"/>
      <c r="M68" s="509"/>
      <c r="N68" s="1064"/>
      <c r="O68" s="1064"/>
      <c r="P68" s="2110"/>
      <c r="Q68" s="461"/>
    </row>
    <row r="69" spans="1:17" ht="15" thickBot="1" x14ac:dyDescent="0.25">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 thickTop="1" x14ac:dyDescent="0.2">
      <c r="A70" s="510"/>
      <c r="B70" s="495">
        <f>B12</f>
        <v>111</v>
      </c>
      <c r="C70" s="511"/>
      <c r="D70" s="511"/>
      <c r="E70" s="511"/>
      <c r="F70" s="511"/>
      <c r="G70" s="511"/>
      <c r="H70" s="512"/>
      <c r="I70" s="512"/>
      <c r="J70" s="512"/>
      <c r="K70" s="512"/>
      <c r="L70" s="513"/>
      <c r="M70" s="514"/>
      <c r="N70" s="1066"/>
      <c r="O70" s="1066"/>
      <c r="P70" s="2111"/>
      <c r="Q70" s="516"/>
    </row>
    <row r="71" spans="1:17" s="430" customFormat="1" ht="15" thickBot="1" x14ac:dyDescent="0.25">
      <c r="A71" s="510"/>
      <c r="B71" s="500"/>
      <c r="C71" s="517"/>
      <c r="D71" s="493"/>
      <c r="E71" s="493"/>
      <c r="F71" s="493"/>
      <c r="G71" s="493"/>
      <c r="H71" s="493"/>
      <c r="I71" s="493"/>
      <c r="J71" s="493"/>
      <c r="K71" s="493"/>
      <c r="L71" s="493"/>
      <c r="M71" s="494"/>
      <c r="N71" s="1065"/>
      <c r="O71" s="1065"/>
      <c r="P71" s="2111"/>
      <c r="Q71" s="516"/>
    </row>
    <row r="72" spans="1:17" s="430" customFormat="1" ht="15" thickTop="1" x14ac:dyDescent="0.2">
      <c r="A72" s="510"/>
      <c r="B72" s="495">
        <f>B13</f>
        <v>111</v>
      </c>
      <c r="C72" s="511"/>
      <c r="D72" s="511"/>
      <c r="E72" s="511"/>
      <c r="F72" s="511"/>
      <c r="G72" s="511"/>
      <c r="H72" s="512"/>
      <c r="I72" s="512"/>
      <c r="J72" s="512"/>
      <c r="K72" s="512"/>
      <c r="L72" s="513"/>
      <c r="M72" s="514"/>
      <c r="N72" s="1066"/>
      <c r="O72" s="1066"/>
      <c r="P72" s="2112"/>
      <c r="Q72" s="518"/>
    </row>
    <row r="73" spans="1:17" s="430" customFormat="1" ht="15" thickBot="1" x14ac:dyDescent="0.25">
      <c r="A73" s="510"/>
      <c r="B73" s="500"/>
      <c r="C73" s="517"/>
      <c r="D73" s="517"/>
      <c r="E73" s="517"/>
      <c r="F73" s="517"/>
      <c r="G73" s="517"/>
      <c r="H73" s="519"/>
      <c r="I73" s="519"/>
      <c r="J73" s="519"/>
      <c r="K73" s="519"/>
      <c r="L73" s="519"/>
      <c r="M73" s="520"/>
      <c r="N73" s="1066"/>
      <c r="O73" s="1066"/>
      <c r="P73" s="2111"/>
      <c r="Q73" s="516"/>
    </row>
    <row r="74" spans="1:17" s="430" customFormat="1" ht="15" thickTop="1" x14ac:dyDescent="0.2">
      <c r="A74" s="510"/>
      <c r="B74" s="503">
        <f>B14</f>
        <v>111</v>
      </c>
      <c r="C74" s="511"/>
      <c r="D74" s="511"/>
      <c r="E74" s="511"/>
      <c r="F74" s="511"/>
      <c r="G74" s="480"/>
      <c r="H74" s="521"/>
      <c r="I74" s="521"/>
      <c r="J74" s="521"/>
      <c r="K74" s="521"/>
      <c r="L74" s="522"/>
      <c r="M74" s="523"/>
      <c r="N74" s="1066"/>
      <c r="O74" s="1066"/>
      <c r="P74" s="2113"/>
      <c r="Q74" s="516"/>
    </row>
    <row r="75" spans="1:17" s="430" customFormat="1" ht="15" thickBot="1" x14ac:dyDescent="0.25">
      <c r="A75" s="525"/>
      <c r="B75" s="526"/>
      <c r="C75" s="527"/>
      <c r="D75" s="527"/>
      <c r="E75" s="527"/>
      <c r="F75" s="527"/>
      <c r="G75" s="527"/>
      <c r="H75" s="528"/>
      <c r="I75" s="528"/>
      <c r="J75" s="528"/>
      <c r="K75" s="528"/>
      <c r="L75" s="528"/>
      <c r="M75" s="529"/>
      <c r="N75" s="1066"/>
      <c r="O75" s="1066"/>
      <c r="P75" s="2111"/>
      <c r="Q75" s="516"/>
    </row>
    <row r="76" spans="1:17" x14ac:dyDescent="0.2">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 thickBot="1" x14ac:dyDescent="0.25">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 thickTop="1" x14ac:dyDescent="0.2">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 thickBot="1" x14ac:dyDescent="0.25">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 thickTop="1" x14ac:dyDescent="0.2">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 thickBot="1" x14ac:dyDescent="0.25">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 thickTop="1" x14ac:dyDescent="0.2">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 thickBot="1" x14ac:dyDescent="0.25">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 thickTop="1" x14ac:dyDescent="0.2">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 thickBot="1" x14ac:dyDescent="0.25">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 thickTop="1" x14ac:dyDescent="0.2">
      <c r="A86" s="536"/>
      <c r="B86" s="495" t="s">
        <v>2431</v>
      </c>
      <c r="C86" s="511"/>
      <c r="D86" s="511"/>
      <c r="E86" s="511"/>
      <c r="F86" s="511"/>
      <c r="G86" s="511"/>
      <c r="H86" s="511"/>
      <c r="I86" s="511"/>
      <c r="J86" s="511"/>
      <c r="K86" s="511"/>
      <c r="L86" s="537"/>
      <c r="M86" s="538"/>
      <c r="N86" s="1063"/>
      <c r="O86" s="1063"/>
      <c r="P86" s="2110"/>
      <c r="Q86" s="461"/>
    </row>
    <row r="87" spans="1:17" s="113" customFormat="1" ht="15" thickBot="1" x14ac:dyDescent="0.25">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 thickTop="1" x14ac:dyDescent="0.2">
      <c r="A88" s="536"/>
      <c r="B88" s="495" t="s">
        <v>2432</v>
      </c>
      <c r="C88" s="511"/>
      <c r="D88" s="511"/>
      <c r="E88" s="511"/>
      <c r="F88" s="2115"/>
      <c r="G88" s="511"/>
      <c r="H88" s="511"/>
      <c r="I88" s="511"/>
      <c r="J88" s="511"/>
      <c r="K88" s="511"/>
      <c r="L88" s="511"/>
      <c r="M88" s="538"/>
      <c r="N88" s="1063"/>
      <c r="O88" s="1063"/>
      <c r="P88" s="2110"/>
      <c r="Q88" s="461"/>
    </row>
    <row r="89" spans="1:17" s="113" customFormat="1" ht="15" thickBot="1" x14ac:dyDescent="0.25">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 thickTop="1" x14ac:dyDescent="0.2">
      <c r="A90" s="510"/>
      <c r="B90" s="495">
        <f>B27</f>
        <v>111</v>
      </c>
      <c r="C90" s="511"/>
      <c r="D90" s="511"/>
      <c r="E90" s="511"/>
      <c r="F90" s="511"/>
      <c r="G90" s="511"/>
      <c r="H90" s="512"/>
      <c r="I90" s="512"/>
      <c r="J90" s="512"/>
      <c r="K90" s="512"/>
      <c r="L90" s="513"/>
      <c r="M90" s="514"/>
      <c r="N90" s="1066"/>
      <c r="O90" s="1066"/>
      <c r="P90" s="2111"/>
      <c r="Q90" s="516"/>
    </row>
    <row r="91" spans="1:17" s="430" customFormat="1" ht="15" thickBot="1" x14ac:dyDescent="0.25">
      <c r="A91" s="510"/>
      <c r="B91" s="500"/>
      <c r="C91" s="517"/>
      <c r="D91" s="517"/>
      <c r="E91" s="517"/>
      <c r="F91" s="517"/>
      <c r="G91" s="517"/>
      <c r="H91" s="519"/>
      <c r="I91" s="519"/>
      <c r="J91" s="519"/>
      <c r="K91" s="519"/>
      <c r="L91" s="519"/>
      <c r="M91" s="520"/>
      <c r="N91" s="1066"/>
      <c r="O91" s="1066"/>
      <c r="P91" s="2111"/>
      <c r="Q91" s="516"/>
    </row>
    <row r="92" spans="1:17" ht="15" thickTop="1" x14ac:dyDescent="0.2">
      <c r="A92" s="491"/>
      <c r="B92" s="495">
        <f>B28</f>
        <v>111</v>
      </c>
      <c r="C92" s="511"/>
      <c r="D92" s="511"/>
      <c r="E92" s="511"/>
      <c r="F92" s="511"/>
      <c r="G92" s="540"/>
      <c r="H92" s="540"/>
      <c r="I92" s="540"/>
      <c r="J92" s="540"/>
      <c r="K92" s="541"/>
      <c r="L92" s="542"/>
      <c r="M92" s="543"/>
      <c r="N92" s="1064"/>
      <c r="O92" s="1064"/>
      <c r="P92" s="2110"/>
      <c r="Q92" s="461"/>
    </row>
    <row r="93" spans="1:17" ht="15" thickBot="1" x14ac:dyDescent="0.25">
      <c r="A93" s="491"/>
      <c r="B93" s="500"/>
      <c r="C93" s="517"/>
      <c r="D93" s="493"/>
      <c r="E93" s="493"/>
      <c r="F93" s="493"/>
      <c r="G93" s="493"/>
      <c r="H93" s="493"/>
      <c r="I93" s="493"/>
      <c r="J93" s="493"/>
      <c r="K93" s="493"/>
      <c r="L93" s="493"/>
      <c r="M93" s="494"/>
      <c r="N93" s="1065"/>
      <c r="O93" s="1065"/>
      <c r="P93" s="2110"/>
      <c r="Q93" s="461"/>
    </row>
    <row r="94" spans="1:17" ht="15" thickTop="1" x14ac:dyDescent="0.2">
      <c r="A94" s="491"/>
      <c r="B94" s="495">
        <f>B29</f>
        <v>111</v>
      </c>
      <c r="C94" s="511"/>
      <c r="D94" s="511"/>
      <c r="E94" s="511"/>
      <c r="F94" s="511"/>
      <c r="G94" s="540"/>
      <c r="H94" s="540"/>
      <c r="I94" s="540"/>
      <c r="J94" s="540"/>
      <c r="K94" s="541"/>
      <c r="L94" s="542"/>
      <c r="M94" s="543"/>
      <c r="N94" s="1064"/>
      <c r="O94" s="1064"/>
      <c r="P94" s="2110"/>
      <c r="Q94" s="461"/>
    </row>
    <row r="95" spans="1:17" ht="15" thickBot="1" x14ac:dyDescent="0.25">
      <c r="A95" s="491"/>
      <c r="B95" s="500"/>
      <c r="C95" s="517"/>
      <c r="D95" s="517"/>
      <c r="E95" s="517"/>
      <c r="F95" s="517"/>
      <c r="G95" s="493"/>
      <c r="H95" s="493"/>
      <c r="I95" s="493"/>
      <c r="J95" s="493"/>
      <c r="K95" s="493"/>
      <c r="L95" s="493"/>
      <c r="M95" s="494"/>
      <c r="N95" s="1065"/>
      <c r="O95" s="1065"/>
      <c r="P95" s="2110"/>
      <c r="Q95" s="461"/>
    </row>
    <row r="96" spans="1:17" ht="15" thickTop="1" x14ac:dyDescent="0.2">
      <c r="A96" s="491"/>
      <c r="B96" s="495">
        <f>B30</f>
        <v>111</v>
      </c>
      <c r="C96" s="511"/>
      <c r="D96" s="511"/>
      <c r="E96" s="511"/>
      <c r="F96" s="511"/>
      <c r="G96" s="540"/>
      <c r="H96" s="540"/>
      <c r="I96" s="540"/>
      <c r="J96" s="540"/>
      <c r="K96" s="541"/>
      <c r="L96" s="542"/>
      <c r="M96" s="543"/>
      <c r="N96" s="1064"/>
      <c r="O96" s="1064"/>
      <c r="P96" s="2110"/>
      <c r="Q96" s="461"/>
    </row>
    <row r="97" spans="1:17" ht="15" thickBot="1" x14ac:dyDescent="0.25">
      <c r="A97" s="491"/>
      <c r="B97" s="500"/>
      <c r="C97" s="527"/>
      <c r="D97" s="527"/>
      <c r="E97" s="527"/>
      <c r="F97" s="527"/>
      <c r="G97" s="493"/>
      <c r="H97" s="493"/>
      <c r="I97" s="493"/>
      <c r="J97" s="493"/>
      <c r="K97" s="493"/>
      <c r="L97" s="493"/>
      <c r="M97" s="494"/>
      <c r="N97" s="1065"/>
      <c r="O97" s="1065"/>
      <c r="P97" s="2110"/>
      <c r="Q97" s="461"/>
    </row>
    <row r="98" spans="1:17" ht="15" thickTop="1" x14ac:dyDescent="0.2">
      <c r="A98" s="491"/>
      <c r="B98" s="503">
        <f>B31</f>
        <v>111</v>
      </c>
      <c r="C98" s="544"/>
      <c r="D98" s="544"/>
      <c r="E98" s="544"/>
      <c r="F98" s="544"/>
      <c r="G98" s="544"/>
      <c r="H98" s="544"/>
      <c r="I98" s="544"/>
      <c r="J98" s="544"/>
      <c r="K98" s="545"/>
      <c r="L98" s="546"/>
      <c r="M98" s="547"/>
      <c r="N98" s="1064"/>
      <c r="O98" s="1064"/>
      <c r="P98" s="2110"/>
      <c r="Q98" s="461"/>
    </row>
    <row r="99" spans="1:17" ht="15" thickBot="1" x14ac:dyDescent="0.25">
      <c r="A99" s="2116"/>
      <c r="B99" s="526"/>
      <c r="C99" s="548"/>
      <c r="D99" s="548"/>
      <c r="E99" s="548"/>
      <c r="F99" s="548"/>
      <c r="G99" s="548"/>
      <c r="H99" s="548"/>
      <c r="I99" s="548"/>
      <c r="J99" s="548"/>
      <c r="K99" s="548"/>
      <c r="L99" s="548"/>
      <c r="M99" s="549"/>
      <c r="N99" s="1065"/>
      <c r="O99" s="1065"/>
      <c r="P99" s="2110"/>
      <c r="Q99" s="461"/>
    </row>
    <row r="100" spans="1:17" x14ac:dyDescent="0.2">
      <c r="A100" s="484" t="s">
        <v>2384</v>
      </c>
      <c r="B100" s="485" t="s">
        <v>2433</v>
      </c>
      <c r="C100" s="487"/>
      <c r="D100" s="487"/>
      <c r="E100" s="487"/>
      <c r="F100" s="487"/>
      <c r="G100" s="487"/>
      <c r="H100" s="487"/>
      <c r="I100" s="487"/>
      <c r="J100" s="487"/>
      <c r="K100" s="488"/>
      <c r="L100" s="489"/>
      <c r="M100" s="490"/>
      <c r="N100" s="1064"/>
      <c r="O100" s="1064"/>
      <c r="P100" s="2110"/>
      <c r="Q100" s="461"/>
    </row>
    <row r="101" spans="1:17" ht="15" thickBot="1" x14ac:dyDescent="0.25">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 thickTop="1" x14ac:dyDescent="0.2">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x14ac:dyDescent="0.2">
      <c r="A103" s="550"/>
      <c r="B103" s="551"/>
      <c r="C103" s="552"/>
      <c r="D103" s="552"/>
      <c r="E103" s="552"/>
      <c r="F103" s="552"/>
      <c r="G103" s="552"/>
      <c r="H103" s="552"/>
      <c r="I103" s="552"/>
      <c r="J103" s="553"/>
      <c r="K103" s="553"/>
      <c r="L103" s="554"/>
      <c r="M103" s="555"/>
      <c r="N103" s="1066"/>
      <c r="O103" s="1066"/>
      <c r="P103" s="2111"/>
      <c r="Q103" s="516"/>
    </row>
    <row r="104" spans="1:17" s="430" customFormat="1" ht="15" thickBot="1" x14ac:dyDescent="0.25">
      <c r="A104" s="510"/>
      <c r="B104" s="500"/>
      <c r="C104" s="517"/>
      <c r="D104" s="493"/>
      <c r="E104" s="493"/>
      <c r="F104" s="493"/>
      <c r="G104" s="493"/>
      <c r="H104" s="493"/>
      <c r="I104" s="493"/>
      <c r="J104" s="493"/>
      <c r="K104" s="493"/>
      <c r="L104" s="493"/>
      <c r="M104" s="493"/>
      <c r="N104" s="1065"/>
      <c r="O104" s="1065"/>
      <c r="P104" s="2111"/>
      <c r="Q104" s="516"/>
    </row>
    <row r="105" spans="1:17" ht="15" thickTop="1" x14ac:dyDescent="0.2">
      <c r="A105" s="556"/>
      <c r="B105" s="495" t="s">
        <v>2435</v>
      </c>
      <c r="C105" s="511"/>
      <c r="D105" s="511"/>
      <c r="E105" s="540"/>
      <c r="F105" s="540"/>
      <c r="G105" s="540"/>
      <c r="H105" s="540"/>
      <c r="I105" s="540"/>
      <c r="J105" s="540"/>
      <c r="K105" s="541"/>
      <c r="L105" s="542"/>
      <c r="M105" s="543"/>
      <c r="N105" s="1064"/>
      <c r="O105" s="1064"/>
      <c r="P105" s="2110"/>
      <c r="Q105" s="461"/>
    </row>
    <row r="106" spans="1:17" ht="15" thickBot="1" x14ac:dyDescent="0.25">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x14ac:dyDescent="0.2">
      <c r="A107" s="556"/>
      <c r="B107" s="495" t="s">
        <v>2436</v>
      </c>
      <c r="C107" s="540"/>
      <c r="D107" s="540"/>
      <c r="E107" s="540"/>
      <c r="F107" s="540"/>
      <c r="G107" s="540"/>
      <c r="H107" s="540"/>
      <c r="I107" s="540"/>
      <c r="J107" s="540"/>
      <c r="K107" s="541"/>
      <c r="L107" s="542"/>
      <c r="M107" s="543"/>
      <c r="N107" s="1064"/>
      <c r="O107" s="1064"/>
      <c r="P107" s="2110"/>
      <c r="Q107" s="461"/>
    </row>
    <row r="108" spans="1:17" ht="15" thickBot="1" x14ac:dyDescent="0.25">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x14ac:dyDescent="0.2">
      <c r="A109" s="556"/>
      <c r="B109" s="495" t="s">
        <v>2437</v>
      </c>
      <c r="C109" s="511"/>
      <c r="D109" s="511"/>
      <c r="E109" s="511"/>
      <c r="F109" s="540"/>
      <c r="G109" s="540"/>
      <c r="H109" s="540"/>
      <c r="I109" s="540"/>
      <c r="J109" s="540"/>
      <c r="K109" s="541"/>
      <c r="L109" s="542"/>
      <c r="M109" s="543"/>
      <c r="N109" s="1064"/>
      <c r="O109" s="1064"/>
      <c r="P109" s="2110"/>
      <c r="Q109" s="461"/>
    </row>
    <row r="110" spans="1:17" ht="15" thickBot="1" x14ac:dyDescent="0.25">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x14ac:dyDescent="0.2">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x14ac:dyDescent="0.2">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 thickBot="1" x14ac:dyDescent="0.25">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x14ac:dyDescent="0.2">
      <c r="A114" s="556"/>
      <c r="B114" s="495" t="s">
        <v>2438</v>
      </c>
      <c r="C114" s="511"/>
      <c r="D114" s="511"/>
      <c r="E114" s="540"/>
      <c r="F114" s="540"/>
      <c r="G114" s="540"/>
      <c r="H114" s="540"/>
      <c r="I114" s="540"/>
      <c r="J114" s="540"/>
      <c r="K114" s="541"/>
      <c r="L114" s="542"/>
      <c r="M114" s="543"/>
      <c r="N114" s="1064"/>
      <c r="O114" s="1064"/>
      <c r="P114" s="2110"/>
      <c r="Q114" s="461"/>
    </row>
    <row r="115" spans="1:17" ht="15" thickBot="1" x14ac:dyDescent="0.25">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x14ac:dyDescent="0.2">
      <c r="A116" s="556"/>
      <c r="B116" s="495" t="s">
        <v>2439</v>
      </c>
      <c r="C116" s="511"/>
      <c r="D116" s="511"/>
      <c r="E116" s="511"/>
      <c r="F116" s="511"/>
      <c r="G116" s="511"/>
      <c r="H116" s="540"/>
      <c r="I116" s="540"/>
      <c r="J116" s="540"/>
      <c r="K116" s="541"/>
      <c r="L116" s="542"/>
      <c r="M116" s="543"/>
      <c r="N116" s="1064"/>
      <c r="O116" s="1064"/>
      <c r="P116" s="2110"/>
      <c r="Q116" s="461"/>
    </row>
    <row r="117" spans="1:17" ht="15" thickBot="1" x14ac:dyDescent="0.25">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x14ac:dyDescent="0.2">
      <c r="A118" s="556"/>
      <c r="B118" s="495" t="s">
        <v>2440</v>
      </c>
      <c r="C118" s="540"/>
      <c r="D118" s="540"/>
      <c r="E118" s="540"/>
      <c r="F118" s="540"/>
      <c r="G118" s="540"/>
      <c r="H118" s="540"/>
      <c r="I118" s="540"/>
      <c r="J118" s="540"/>
      <c r="K118" s="541"/>
      <c r="L118" s="542"/>
      <c r="M118" s="543"/>
      <c r="N118" s="1064"/>
      <c r="O118" s="1064"/>
      <c r="P118" s="2110"/>
      <c r="Q118" s="461"/>
    </row>
    <row r="119" spans="1:17" ht="15" thickBot="1" x14ac:dyDescent="0.25">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9" thickTop="1" x14ac:dyDescent="0.2">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 thickBot="1" x14ac:dyDescent="0.25">
      <c r="A121" s="510"/>
      <c r="B121" s="492"/>
      <c r="C121" s="517"/>
      <c r="D121" s="493"/>
      <c r="E121" s="493"/>
      <c r="F121" s="493"/>
      <c r="G121" s="493"/>
      <c r="H121" s="493"/>
      <c r="I121" s="493"/>
      <c r="J121" s="493"/>
      <c r="K121" s="493"/>
      <c r="L121" s="493"/>
      <c r="M121" s="493"/>
      <c r="N121" s="1066"/>
      <c r="O121" s="1066"/>
      <c r="P121" s="2111"/>
      <c r="Q121" s="516"/>
    </row>
    <row r="122" spans="1:17" ht="15" thickTop="1" x14ac:dyDescent="0.2">
      <c r="A122" s="556"/>
      <c r="B122" s="495" t="s">
        <v>2441</v>
      </c>
      <c r="C122" s="511"/>
      <c r="D122" s="511"/>
      <c r="E122" s="511"/>
      <c r="F122" s="540"/>
      <c r="G122" s="540"/>
      <c r="H122" s="540"/>
      <c r="I122" s="540"/>
      <c r="J122" s="540"/>
      <c r="K122" s="541"/>
      <c r="L122" s="542"/>
      <c r="M122" s="543"/>
      <c r="N122" s="1064"/>
      <c r="O122" s="1064"/>
      <c r="P122" s="2110"/>
      <c r="Q122" s="461"/>
    </row>
    <row r="123" spans="1:17" ht="15" thickBot="1" x14ac:dyDescent="0.25">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x14ac:dyDescent="0.2">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 thickBot="1" x14ac:dyDescent="0.25">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x14ac:dyDescent="0.2">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 thickBot="1" x14ac:dyDescent="0.25">
      <c r="A127" s="510"/>
      <c r="B127" s="500"/>
      <c r="C127" s="517"/>
      <c r="D127" s="493"/>
      <c r="E127" s="493"/>
      <c r="F127" s="493"/>
      <c r="G127" s="517"/>
      <c r="H127" s="519"/>
      <c r="I127" s="519"/>
      <c r="J127" s="519"/>
      <c r="K127" s="519"/>
      <c r="L127" s="519"/>
      <c r="M127" s="520"/>
      <c r="N127" s="1066"/>
      <c r="O127" s="1066"/>
      <c r="P127" s="2111"/>
      <c r="Q127" s="516"/>
    </row>
    <row r="128" spans="1:17" ht="15" thickTop="1" x14ac:dyDescent="0.2">
      <c r="A128" s="556"/>
      <c r="B128" s="495">
        <f>B45</f>
        <v>111</v>
      </c>
      <c r="C128" s="511"/>
      <c r="D128" s="511"/>
      <c r="E128" s="511"/>
      <c r="F128" s="511"/>
      <c r="G128" s="540"/>
      <c r="H128" s="540"/>
      <c r="I128" s="540"/>
      <c r="J128" s="540"/>
      <c r="K128" s="541"/>
      <c r="L128" s="542"/>
      <c r="M128" s="543"/>
      <c r="N128" s="1064"/>
      <c r="O128" s="1064"/>
      <c r="P128" s="2110"/>
      <c r="Q128" s="461"/>
    </row>
    <row r="129" spans="1:17" ht="15" thickBot="1" x14ac:dyDescent="0.25">
      <c r="A129" s="491"/>
      <c r="B129" s="500"/>
      <c r="C129" s="517"/>
      <c r="D129" s="517"/>
      <c r="E129" s="517"/>
      <c r="F129" s="517"/>
      <c r="G129" s="493"/>
      <c r="H129" s="493"/>
      <c r="I129" s="493"/>
      <c r="J129" s="493"/>
      <c r="K129" s="493"/>
      <c r="L129" s="493"/>
      <c r="M129" s="494"/>
      <c r="N129" s="1065"/>
      <c r="O129" s="1065"/>
      <c r="P129" s="2110"/>
      <c r="Q129" s="461"/>
    </row>
    <row r="130" spans="1:17" ht="15" thickTop="1" x14ac:dyDescent="0.2">
      <c r="A130" s="556"/>
      <c r="B130" s="503">
        <f>B46</f>
        <v>111</v>
      </c>
      <c r="C130" s="511"/>
      <c r="D130" s="511"/>
      <c r="E130" s="511"/>
      <c r="F130" s="511"/>
      <c r="G130" s="544"/>
      <c r="H130" s="544"/>
      <c r="I130" s="544"/>
      <c r="J130" s="544"/>
      <c r="K130" s="480"/>
      <c r="L130" s="481"/>
      <c r="M130" s="547"/>
      <c r="N130" s="1064"/>
      <c r="O130" s="1064"/>
      <c r="P130" s="2110"/>
      <c r="Q130" s="461"/>
    </row>
    <row r="131" spans="1:17" ht="15" thickBot="1" x14ac:dyDescent="0.25">
      <c r="A131" s="2116"/>
      <c r="B131" s="526"/>
      <c r="C131" s="527"/>
      <c r="D131" s="527"/>
      <c r="E131" s="527"/>
      <c r="F131" s="527"/>
      <c r="G131" s="548"/>
      <c r="H131" s="548"/>
      <c r="I131" s="548"/>
      <c r="J131" s="548"/>
      <c r="K131" s="548"/>
      <c r="L131" s="548"/>
      <c r="M131" s="549"/>
      <c r="N131" s="1065"/>
      <c r="O131" s="1065"/>
      <c r="P131" s="2110"/>
      <c r="Q131" s="461"/>
    </row>
    <row r="136" spans="1:17" ht="15" thickBot="1" x14ac:dyDescent="0.25">
      <c r="B136" s="2117" t="s">
        <v>2443</v>
      </c>
    </row>
    <row r="137" spans="1:17" ht="16" x14ac:dyDescent="0.2">
      <c r="B137" s="2118" t="s">
        <v>2444</v>
      </c>
      <c r="C137" s="2119"/>
      <c r="D137" s="2119"/>
      <c r="E137" s="2119"/>
      <c r="F137" s="2119"/>
      <c r="G137" s="2120"/>
      <c r="H137" s="2121"/>
      <c r="I137" s="2122" t="s">
        <v>2445</v>
      </c>
      <c r="J137" s="2119"/>
      <c r="K137" s="2123"/>
    </row>
    <row r="138" spans="1:17" ht="16" x14ac:dyDescent="0.2">
      <c r="B138" s="2124"/>
      <c r="C138" s="142" t="s">
        <v>2446</v>
      </c>
      <c r="D138" s="142" t="s">
        <v>2447</v>
      </c>
      <c r="E138" s="2125" t="s">
        <v>2448</v>
      </c>
      <c r="F138" s="2126" t="s">
        <v>2449</v>
      </c>
      <c r="G138" s="142" t="s">
        <v>2447</v>
      </c>
      <c r="H138" s="143" t="s">
        <v>2448</v>
      </c>
      <c r="I138" s="2127"/>
      <c r="J138" s="142" t="s">
        <v>2450</v>
      </c>
      <c r="K138" s="143" t="s">
        <v>2451</v>
      </c>
    </row>
    <row r="139" spans="1:17" ht="16" x14ac:dyDescent="0.2">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6" x14ac:dyDescent="0.2">
      <c r="B140" s="1004">
        <v>5</v>
      </c>
      <c r="C140" s="1005">
        <v>100</v>
      </c>
      <c r="D140" s="1005"/>
      <c r="E140" s="1006"/>
      <c r="F140" s="1007">
        <v>102</v>
      </c>
      <c r="G140" s="1005"/>
      <c r="H140" s="1008"/>
      <c r="I140" s="2130" t="s">
        <v>2454</v>
      </c>
      <c r="J140" s="277">
        <f>ROUNDUP((J139-1)/2,0)</f>
        <v>10</v>
      </c>
      <c r="K140" s="1009">
        <v>100</v>
      </c>
    </row>
    <row r="141" spans="1:17" ht="16" x14ac:dyDescent="0.2">
      <c r="B141" s="1004">
        <v>4</v>
      </c>
      <c r="C141" s="1005">
        <v>102</v>
      </c>
      <c r="D141" s="1005"/>
      <c r="E141" s="1006"/>
      <c r="F141" s="1007">
        <v>101.5</v>
      </c>
      <c r="G141" s="1005"/>
      <c r="H141" s="1008"/>
      <c r="I141" s="2130" t="s">
        <v>2455</v>
      </c>
      <c r="J141" s="277">
        <v>1</v>
      </c>
      <c r="K141" s="1010">
        <f>ROUND(100+(J141-J140)*K139*100,1)</f>
        <v>96.4</v>
      </c>
    </row>
    <row r="142" spans="1:17" ht="16" x14ac:dyDescent="0.2">
      <c r="B142" s="1004">
        <v>3</v>
      </c>
      <c r="C142" s="1005">
        <v>103</v>
      </c>
      <c r="D142" s="1005"/>
      <c r="E142" s="1006"/>
      <c r="F142" s="1007">
        <v>101</v>
      </c>
      <c r="G142" s="1005"/>
      <c r="H142" s="1008"/>
      <c r="I142" s="2130" t="s">
        <v>2456</v>
      </c>
      <c r="J142" s="277">
        <f>J139</f>
        <v>20</v>
      </c>
      <c r="K142" s="1011">
        <v>95</v>
      </c>
    </row>
    <row r="143" spans="1:17" ht="16" x14ac:dyDescent="0.2">
      <c r="B143" s="1004">
        <v>2</v>
      </c>
      <c r="C143" s="1005">
        <v>100</v>
      </c>
      <c r="D143" s="1005"/>
      <c r="E143" s="1006"/>
      <c r="F143" s="1007">
        <v>100.5</v>
      </c>
      <c r="G143" s="1005"/>
      <c r="H143" s="1008"/>
      <c r="I143" s="2130" t="s">
        <v>2457</v>
      </c>
      <c r="J143" s="1005">
        <v>15</v>
      </c>
      <c r="K143" s="1010">
        <f>ROUND(100+(J143-J140)*K139*100,1)</f>
        <v>102</v>
      </c>
    </row>
    <row r="144" spans="1:17" ht="16" x14ac:dyDescent="0.2">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7" thickBot="1" x14ac:dyDescent="0.25">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x14ac:dyDescent="0.2">
      <c r="B147" s="2117" t="s">
        <v>2461</v>
      </c>
    </row>
    <row r="148" spans="2:11" x14ac:dyDescent="0.2">
      <c r="B148" s="2117"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2060"/>
  </sheetPr>
  <dimension ref="A1:A48"/>
  <sheetViews>
    <sheetView view="pageLayout" zoomScale="80" zoomScaleSheetLayoutView="100" zoomScalePageLayoutView="80" workbookViewId="0">
      <selection activeCell="A14" sqref="A14"/>
    </sheetView>
  </sheetViews>
  <sheetFormatPr baseColWidth="10" defaultColWidth="9" defaultRowHeight="14" x14ac:dyDescent="0.2"/>
  <cols>
    <col min="1" max="1" width="84" style="1664" customWidth="1"/>
    <col min="2" max="16384" width="9" style="1664"/>
  </cols>
  <sheetData>
    <row r="1" spans="1:1" ht="24" x14ac:dyDescent="0.2">
      <c r="A1" s="1663" t="s">
        <v>1576</v>
      </c>
    </row>
    <row r="2" spans="1:1" x14ac:dyDescent="0.2">
      <c r="A2" s="1665"/>
    </row>
    <row r="3" spans="1:1" ht="18" x14ac:dyDescent="0.2">
      <c r="A3" s="1666" t="str">
        <f>项目基本情况!B5&amp;"："</f>
        <v>中行：</v>
      </c>
    </row>
    <row r="4" spans="1:1" ht="18" x14ac:dyDescent="0.2">
      <c r="A4" s="1667" t="str">
        <f>"受贵公司委托，我公司对"&amp;项目基本情况!S1&amp;"进行了预评估。"</f>
        <v>受贵公司委托，我公司对北京市房地产市场价值进行了预评估。</v>
      </c>
    </row>
    <row r="5" spans="1:1" ht="18" x14ac:dyDescent="0.2">
      <c r="A5" s="1668" t="s">
        <v>1577</v>
      </c>
    </row>
    <row r="6" spans="1:1" ht="18" x14ac:dyDescent="0.2">
      <c r="A6" s="1669" t="s">
        <v>1578</v>
      </c>
    </row>
    <row r="7" spans="1:1" ht="18" x14ac:dyDescent="0.2">
      <c r="A7" s="1667"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 x14ac:dyDescent="0.2">
      <c r="A8" s="1670" t="s">
        <v>1579</v>
      </c>
    </row>
    <row r="9" spans="1:1" ht="18" x14ac:dyDescent="0.2">
      <c r="A9" s="1669" t="s">
        <v>1580</v>
      </c>
    </row>
    <row r="10" spans="1:1" ht="18" x14ac:dyDescent="0.2">
      <c r="A10" s="1667"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0" x14ac:dyDescent="0.2">
      <c r="A11" s="1670" t="s">
        <v>1581</v>
      </c>
    </row>
    <row r="12" spans="1:1" ht="18" x14ac:dyDescent="0.2">
      <c r="A12" s="1668" t="s">
        <v>1582</v>
      </c>
    </row>
    <row r="13" spans="1:1" ht="38.25" customHeight="1" x14ac:dyDescent="0.2">
      <c r="A13" s="1671" t="str">
        <f>IF(项目基本情况!B8="抵押",IF(项目基本情况!B5=项目基本情况!B6,定义!C51,定义!B51),定义!D51)</f>
        <v>为估价委托人了解估价对象房地产市场价值提供参考依据。</v>
      </c>
    </row>
    <row r="14" spans="1:1" ht="18" x14ac:dyDescent="0.2">
      <c r="A14" s="1672" t="s">
        <v>1583</v>
      </c>
    </row>
    <row r="15" spans="1:1" ht="18" x14ac:dyDescent="0.2">
      <c r="A15" s="1673" t="str">
        <f>TEXT(项目基本情况!D3,"yyyy年m月d日;;")&amp;IF(项目基本情况!D3=项目基本情况!B3,"（评估专业人员实地查勘之日）","")</f>
        <v>2022年2月14日（评估专业人员实地查勘之日）</v>
      </c>
    </row>
    <row r="16" spans="1:1" ht="18" x14ac:dyDescent="0.2">
      <c r="A16" s="1672" t="s">
        <v>1584</v>
      </c>
    </row>
    <row r="17" spans="1:1" ht="68" x14ac:dyDescent="0.2">
      <c r="A17" s="1667" t="s">
        <v>1585</v>
      </c>
    </row>
    <row r="18" spans="1:1" ht="54" x14ac:dyDescent="0.2">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14日，估价对象规划用途为，土地取得方式为出让，出让国有建设用地使用权剩余土地使用年限为，假定未设立法定优先受偿款下的房地产市场价值。</v>
      </c>
    </row>
    <row r="19" spans="1:1" ht="157.5" customHeight="1" x14ac:dyDescent="0.2">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x14ac:dyDescent="0.2">
      <c r="A20" s="1667" t="str">
        <f>IF(项目基本情况!B9="房地产市场价值","——",IF(项目基本情况!E8="房地产抵押价值",定义!C54,IF(项目基本情况!E8="已注销",定义!C55,定义!C56)))</f>
        <v>——</v>
      </c>
    </row>
    <row r="21" spans="1:1" ht="18" x14ac:dyDescent="0.2">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x14ac:dyDescent="0.2">
      <c r="A22" s="1667" t="str">
        <f>IF(项目基本情况!B9="房地产市场价值","——",IF(项目基本情况!E9="——","",定义!C57))</f>
        <v>——</v>
      </c>
    </row>
    <row r="23" spans="1:1" ht="18" x14ac:dyDescent="0.2">
      <c r="A23" s="1672" t="s">
        <v>1574</v>
      </c>
    </row>
    <row r="24" spans="1:1" ht="18" x14ac:dyDescent="0.2">
      <c r="A24" s="1674" t="str">
        <f>"本次评估采用的主估价方法为"&amp;结果表!K4&amp;"和"&amp;结果表!L4&amp;"。"</f>
        <v>本次评估采用的主估价方法为收益法和比较法。</v>
      </c>
    </row>
    <row r="25" spans="1:1" ht="18" x14ac:dyDescent="0.2">
      <c r="A25" s="1674"/>
    </row>
    <row r="26" spans="1:1" ht="18" x14ac:dyDescent="0.2">
      <c r="A26" s="1675" t="s">
        <v>1575</v>
      </c>
    </row>
    <row r="27" spans="1:1" x14ac:dyDescent="0.2">
      <c r="A27" s="1676"/>
    </row>
    <row r="28" spans="1:1" x14ac:dyDescent="0.2">
      <c r="A28" s="1676"/>
    </row>
    <row r="29" spans="1:1" x14ac:dyDescent="0.2">
      <c r="A29" s="1676"/>
    </row>
    <row r="30" spans="1:1" x14ac:dyDescent="0.2">
      <c r="A30" s="1676"/>
    </row>
    <row r="31" spans="1:1" x14ac:dyDescent="0.2">
      <c r="A31" s="1676"/>
    </row>
    <row r="32" spans="1:1" x14ac:dyDescent="0.2">
      <c r="A32" s="1676"/>
    </row>
    <row r="33" spans="1:1" x14ac:dyDescent="0.2">
      <c r="A33" s="1676"/>
    </row>
    <row r="34" spans="1:1" x14ac:dyDescent="0.2">
      <c r="A34" s="1676"/>
    </row>
    <row r="35" spans="1:1" x14ac:dyDescent="0.2">
      <c r="A35" s="1676"/>
    </row>
    <row r="36" spans="1:1" x14ac:dyDescent="0.2">
      <c r="A36" s="1676"/>
    </row>
    <row r="37" spans="1:1" x14ac:dyDescent="0.2">
      <c r="A37" s="1676"/>
    </row>
    <row r="38" spans="1:1" x14ac:dyDescent="0.2">
      <c r="A38" s="1676"/>
    </row>
    <row r="39" spans="1:1" x14ac:dyDescent="0.2">
      <c r="A39" s="1676"/>
    </row>
    <row r="40" spans="1:1" x14ac:dyDescent="0.2">
      <c r="A40" s="1676"/>
    </row>
    <row r="41" spans="1:1" x14ac:dyDescent="0.2">
      <c r="A41" s="1676"/>
    </row>
    <row r="42" spans="1:1" x14ac:dyDescent="0.2">
      <c r="A42" s="1676"/>
    </row>
    <row r="43" spans="1:1" x14ac:dyDescent="0.2">
      <c r="A43" s="1676"/>
    </row>
    <row r="44" spans="1:1" x14ac:dyDescent="0.2">
      <c r="A44" s="1676"/>
    </row>
    <row r="45" spans="1:1" x14ac:dyDescent="0.2">
      <c r="A45" s="1676"/>
    </row>
    <row r="46" spans="1:1" x14ac:dyDescent="0.2">
      <c r="A46" s="1676"/>
    </row>
    <row r="47" spans="1:1" x14ac:dyDescent="0.2">
      <c r="A47" s="1676"/>
    </row>
    <row r="48" spans="1:1" x14ac:dyDescent="0.2">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x14ac:dyDescent="0.2"/>
  <cols>
    <col min="1" max="1" width="10.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x14ac:dyDescent="0.25">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x14ac:dyDescent="0.2">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x14ac:dyDescent="0.25">
      <c r="A3" s="209" t="s">
        <v>2150</v>
      </c>
      <c r="B3" s="566" t="e">
        <f ca="1">IF(C2="——",C43,ROUND(B2*10000/D3,0))</f>
        <v>#DIV/0!</v>
      </c>
      <c r="C3" s="360" t="s">
        <v>2465</v>
      </c>
      <c r="D3" s="359">
        <f>IF(D1="",'数据-汇总表'!E3,SUMIF('数据-汇总表'!$C19:$C33,D1,'数据-汇总表'!$E19:$E33))</f>
        <v>547.29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x14ac:dyDescent="0.2">
      <c r="A4" s="361" t="s">
        <v>2466</v>
      </c>
      <c r="B4" s="362"/>
      <c r="C4" s="3429" t="s">
        <v>2467</v>
      </c>
      <c r="D4" s="3430"/>
      <c r="E4" s="3431" t="s">
        <v>2468</v>
      </c>
      <c r="F4" s="3432"/>
      <c r="G4" s="3429" t="s">
        <v>2469</v>
      </c>
      <c r="H4" s="3430"/>
      <c r="I4" s="3429" t="s">
        <v>2470</v>
      </c>
      <c r="J4" s="3430"/>
      <c r="K4" s="567" t="s">
        <v>2471</v>
      </c>
      <c r="L4" s="1044"/>
      <c r="M4" s="1045"/>
      <c r="N4" s="1045"/>
      <c r="O4" s="1045"/>
      <c r="P4" s="3464" t="s">
        <v>2472</v>
      </c>
      <c r="Q4" s="3465"/>
      <c r="R4" s="3468" t="s">
        <v>2468</v>
      </c>
      <c r="S4" s="3469"/>
      <c r="T4" s="3468" t="s">
        <v>2469</v>
      </c>
      <c r="U4" s="3469"/>
      <c r="V4" s="3446" t="s">
        <v>2470</v>
      </c>
      <c r="W4" s="3446"/>
      <c r="X4" s="1541"/>
      <c r="Y4" s="3468" t="s">
        <v>2472</v>
      </c>
      <c r="Z4" s="3469"/>
      <c r="AA4" s="3463" t="s">
        <v>2468</v>
      </c>
      <c r="AB4" s="3458" t="s">
        <v>2469</v>
      </c>
      <c r="AC4" s="3463" t="s">
        <v>2470</v>
      </c>
    </row>
    <row r="5" spans="1:29" x14ac:dyDescent="0.2">
      <c r="A5" s="364"/>
      <c r="B5" s="365"/>
      <c r="C5" s="3554" t="s">
        <v>2363</v>
      </c>
      <c r="D5" s="3472"/>
      <c r="E5" s="3556" t="s">
        <v>2364</v>
      </c>
      <c r="F5" s="3454"/>
      <c r="G5" s="3554" t="s">
        <v>2365</v>
      </c>
      <c r="H5" s="3472"/>
      <c r="I5" s="3554" t="s">
        <v>2366</v>
      </c>
      <c r="J5" s="3472"/>
      <c r="K5" s="567"/>
      <c r="L5" s="1044"/>
      <c r="M5" s="1045"/>
      <c r="N5" s="1045"/>
      <c r="O5" s="1045"/>
      <c r="P5" s="3466"/>
      <c r="Q5" s="3436"/>
      <c r="R5" s="3441"/>
      <c r="S5" s="3442"/>
      <c r="T5" s="3441"/>
      <c r="U5" s="3442"/>
      <c r="V5" s="3446"/>
      <c r="W5" s="3446"/>
      <c r="X5" s="1541"/>
      <c r="Y5" s="3441"/>
      <c r="Z5" s="3442"/>
      <c r="AA5" s="3458"/>
      <c r="AB5" s="3458"/>
      <c r="AC5" s="3458"/>
    </row>
    <row r="6" spans="1:29" ht="15" thickBot="1" x14ac:dyDescent="0.25">
      <c r="A6" s="366"/>
      <c r="B6" s="367"/>
      <c r="C6" s="3470" t="s">
        <v>2367</v>
      </c>
      <c r="D6" s="3471"/>
      <c r="E6" s="3555" t="s">
        <v>2367</v>
      </c>
      <c r="F6" s="3456"/>
      <c r="G6" s="3470" t="s">
        <v>2367</v>
      </c>
      <c r="H6" s="3471"/>
      <c r="I6" s="3470" t="s">
        <v>2367</v>
      </c>
      <c r="J6" s="3471"/>
      <c r="K6" s="567" t="s">
        <v>2368</v>
      </c>
      <c r="L6" s="1044"/>
      <c r="M6" s="1045"/>
      <c r="N6" s="1045"/>
      <c r="O6" s="1045"/>
      <c r="P6" s="3467"/>
      <c r="Q6" s="3438"/>
      <c r="R6" s="3441"/>
      <c r="S6" s="3442"/>
      <c r="T6" s="3443"/>
      <c r="U6" s="3444"/>
      <c r="V6" s="3446"/>
      <c r="W6" s="3446"/>
      <c r="X6" s="1541"/>
      <c r="Y6" s="3443"/>
      <c r="Z6" s="3444"/>
      <c r="AA6" s="3459"/>
      <c r="AB6" s="3459"/>
      <c r="AC6" s="3459"/>
    </row>
    <row r="7" spans="1:29" s="113" customFormat="1" ht="15" thickBot="1" x14ac:dyDescent="0.25">
      <c r="A7" s="368" t="s">
        <v>2369</v>
      </c>
      <c r="B7" s="369"/>
      <c r="C7" s="370">
        <f>'数据-取费表'!B2</f>
        <v>44606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1" t="s">
        <v>2370</v>
      </c>
      <c r="Q7" s="3452"/>
      <c r="R7" s="710" t="s">
        <v>17</v>
      </c>
      <c r="S7" s="711">
        <f t="shared" ref="S7:S15" si="0">F7</f>
        <v>0</v>
      </c>
      <c r="T7" s="710" t="s">
        <v>17</v>
      </c>
      <c r="U7" s="711">
        <f t="shared" ref="U7:U15" si="1">H7</f>
        <v>0</v>
      </c>
      <c r="V7" s="710" t="s">
        <v>17</v>
      </c>
      <c r="W7" s="711">
        <f t="shared" ref="W7:W15" si="2">J7</f>
        <v>0</v>
      </c>
      <c r="X7" s="712"/>
      <c r="Y7" s="3451" t="s">
        <v>2370</v>
      </c>
      <c r="Z7" s="3450"/>
      <c r="AA7" s="713" t="e">
        <f>D7/F7</f>
        <v>#DIV/0!</v>
      </c>
      <c r="AB7" s="713" t="e">
        <f>D7/H7</f>
        <v>#DIV/0!</v>
      </c>
      <c r="AC7" s="713" t="e">
        <f>D7/J7</f>
        <v>#DIV/0!</v>
      </c>
    </row>
    <row r="8" spans="1:29" s="113" customFormat="1" ht="15" thickBot="1" x14ac:dyDescent="0.25">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1" t="s">
        <v>2373</v>
      </c>
      <c r="Q8" s="3450"/>
      <c r="R8" s="710" t="s">
        <v>17</v>
      </c>
      <c r="S8" s="711">
        <f t="shared" si="0"/>
        <v>0</v>
      </c>
      <c r="T8" s="710" t="s">
        <v>17</v>
      </c>
      <c r="U8" s="711">
        <f t="shared" si="1"/>
        <v>0</v>
      </c>
      <c r="V8" s="710" t="s">
        <v>17</v>
      </c>
      <c r="W8" s="711">
        <f t="shared" si="2"/>
        <v>0</v>
      </c>
      <c r="X8" s="712"/>
      <c r="Y8" s="3451" t="s">
        <v>2373</v>
      </c>
      <c r="Z8" s="3450"/>
      <c r="AA8" s="713" t="e">
        <f t="shared" ref="AA8:AA40" si="3">D8/F8</f>
        <v>#DIV/0!</v>
      </c>
      <c r="AB8" s="713" t="e">
        <f t="shared" ref="AB8:AB40" si="4">D8/H8</f>
        <v>#DIV/0!</v>
      </c>
      <c r="AC8" s="713" t="e">
        <f t="shared" ref="AC8:AC40" si="5">D8/J8</f>
        <v>#DIV/0!</v>
      </c>
    </row>
    <row r="9" spans="1:29" s="113" customFormat="1" x14ac:dyDescent="0.2">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1" t="s">
        <v>2376</v>
      </c>
      <c r="Q9" s="1529" t="str">
        <f t="shared" ref="Q9:Q15" si="6">B9</f>
        <v>用途</v>
      </c>
      <c r="R9" s="710" t="s">
        <v>17</v>
      </c>
      <c r="S9" s="711">
        <f t="shared" si="0"/>
        <v>100</v>
      </c>
      <c r="T9" s="710" t="s">
        <v>17</v>
      </c>
      <c r="U9" s="711">
        <f t="shared" si="1"/>
        <v>100</v>
      </c>
      <c r="V9" s="710" t="s">
        <v>17</v>
      </c>
      <c r="W9" s="711">
        <f t="shared" si="2"/>
        <v>100</v>
      </c>
      <c r="X9" s="712"/>
      <c r="Y9" s="3311" t="s">
        <v>2377</v>
      </c>
      <c r="Z9" s="55" t="str">
        <f t="shared" ref="Z9:Z15" si="7">Q9</f>
        <v>用途</v>
      </c>
      <c r="AA9" s="713">
        <f t="shared" si="3"/>
        <v>1</v>
      </c>
      <c r="AB9" s="713">
        <f t="shared" si="4"/>
        <v>1</v>
      </c>
      <c r="AC9" s="713">
        <f t="shared" si="5"/>
        <v>1</v>
      </c>
    </row>
    <row r="10" spans="1:29" s="386" customFormat="1" ht="28" x14ac:dyDescent="0.2">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1"/>
      <c r="Q10" s="1529"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6" x14ac:dyDescent="0.2">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1"/>
      <c r="Q11" s="1529"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29" s="113" customFormat="1" ht="16" x14ac:dyDescent="0.2">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411"/>
      <c r="Q12" s="1529">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6" x14ac:dyDescent="0.2">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411"/>
      <c r="Q13" s="1529">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7" thickBot="1" x14ac:dyDescent="0.25">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411"/>
      <c r="Q14" s="1529">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56" x14ac:dyDescent="0.2">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8" t="s">
        <v>2381</v>
      </c>
      <c r="Q15" s="1538" t="str">
        <f t="shared" si="6"/>
        <v>产业集聚程度</v>
      </c>
      <c r="R15" s="714" t="s">
        <v>17</v>
      </c>
      <c r="S15" s="715">
        <f t="shared" si="0"/>
        <v>100</v>
      </c>
      <c r="T15" s="714" t="s">
        <v>17</v>
      </c>
      <c r="U15" s="715">
        <f t="shared" si="1"/>
        <v>100</v>
      </c>
      <c r="V15" s="714" t="s">
        <v>17</v>
      </c>
      <c r="W15" s="715">
        <f t="shared" si="2"/>
        <v>100</v>
      </c>
      <c r="X15" s="1541"/>
      <c r="Y15" s="3418" t="s">
        <v>2381</v>
      </c>
      <c r="Z15" s="1542" t="str">
        <f t="shared" si="7"/>
        <v>产业集聚程度</v>
      </c>
      <c r="AA15" s="1539">
        <f t="shared" si="3"/>
        <v>1</v>
      </c>
      <c r="AB15" s="1539">
        <f t="shared" si="4"/>
        <v>1</v>
      </c>
      <c r="AC15" s="1539">
        <f t="shared" si="5"/>
        <v>1</v>
      </c>
    </row>
    <row r="16" spans="1:29" ht="16" x14ac:dyDescent="0.2">
      <c r="A16" s="387"/>
      <c r="B16" s="405"/>
      <c r="C16" s="406"/>
      <c r="D16" s="407"/>
      <c r="E16" s="406"/>
      <c r="F16" s="408"/>
      <c r="G16" s="406"/>
      <c r="H16" s="409"/>
      <c r="I16" s="406"/>
      <c r="J16" s="407"/>
      <c r="K16" s="572"/>
      <c r="L16" s="1054"/>
      <c r="M16" s="1045"/>
      <c r="N16" s="1045"/>
      <c r="O16" s="1053"/>
      <c r="P16" s="3419"/>
      <c r="Q16" s="1538"/>
      <c r="R16" s="714"/>
      <c r="S16" s="715"/>
      <c r="T16" s="714"/>
      <c r="U16" s="715"/>
      <c r="V16" s="714"/>
      <c r="W16" s="715"/>
      <c r="X16" s="1541"/>
      <c r="Y16" s="3419"/>
      <c r="Z16" s="1542"/>
      <c r="AA16" s="1539">
        <v>1</v>
      </c>
      <c r="AB16" s="1539">
        <v>1</v>
      </c>
      <c r="AC16" s="1539">
        <v>1</v>
      </c>
    </row>
    <row r="17" spans="1:29" ht="84" x14ac:dyDescent="0.2">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9"/>
      <c r="Q17" s="1538" t="str">
        <f>B17</f>
        <v>交通便捷度</v>
      </c>
      <c r="R17" s="714" t="s">
        <v>17</v>
      </c>
      <c r="S17" s="715">
        <f>F17</f>
        <v>100</v>
      </c>
      <c r="T17" s="714" t="s">
        <v>17</v>
      </c>
      <c r="U17" s="715">
        <f>H17</f>
        <v>100</v>
      </c>
      <c r="V17" s="714" t="s">
        <v>17</v>
      </c>
      <c r="W17" s="715">
        <f>J17</f>
        <v>100</v>
      </c>
      <c r="X17" s="1541"/>
      <c r="Y17" s="3419"/>
      <c r="Z17" s="1542" t="str">
        <f>Q17</f>
        <v>交通便捷度</v>
      </c>
      <c r="AA17" s="1539">
        <f t="shared" si="3"/>
        <v>1</v>
      </c>
      <c r="AB17" s="1539">
        <f t="shared" si="4"/>
        <v>1</v>
      </c>
      <c r="AC17" s="1539">
        <f t="shared" si="5"/>
        <v>1</v>
      </c>
    </row>
    <row r="18" spans="1:29" ht="16" x14ac:dyDescent="0.2">
      <c r="A18" s="387"/>
      <c r="B18" s="415"/>
      <c r="C18" s="2089"/>
      <c r="D18" s="409"/>
      <c r="E18" s="2091"/>
      <c r="F18" s="412"/>
      <c r="G18" s="2090"/>
      <c r="H18" s="407"/>
      <c r="I18" s="2091"/>
      <c r="J18" s="407"/>
      <c r="K18" s="572"/>
      <c r="L18" s="1054"/>
      <c r="M18" s="1045"/>
      <c r="N18" s="1045"/>
      <c r="O18" s="1053"/>
      <c r="P18" s="3419"/>
      <c r="Q18" s="1538"/>
      <c r="R18" s="714"/>
      <c r="S18" s="715"/>
      <c r="T18" s="714"/>
      <c r="U18" s="715"/>
      <c r="V18" s="714"/>
      <c r="W18" s="715"/>
      <c r="X18" s="1541"/>
      <c r="Y18" s="3419"/>
      <c r="Z18" s="1542"/>
      <c r="AA18" s="1539">
        <v>1</v>
      </c>
      <c r="AB18" s="1539">
        <v>1</v>
      </c>
      <c r="AC18" s="1539">
        <v>1</v>
      </c>
    </row>
    <row r="19" spans="1:29" ht="42" x14ac:dyDescent="0.2">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9"/>
      <c r="Q19" s="1538" t="str">
        <f>B19</f>
        <v>公共配套设施</v>
      </c>
      <c r="R19" s="714" t="s">
        <v>17</v>
      </c>
      <c r="S19" s="715">
        <f>F19</f>
        <v>100</v>
      </c>
      <c r="T19" s="714" t="s">
        <v>17</v>
      </c>
      <c r="U19" s="715">
        <f>H19</f>
        <v>100</v>
      </c>
      <c r="V19" s="714" t="s">
        <v>17</v>
      </c>
      <c r="W19" s="715">
        <f>J19</f>
        <v>100</v>
      </c>
      <c r="X19" s="1541"/>
      <c r="Y19" s="3419"/>
      <c r="Z19" s="1542" t="str">
        <f>Q19</f>
        <v>公共配套设施</v>
      </c>
      <c r="AA19" s="1539">
        <f t="shared" si="3"/>
        <v>1</v>
      </c>
      <c r="AB19" s="1539">
        <f t="shared" si="4"/>
        <v>1</v>
      </c>
      <c r="AC19" s="1539">
        <f t="shared" si="5"/>
        <v>1</v>
      </c>
    </row>
    <row r="20" spans="1:29" ht="16" x14ac:dyDescent="0.2">
      <c r="A20" s="387"/>
      <c r="B20" s="415"/>
      <c r="C20" s="406"/>
      <c r="D20" s="407"/>
      <c r="E20" s="2086"/>
      <c r="F20" s="408"/>
      <c r="G20" s="2085"/>
      <c r="H20" s="407"/>
      <c r="I20" s="2086"/>
      <c r="J20" s="407"/>
      <c r="K20" s="572"/>
      <c r="L20" s="1054"/>
      <c r="M20" s="1045"/>
      <c r="N20" s="1045"/>
      <c r="O20" s="1053"/>
      <c r="P20" s="3419"/>
      <c r="Q20" s="1538"/>
      <c r="R20" s="714"/>
      <c r="S20" s="715"/>
      <c r="T20" s="714"/>
      <c r="U20" s="715"/>
      <c r="V20" s="714"/>
      <c r="W20" s="715"/>
      <c r="X20" s="1541"/>
      <c r="Y20" s="3419"/>
      <c r="Z20" s="1542"/>
      <c r="AA20" s="1539">
        <v>1</v>
      </c>
      <c r="AB20" s="1539">
        <v>1</v>
      </c>
      <c r="AC20" s="1539">
        <v>1</v>
      </c>
    </row>
    <row r="21" spans="1:29" ht="28" x14ac:dyDescent="0.2">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9"/>
      <c r="Q21" s="1538" t="str">
        <f>B21</f>
        <v>基础设施水平</v>
      </c>
      <c r="R21" s="714" t="s">
        <v>17</v>
      </c>
      <c r="S21" s="715">
        <f>F21</f>
        <v>100</v>
      </c>
      <c r="T21" s="714" t="s">
        <v>17</v>
      </c>
      <c r="U21" s="715">
        <f>H21</f>
        <v>100</v>
      </c>
      <c r="V21" s="714" t="s">
        <v>17</v>
      </c>
      <c r="W21" s="715">
        <f>J21</f>
        <v>100</v>
      </c>
      <c r="X21" s="1541"/>
      <c r="Y21" s="3419"/>
      <c r="Z21" s="1542" t="str">
        <f>Q21</f>
        <v>基础设施水平</v>
      </c>
      <c r="AA21" s="1539">
        <f t="shared" ref="AA21" si="8">D21/F21</f>
        <v>1</v>
      </c>
      <c r="AB21" s="1539">
        <f t="shared" ref="AB21" si="9">D21/H21</f>
        <v>1</v>
      </c>
      <c r="AC21" s="1539">
        <f t="shared" ref="AC21" si="10">D21/J21</f>
        <v>1</v>
      </c>
    </row>
    <row r="22" spans="1:29" ht="16" x14ac:dyDescent="0.2">
      <c r="A22" s="387"/>
      <c r="B22" s="1293"/>
      <c r="C22" s="2089"/>
      <c r="D22" s="407"/>
      <c r="E22" s="406"/>
      <c r="F22" s="408"/>
      <c r="G22" s="406"/>
      <c r="H22" s="407"/>
      <c r="I22" s="406"/>
      <c r="J22" s="407"/>
      <c r="K22" s="1292"/>
      <c r="L22" s="1054"/>
      <c r="M22" s="1045"/>
      <c r="N22" s="1045"/>
      <c r="O22" s="1053"/>
      <c r="P22" s="3419"/>
      <c r="Q22" s="1538"/>
      <c r="R22" s="714"/>
      <c r="S22" s="715"/>
      <c r="T22" s="714"/>
      <c r="U22" s="715"/>
      <c r="V22" s="714"/>
      <c r="W22" s="715"/>
      <c r="X22" s="1541"/>
      <c r="Y22" s="3419"/>
      <c r="Z22" s="1542"/>
      <c r="AA22" s="1539">
        <v>1</v>
      </c>
      <c r="AB22" s="1539">
        <v>1</v>
      </c>
      <c r="AC22" s="1539">
        <v>1</v>
      </c>
    </row>
    <row r="23" spans="1:29" ht="70" x14ac:dyDescent="0.2">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9"/>
      <c r="Q23" s="1538" t="str">
        <f>B23</f>
        <v>环境质量</v>
      </c>
      <c r="R23" s="714" t="s">
        <v>17</v>
      </c>
      <c r="S23" s="715">
        <f>F23</f>
        <v>100</v>
      </c>
      <c r="T23" s="714" t="s">
        <v>17</v>
      </c>
      <c r="U23" s="715">
        <f>H23</f>
        <v>100</v>
      </c>
      <c r="V23" s="714" t="s">
        <v>17</v>
      </c>
      <c r="W23" s="715">
        <f>J23</f>
        <v>100</v>
      </c>
      <c r="X23" s="1541"/>
      <c r="Y23" s="3419"/>
      <c r="Z23" s="1542" t="str">
        <f>Q23</f>
        <v>环境质量</v>
      </c>
      <c r="AA23" s="1539">
        <f t="shared" si="3"/>
        <v>1</v>
      </c>
      <c r="AB23" s="1539">
        <f t="shared" si="4"/>
        <v>1</v>
      </c>
      <c r="AC23" s="1539">
        <f t="shared" si="5"/>
        <v>1</v>
      </c>
    </row>
    <row r="24" spans="1:29" ht="16" x14ac:dyDescent="0.2">
      <c r="A24" s="387"/>
      <c r="B24" s="1293"/>
      <c r="C24" s="406"/>
      <c r="D24" s="407"/>
      <c r="E24" s="2086"/>
      <c r="F24" s="408"/>
      <c r="G24" s="2085"/>
      <c r="H24" s="407"/>
      <c r="I24" s="2086"/>
      <c r="J24" s="407"/>
      <c r="K24" s="572"/>
      <c r="L24" s="1054"/>
      <c r="M24" s="1045"/>
      <c r="N24" s="1045"/>
      <c r="O24" s="1053"/>
      <c r="P24" s="3419"/>
      <c r="Q24" s="1538"/>
      <c r="R24" s="714"/>
      <c r="S24" s="715"/>
      <c r="T24" s="714"/>
      <c r="U24" s="715"/>
      <c r="V24" s="714"/>
      <c r="W24" s="715"/>
      <c r="X24" s="1541"/>
      <c r="Y24" s="3419"/>
      <c r="Z24" s="1542"/>
      <c r="AA24" s="1539">
        <v>1</v>
      </c>
      <c r="AB24" s="1539">
        <v>1</v>
      </c>
      <c r="AC24" s="1539">
        <v>1</v>
      </c>
    </row>
    <row r="25" spans="1:29" ht="16" x14ac:dyDescent="0.2">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9"/>
      <c r="Q25" s="1538">
        <f>B25</f>
        <v>111</v>
      </c>
      <c r="R25" s="714" t="s">
        <v>17</v>
      </c>
      <c r="S25" s="715">
        <f>F25</f>
        <v>100</v>
      </c>
      <c r="T25" s="714" t="s">
        <v>17</v>
      </c>
      <c r="U25" s="715">
        <f>H25</f>
        <v>100</v>
      </c>
      <c r="V25" s="714" t="s">
        <v>17</v>
      </c>
      <c r="W25" s="715">
        <f>J25</f>
        <v>100</v>
      </c>
      <c r="X25" s="1541"/>
      <c r="Y25" s="3419"/>
      <c r="Z25" s="1542">
        <f>Q25</f>
        <v>111</v>
      </c>
      <c r="AA25" s="1539">
        <f t="shared" si="3"/>
        <v>1</v>
      </c>
      <c r="AB25" s="1539">
        <f t="shared" si="4"/>
        <v>1</v>
      </c>
      <c r="AC25" s="1539">
        <f t="shared" si="5"/>
        <v>1</v>
      </c>
    </row>
    <row r="26" spans="1:29" ht="16" x14ac:dyDescent="0.2">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9"/>
      <c r="Q26" s="1538">
        <f t="shared" ref="Q26:Q40" si="11">B26</f>
        <v>111</v>
      </c>
      <c r="R26" s="714" t="s">
        <v>17</v>
      </c>
      <c r="S26" s="715">
        <f>F26</f>
        <v>100</v>
      </c>
      <c r="T26" s="714" t="s">
        <v>17</v>
      </c>
      <c r="U26" s="715">
        <f>H26</f>
        <v>100</v>
      </c>
      <c r="V26" s="714" t="s">
        <v>17</v>
      </c>
      <c r="W26" s="715">
        <f>J26</f>
        <v>100</v>
      </c>
      <c r="X26" s="1541"/>
      <c r="Y26" s="3419"/>
      <c r="Z26" s="1542">
        <f>Q26</f>
        <v>111</v>
      </c>
      <c r="AA26" s="1539">
        <f t="shared" si="3"/>
        <v>1</v>
      </c>
      <c r="AB26" s="1539">
        <f t="shared" si="4"/>
        <v>1</v>
      </c>
      <c r="AC26" s="1539">
        <f t="shared" si="5"/>
        <v>1</v>
      </c>
    </row>
    <row r="27" spans="1:29" s="113" customFormat="1" ht="16" x14ac:dyDescent="0.2">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9"/>
      <c r="Q27" s="1529">
        <f t="shared" si="11"/>
        <v>111</v>
      </c>
      <c r="R27" s="710" t="s">
        <v>17</v>
      </c>
      <c r="S27" s="711">
        <f>F27</f>
        <v>100</v>
      </c>
      <c r="T27" s="710" t="s">
        <v>17</v>
      </c>
      <c r="U27" s="711">
        <f>H27</f>
        <v>100</v>
      </c>
      <c r="V27" s="710" t="s">
        <v>17</v>
      </c>
      <c r="W27" s="711">
        <f>J27</f>
        <v>100</v>
      </c>
      <c r="X27" s="712"/>
      <c r="Y27" s="3419"/>
      <c r="Z27" s="55">
        <f>Q27</f>
        <v>111</v>
      </c>
      <c r="AA27" s="1539">
        <f>D27/F27</f>
        <v>1</v>
      </c>
      <c r="AB27" s="1539">
        <f>D27/H27</f>
        <v>1</v>
      </c>
      <c r="AC27" s="1539">
        <f>D27/J27</f>
        <v>1</v>
      </c>
    </row>
    <row r="28" spans="1:29" ht="17" thickBot="1" x14ac:dyDescent="0.25">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9"/>
      <c r="Q28" s="1538">
        <f t="shared" si="11"/>
        <v>111</v>
      </c>
      <c r="R28" s="714" t="s">
        <v>17</v>
      </c>
      <c r="S28" s="715">
        <f t="shared" ref="S28:S40" si="12">F28</f>
        <v>100</v>
      </c>
      <c r="T28" s="714" t="s">
        <v>17</v>
      </c>
      <c r="U28" s="715">
        <f t="shared" ref="U28:U40" si="13">H28</f>
        <v>100</v>
      </c>
      <c r="V28" s="714" t="s">
        <v>17</v>
      </c>
      <c r="W28" s="715">
        <f t="shared" ref="W28:W40" si="14">J28</f>
        <v>100</v>
      </c>
      <c r="X28" s="1541"/>
      <c r="Y28" s="3419"/>
      <c r="Z28" s="1542">
        <f t="shared" ref="Z28:Z40" si="15">Q28</f>
        <v>111</v>
      </c>
      <c r="AA28" s="1539">
        <f t="shared" si="3"/>
        <v>1</v>
      </c>
      <c r="AB28" s="1539">
        <f t="shared" si="4"/>
        <v>1</v>
      </c>
      <c r="AC28" s="1539">
        <f t="shared" si="5"/>
        <v>1</v>
      </c>
    </row>
    <row r="29" spans="1:29" ht="16" x14ac:dyDescent="0.2">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557" t="s">
        <v>2386</v>
      </c>
      <c r="Q29" s="1538" t="str">
        <f t="shared" si="11"/>
        <v>建筑类型</v>
      </c>
      <c r="R29" s="714" t="s">
        <v>17</v>
      </c>
      <c r="S29" s="715">
        <f t="shared" si="12"/>
        <v>100</v>
      </c>
      <c r="T29" s="714" t="s">
        <v>17</v>
      </c>
      <c r="U29" s="715">
        <f t="shared" si="13"/>
        <v>100</v>
      </c>
      <c r="V29" s="714" t="s">
        <v>17</v>
      </c>
      <c r="W29" s="715">
        <f t="shared" si="14"/>
        <v>100</v>
      </c>
      <c r="X29" s="1541"/>
      <c r="Y29" s="3423" t="s">
        <v>2386</v>
      </c>
      <c r="Z29" s="1542" t="str">
        <f t="shared" si="15"/>
        <v>建筑类型</v>
      </c>
      <c r="AA29" s="1539">
        <f t="shared" si="3"/>
        <v>1</v>
      </c>
      <c r="AB29" s="1539">
        <f t="shared" si="4"/>
        <v>1</v>
      </c>
      <c r="AC29" s="1539">
        <f t="shared" si="5"/>
        <v>1</v>
      </c>
    </row>
    <row r="30" spans="1:29" s="430" customFormat="1" ht="16" x14ac:dyDescent="0.2">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3"/>
      <c r="Q30" s="716" t="str">
        <f t="shared" si="11"/>
        <v>项目建筑规模</v>
      </c>
      <c r="R30" s="717" t="s">
        <v>17</v>
      </c>
      <c r="S30" s="718" t="e">
        <f t="shared" si="12"/>
        <v>#N/A</v>
      </c>
      <c r="T30" s="717" t="s">
        <v>17</v>
      </c>
      <c r="U30" s="718" t="e">
        <f t="shared" si="13"/>
        <v>#N/A</v>
      </c>
      <c r="V30" s="717" t="s">
        <v>17</v>
      </c>
      <c r="W30" s="718" t="e">
        <f t="shared" si="14"/>
        <v>#N/A</v>
      </c>
      <c r="X30" s="719"/>
      <c r="Y30" s="3423"/>
      <c r="Z30" s="720" t="str">
        <f t="shared" si="15"/>
        <v>项目建筑规模</v>
      </c>
      <c r="AA30" s="1539" t="e">
        <f t="shared" si="3"/>
        <v>#N/A</v>
      </c>
      <c r="AB30" s="1539" t="e">
        <f t="shared" si="4"/>
        <v>#N/A</v>
      </c>
      <c r="AC30" s="1539" t="e">
        <f t="shared" si="5"/>
        <v>#N/A</v>
      </c>
    </row>
    <row r="31" spans="1:29" ht="16" x14ac:dyDescent="0.2">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3"/>
      <c r="Q31" s="1538" t="str">
        <f t="shared" si="11"/>
        <v>建筑结构</v>
      </c>
      <c r="R31" s="714" t="s">
        <v>17</v>
      </c>
      <c r="S31" s="715">
        <f t="shared" si="12"/>
        <v>100</v>
      </c>
      <c r="T31" s="714" t="s">
        <v>17</v>
      </c>
      <c r="U31" s="715">
        <f t="shared" si="13"/>
        <v>100</v>
      </c>
      <c r="V31" s="714" t="s">
        <v>17</v>
      </c>
      <c r="W31" s="715">
        <f t="shared" si="14"/>
        <v>100</v>
      </c>
      <c r="X31" s="1541"/>
      <c r="Y31" s="3423"/>
      <c r="Z31" s="1542" t="str">
        <f t="shared" si="15"/>
        <v>建筑结构</v>
      </c>
      <c r="AA31" s="1539">
        <f t="shared" si="3"/>
        <v>1</v>
      </c>
      <c r="AB31" s="1539">
        <f t="shared" si="4"/>
        <v>1</v>
      </c>
      <c r="AC31" s="1539">
        <f t="shared" si="5"/>
        <v>1</v>
      </c>
    </row>
    <row r="32" spans="1:29" ht="16" x14ac:dyDescent="0.2">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3"/>
      <c r="Q32" s="1538" t="str">
        <f t="shared" si="11"/>
        <v>公共部分装修</v>
      </c>
      <c r="R32" s="714" t="s">
        <v>17</v>
      </c>
      <c r="S32" s="715">
        <f t="shared" si="12"/>
        <v>100</v>
      </c>
      <c r="T32" s="714" t="s">
        <v>17</v>
      </c>
      <c r="U32" s="715">
        <f t="shared" si="13"/>
        <v>100</v>
      </c>
      <c r="V32" s="714" t="s">
        <v>17</v>
      </c>
      <c r="W32" s="715">
        <f t="shared" si="14"/>
        <v>100</v>
      </c>
      <c r="X32" s="1541"/>
      <c r="Y32" s="3423"/>
      <c r="Z32" s="1542" t="str">
        <f t="shared" si="15"/>
        <v>公共部分装修</v>
      </c>
      <c r="AA32" s="1539">
        <f t="shared" si="3"/>
        <v>1</v>
      </c>
      <c r="AB32" s="1539">
        <f t="shared" si="4"/>
        <v>1</v>
      </c>
      <c r="AC32" s="1539">
        <f t="shared" si="5"/>
        <v>1</v>
      </c>
    </row>
    <row r="33" spans="1:29" ht="16" x14ac:dyDescent="0.2">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3"/>
      <c r="Q33" s="1538" t="str">
        <f t="shared" si="11"/>
        <v>成新度</v>
      </c>
      <c r="R33" s="714" t="s">
        <v>17</v>
      </c>
      <c r="S33" s="715" t="e">
        <f t="shared" si="12"/>
        <v>#N/A</v>
      </c>
      <c r="T33" s="714" t="s">
        <v>17</v>
      </c>
      <c r="U33" s="715" t="e">
        <f t="shared" si="13"/>
        <v>#N/A</v>
      </c>
      <c r="V33" s="714" t="s">
        <v>17</v>
      </c>
      <c r="W33" s="715" t="e">
        <f t="shared" si="14"/>
        <v>#N/A</v>
      </c>
      <c r="X33" s="1541"/>
      <c r="Y33" s="3423"/>
      <c r="Z33" s="1542" t="str">
        <f t="shared" si="15"/>
        <v>成新度</v>
      </c>
      <c r="AA33" s="1539" t="e">
        <f t="shared" si="3"/>
        <v>#N/A</v>
      </c>
      <c r="AB33" s="1539" t="e">
        <f t="shared" si="4"/>
        <v>#N/A</v>
      </c>
      <c r="AC33" s="1539" t="e">
        <f t="shared" si="5"/>
        <v>#N/A</v>
      </c>
    </row>
    <row r="34" spans="1:29" s="113" customFormat="1" ht="16" x14ac:dyDescent="0.2">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3"/>
      <c r="Q34" s="1529" t="str">
        <f t="shared" si="11"/>
        <v>物业管理</v>
      </c>
      <c r="R34" s="710" t="s">
        <v>17</v>
      </c>
      <c r="S34" s="711">
        <f t="shared" si="12"/>
        <v>100</v>
      </c>
      <c r="T34" s="710" t="s">
        <v>17</v>
      </c>
      <c r="U34" s="711">
        <f t="shared" si="13"/>
        <v>100</v>
      </c>
      <c r="V34" s="710" t="s">
        <v>17</v>
      </c>
      <c r="W34" s="711">
        <f t="shared" si="14"/>
        <v>100</v>
      </c>
      <c r="X34" s="712"/>
      <c r="Y34" s="3423"/>
      <c r="Z34" s="55" t="str">
        <f t="shared" si="15"/>
        <v>物业管理</v>
      </c>
      <c r="AA34" s="713">
        <f t="shared" si="3"/>
        <v>1</v>
      </c>
      <c r="AB34" s="713">
        <f t="shared" si="4"/>
        <v>1</v>
      </c>
      <c r="AC34" s="713">
        <f t="shared" si="5"/>
        <v>1</v>
      </c>
    </row>
    <row r="35" spans="1:29" ht="16" x14ac:dyDescent="0.2">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3" t="s">
        <v>2386</v>
      </c>
      <c r="Q35" s="1538" t="str">
        <f t="shared" si="11"/>
        <v>市政基础设施</v>
      </c>
      <c r="R35" s="714" t="s">
        <v>17</v>
      </c>
      <c r="S35" s="715">
        <f t="shared" si="12"/>
        <v>100</v>
      </c>
      <c r="T35" s="714" t="s">
        <v>17</v>
      </c>
      <c r="U35" s="715">
        <f t="shared" si="13"/>
        <v>100</v>
      </c>
      <c r="V35" s="714" t="s">
        <v>17</v>
      </c>
      <c r="W35" s="715">
        <f t="shared" si="14"/>
        <v>100</v>
      </c>
      <c r="X35" s="1541"/>
      <c r="Y35" s="3423" t="s">
        <v>2386</v>
      </c>
      <c r="Z35" s="1542" t="str">
        <f t="shared" si="15"/>
        <v>市政基础设施</v>
      </c>
      <c r="AA35" s="1539">
        <f t="shared" si="3"/>
        <v>1</v>
      </c>
      <c r="AB35" s="1539">
        <f t="shared" si="4"/>
        <v>1</v>
      </c>
      <c r="AC35" s="1539">
        <f t="shared" si="5"/>
        <v>1</v>
      </c>
    </row>
    <row r="36" spans="1:29" ht="16" x14ac:dyDescent="0.2">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3"/>
      <c r="Q36" s="1538" t="str">
        <f t="shared" si="11"/>
        <v>内部装修</v>
      </c>
      <c r="R36" s="714" t="s">
        <v>17</v>
      </c>
      <c r="S36" s="715">
        <f t="shared" si="12"/>
        <v>100</v>
      </c>
      <c r="T36" s="714" t="s">
        <v>17</v>
      </c>
      <c r="U36" s="715">
        <f t="shared" si="13"/>
        <v>100</v>
      </c>
      <c r="V36" s="714" t="s">
        <v>17</v>
      </c>
      <c r="W36" s="715">
        <f t="shared" si="14"/>
        <v>100</v>
      </c>
      <c r="X36" s="1541"/>
      <c r="Y36" s="3423"/>
      <c r="Z36" s="1542" t="str">
        <f t="shared" si="15"/>
        <v>内部装修</v>
      </c>
      <c r="AA36" s="1539">
        <f t="shared" si="3"/>
        <v>1</v>
      </c>
      <c r="AB36" s="1539">
        <f t="shared" si="4"/>
        <v>1</v>
      </c>
      <c r="AC36" s="1539">
        <f t="shared" si="5"/>
        <v>1</v>
      </c>
    </row>
    <row r="37" spans="1:29" ht="16" x14ac:dyDescent="0.2">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3"/>
      <c r="Q37" s="1538" t="str">
        <f t="shared" si="11"/>
        <v>内部装修状况</v>
      </c>
      <c r="R37" s="714" t="s">
        <v>17</v>
      </c>
      <c r="S37" s="715">
        <f t="shared" si="12"/>
        <v>100</v>
      </c>
      <c r="T37" s="714" t="s">
        <v>17</v>
      </c>
      <c r="U37" s="715">
        <f t="shared" si="13"/>
        <v>100</v>
      </c>
      <c r="V37" s="714" t="s">
        <v>17</v>
      </c>
      <c r="W37" s="715">
        <f t="shared" si="14"/>
        <v>100</v>
      </c>
      <c r="X37" s="1541"/>
      <c r="Y37" s="3423"/>
      <c r="Z37" s="1542" t="str">
        <f t="shared" si="15"/>
        <v>内部装修状况</v>
      </c>
      <c r="AA37" s="1539">
        <f t="shared" si="3"/>
        <v>1</v>
      </c>
      <c r="AB37" s="1539">
        <f t="shared" si="4"/>
        <v>1</v>
      </c>
      <c r="AC37" s="1539">
        <f t="shared" si="5"/>
        <v>1</v>
      </c>
    </row>
    <row r="38" spans="1:29" s="430" customFormat="1" ht="16" x14ac:dyDescent="0.2">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3"/>
      <c r="Q38" s="716">
        <f t="shared" si="11"/>
        <v>111</v>
      </c>
      <c r="R38" s="717" t="s">
        <v>17</v>
      </c>
      <c r="S38" s="718">
        <f t="shared" si="12"/>
        <v>100</v>
      </c>
      <c r="T38" s="717" t="s">
        <v>17</v>
      </c>
      <c r="U38" s="718">
        <f t="shared" si="13"/>
        <v>100</v>
      </c>
      <c r="V38" s="717" t="s">
        <v>17</v>
      </c>
      <c r="W38" s="718">
        <f t="shared" si="14"/>
        <v>100</v>
      </c>
      <c r="X38" s="719"/>
      <c r="Y38" s="3423"/>
      <c r="Z38" s="720">
        <f t="shared" si="15"/>
        <v>111</v>
      </c>
      <c r="AA38" s="1539">
        <f t="shared" si="3"/>
        <v>1</v>
      </c>
      <c r="AB38" s="1539">
        <f t="shared" si="4"/>
        <v>1</v>
      </c>
      <c r="AC38" s="1539">
        <f t="shared" si="5"/>
        <v>1</v>
      </c>
    </row>
    <row r="39" spans="1:29" ht="16" x14ac:dyDescent="0.2">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3"/>
      <c r="Q39" s="1538">
        <f t="shared" si="11"/>
        <v>111</v>
      </c>
      <c r="R39" s="714" t="s">
        <v>17</v>
      </c>
      <c r="S39" s="715">
        <f t="shared" si="12"/>
        <v>100</v>
      </c>
      <c r="T39" s="714" t="s">
        <v>17</v>
      </c>
      <c r="U39" s="715">
        <f t="shared" si="13"/>
        <v>100</v>
      </c>
      <c r="V39" s="714" t="s">
        <v>17</v>
      </c>
      <c r="W39" s="715">
        <f t="shared" si="14"/>
        <v>100</v>
      </c>
      <c r="X39" s="1541"/>
      <c r="Y39" s="3423"/>
      <c r="Z39" s="1542">
        <f t="shared" si="15"/>
        <v>111</v>
      </c>
      <c r="AA39" s="1539">
        <f t="shared" si="3"/>
        <v>1</v>
      </c>
      <c r="AB39" s="1539">
        <f t="shared" si="4"/>
        <v>1</v>
      </c>
      <c r="AC39" s="1539">
        <f t="shared" si="5"/>
        <v>1</v>
      </c>
    </row>
    <row r="40" spans="1:29" ht="17" thickBot="1" x14ac:dyDescent="0.25">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4"/>
      <c r="Q40" s="1538">
        <f t="shared" si="11"/>
        <v>111</v>
      </c>
      <c r="R40" s="714" t="s">
        <v>17</v>
      </c>
      <c r="S40" s="715">
        <f t="shared" si="12"/>
        <v>100</v>
      </c>
      <c r="T40" s="714" t="s">
        <v>17</v>
      </c>
      <c r="U40" s="715">
        <f t="shared" si="13"/>
        <v>100</v>
      </c>
      <c r="V40" s="714" t="s">
        <v>17</v>
      </c>
      <c r="W40" s="715">
        <f t="shared" si="14"/>
        <v>100</v>
      </c>
      <c r="X40" s="1541"/>
      <c r="Y40" s="3424"/>
      <c r="Z40" s="1542">
        <f t="shared" si="15"/>
        <v>111</v>
      </c>
      <c r="AA40" s="1539">
        <f t="shared" si="3"/>
        <v>1</v>
      </c>
      <c r="AB40" s="1539">
        <f t="shared" si="4"/>
        <v>1</v>
      </c>
      <c r="AC40" s="1539">
        <f t="shared" si="5"/>
        <v>1</v>
      </c>
    </row>
    <row r="41" spans="1:29" x14ac:dyDescent="0.2">
      <c r="A41" s="438" t="s">
        <v>2398</v>
      </c>
      <c r="B41" s="439"/>
      <c r="C41" s="1316" t="s">
        <v>1</v>
      </c>
      <c r="D41" s="1317"/>
      <c r="E41" s="1318"/>
      <c r="F41" s="1319"/>
      <c r="G41" s="1320"/>
      <c r="H41" s="1321"/>
      <c r="I41" s="1318"/>
      <c r="J41" s="1321"/>
      <c r="K41" s="723"/>
      <c r="L41" s="1057"/>
      <c r="M41" s="1058"/>
      <c r="N41" s="1045"/>
      <c r="O41" s="1058"/>
      <c r="P41" s="3411" t="str">
        <f>A41</f>
        <v>成交单价（元/平方米）</v>
      </c>
      <c r="Q41" s="3411"/>
      <c r="R41" s="3425">
        <f>E41</f>
        <v>0</v>
      </c>
      <c r="S41" s="3425"/>
      <c r="T41" s="3425">
        <f>G41</f>
        <v>0</v>
      </c>
      <c r="U41" s="3425"/>
      <c r="V41" s="3425">
        <f>I41</f>
        <v>0</v>
      </c>
      <c r="W41" s="3425"/>
      <c r="X41" s="699"/>
      <c r="Y41" s="721"/>
      <c r="Z41" s="699"/>
      <c r="AA41" s="699"/>
      <c r="AB41" s="699"/>
      <c r="AC41" s="699"/>
    </row>
    <row r="42" spans="1:29" ht="15" thickBot="1" x14ac:dyDescent="0.25">
      <c r="A42" s="445" t="s">
        <v>2490</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411" t="str">
        <f>A42</f>
        <v>比较价值（元/平方米）</v>
      </c>
      <c r="Q42" s="3411"/>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699"/>
      <c r="Y42" s="699"/>
      <c r="Z42" s="699"/>
      <c r="AA42" s="699"/>
      <c r="AB42" s="699"/>
      <c r="AC42" s="699"/>
    </row>
    <row r="43" spans="1:29" ht="15" thickBot="1" x14ac:dyDescent="0.25">
      <c r="A43" s="449" t="s">
        <v>2491</v>
      </c>
      <c r="B43" s="450"/>
      <c r="C43" s="1325" t="e">
        <f>R43</f>
        <v>#DIV/0!</v>
      </c>
      <c r="D43" s="1325"/>
      <c r="E43" s="1325"/>
      <c r="F43" s="1325"/>
      <c r="G43" s="1325"/>
      <c r="H43" s="1325"/>
      <c r="I43" s="1325"/>
      <c r="J43" s="1325"/>
      <c r="K43" s="724"/>
      <c r="L43" s="1057"/>
      <c r="M43" s="1058"/>
      <c r="N43" s="1058"/>
      <c r="O43" s="1058"/>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699"/>
      <c r="Y43" s="699"/>
      <c r="Z43" s="699"/>
      <c r="AA43" s="699"/>
      <c r="AB43" s="699"/>
      <c r="AC43" s="699"/>
    </row>
    <row r="44" spans="1:29" x14ac:dyDescent="0.2">
      <c r="A44" s="2954"/>
      <c r="B44" s="2954"/>
      <c r="C44" s="2954"/>
      <c r="D44" s="2954"/>
      <c r="E44" s="2954"/>
      <c r="F44" s="2954"/>
      <c r="G44" s="2958"/>
      <c r="H44" s="2954"/>
      <c r="I44" s="2954"/>
      <c r="J44" s="2954"/>
      <c r="K44" s="2959"/>
      <c r="L44" s="1020"/>
      <c r="M44" s="1058"/>
      <c r="N44" s="1058"/>
      <c r="O44" s="1058"/>
    </row>
    <row r="45" spans="1:29" x14ac:dyDescent="0.2">
      <c r="A45" s="2954"/>
      <c r="B45" s="2954"/>
      <c r="C45" s="2954"/>
      <c r="D45" s="2954"/>
      <c r="E45" s="2954"/>
      <c r="F45" s="2954"/>
      <c r="G45" s="2954"/>
      <c r="H45" s="2954"/>
      <c r="I45" s="2954"/>
      <c r="J45" s="2954"/>
      <c r="K45" s="2959"/>
      <c r="L45" s="1020"/>
      <c r="M45" s="1058"/>
      <c r="N45" s="1058"/>
      <c r="O45" s="1058"/>
    </row>
    <row r="46" spans="1:29" ht="13.5" customHeight="1" x14ac:dyDescent="0.2">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x14ac:dyDescent="0.2">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x14ac:dyDescent="0.2">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x14ac:dyDescent="0.2">
      <c r="A49" s="2957"/>
      <c r="B49" s="2960"/>
      <c r="C49" s="2961"/>
      <c r="D49" s="2957"/>
      <c r="E49" s="2957"/>
      <c r="F49" s="2957"/>
      <c r="G49" s="2957"/>
      <c r="H49" s="2957"/>
      <c r="I49" s="2957"/>
      <c r="J49" s="2957"/>
      <c r="K49" s="2962"/>
      <c r="L49" s="1061"/>
      <c r="M49" s="1059"/>
      <c r="N49" s="1059"/>
      <c r="O49" s="1059"/>
    </row>
    <row r="50" spans="1:17" x14ac:dyDescent="0.2">
      <c r="A50" s="2954"/>
      <c r="B50" s="2960"/>
      <c r="C50" s="2961"/>
      <c r="D50" s="2954"/>
      <c r="E50" s="2954"/>
      <c r="F50" s="2954"/>
      <c r="G50" s="2954"/>
      <c r="H50" s="2954"/>
      <c r="I50" s="2954"/>
      <c r="J50" s="2954"/>
      <c r="K50" s="2959"/>
      <c r="L50" s="1020"/>
      <c r="M50" s="1058"/>
      <c r="N50" s="1058"/>
      <c r="O50" s="1058"/>
    </row>
    <row r="51" spans="1:17" ht="21" thickBot="1" x14ac:dyDescent="0.25">
      <c r="A51" s="703" t="s">
        <v>2495</v>
      </c>
      <c r="B51" s="699"/>
      <c r="C51" s="704"/>
      <c r="D51" s="704"/>
      <c r="E51" s="704"/>
      <c r="F51" s="705"/>
      <c r="G51" s="705"/>
      <c r="H51" s="704"/>
      <c r="I51" s="704"/>
      <c r="J51" s="704"/>
      <c r="K51" s="1072"/>
      <c r="L51" s="1073"/>
      <c r="M51" s="1071"/>
      <c r="N51" s="1071"/>
      <c r="O51" s="1071"/>
      <c r="P51" s="460"/>
      <c r="Q51" s="461"/>
    </row>
    <row r="52" spans="1:17" s="465" customFormat="1" x14ac:dyDescent="0.2">
      <c r="A52" s="462" t="s">
        <v>2369</v>
      </c>
      <c r="B52" s="463"/>
      <c r="C52" s="1346" t="str">
        <f>YEAR(C7)&amp;"-"&amp;MONTH(C7)</f>
        <v>2022-2</v>
      </c>
      <c r="D52" s="1347">
        <f>EDATE(C52,-1)</f>
        <v>44562</v>
      </c>
      <c r="E52" s="1347">
        <f t="shared" ref="E52:O52" si="16">EDATE(D52,-1)</f>
        <v>44531</v>
      </c>
      <c r="F52" s="1347">
        <f t="shared" si="16"/>
        <v>44501</v>
      </c>
      <c r="G52" s="1347">
        <f t="shared" si="16"/>
        <v>44470</v>
      </c>
      <c r="H52" s="1347">
        <f t="shared" si="16"/>
        <v>44440</v>
      </c>
      <c r="I52" s="1347">
        <f t="shared" si="16"/>
        <v>44409</v>
      </c>
      <c r="J52" s="1347">
        <f t="shared" si="16"/>
        <v>44378</v>
      </c>
      <c r="K52" s="1347">
        <f t="shared" si="16"/>
        <v>44348</v>
      </c>
      <c r="L52" s="1347">
        <f t="shared" si="16"/>
        <v>44317</v>
      </c>
      <c r="M52" s="1347">
        <f t="shared" si="16"/>
        <v>44287</v>
      </c>
      <c r="N52" s="1347">
        <f t="shared" si="16"/>
        <v>44256</v>
      </c>
      <c r="O52" s="1347">
        <f t="shared" si="16"/>
        <v>44228</v>
      </c>
      <c r="P52" s="464"/>
    </row>
    <row r="53" spans="1:17" s="113" customFormat="1" x14ac:dyDescent="0.2">
      <c r="A53" s="466"/>
      <c r="B53" s="467"/>
      <c r="C53" s="1345">
        <v>100</v>
      </c>
      <c r="D53" s="469"/>
      <c r="E53" s="469"/>
      <c r="F53" s="469"/>
      <c r="G53" s="469"/>
      <c r="H53" s="469"/>
      <c r="I53" s="469"/>
      <c r="J53" s="469"/>
      <c r="K53" s="469"/>
      <c r="L53" s="469"/>
      <c r="M53" s="470"/>
      <c r="N53" s="469"/>
      <c r="O53" s="471"/>
      <c r="P53" s="461"/>
    </row>
    <row r="54" spans="1:17" s="113" customFormat="1" ht="15" thickBot="1" x14ac:dyDescent="0.25">
      <c r="A54" s="472" t="s">
        <v>2406</v>
      </c>
      <c r="B54" s="473"/>
      <c r="C54" s="474"/>
      <c r="D54" s="475"/>
      <c r="E54" s="475"/>
      <c r="F54" s="475"/>
      <c r="G54" s="475"/>
      <c r="H54" s="475"/>
      <c r="I54" s="475"/>
      <c r="J54" s="475"/>
      <c r="K54" s="475"/>
      <c r="L54" s="475"/>
      <c r="M54" s="476"/>
      <c r="N54" s="2999"/>
      <c r="O54" s="3000"/>
      <c r="P54" s="461"/>
      <c r="Q54" s="461"/>
    </row>
    <row r="55" spans="1:17" s="113" customFormat="1" x14ac:dyDescent="0.2">
      <c r="A55" s="478" t="s">
        <v>2371</v>
      </c>
      <c r="B55" s="467"/>
      <c r="C55" s="479" t="s">
        <v>2473</v>
      </c>
      <c r="D55" s="480"/>
      <c r="E55" s="480"/>
      <c r="F55" s="480"/>
      <c r="G55" s="480"/>
      <c r="H55" s="480"/>
      <c r="I55" s="480"/>
      <c r="J55" s="480"/>
      <c r="K55" s="480"/>
      <c r="L55" s="481"/>
      <c r="M55" s="482"/>
      <c r="N55" s="1063"/>
      <c r="O55" s="1063"/>
      <c r="P55" s="483"/>
      <c r="Q55" s="461"/>
    </row>
    <row r="56" spans="1:17" s="113" customFormat="1" ht="15" thickBot="1" x14ac:dyDescent="0.25">
      <c r="A56" s="478"/>
      <c r="B56" s="467"/>
      <c r="C56" s="595">
        <v>100</v>
      </c>
      <c r="D56" s="469"/>
      <c r="E56" s="469"/>
      <c r="F56" s="469"/>
      <c r="G56" s="469"/>
      <c r="H56" s="469"/>
      <c r="I56" s="469"/>
      <c r="J56" s="469"/>
      <c r="K56" s="469"/>
      <c r="L56" s="469"/>
      <c r="M56" s="471"/>
      <c r="N56" s="1063"/>
      <c r="O56" s="1063"/>
      <c r="P56" s="461"/>
      <c r="Q56" s="461"/>
    </row>
    <row r="57" spans="1:17" x14ac:dyDescent="0.2">
      <c r="A57" s="484" t="s">
        <v>2409</v>
      </c>
      <c r="B57" s="485" t="s">
        <v>2375</v>
      </c>
      <c r="C57" s="486">
        <f>C9</f>
        <v>0</v>
      </c>
      <c r="D57" s="487"/>
      <c r="E57" s="487"/>
      <c r="F57" s="487"/>
      <c r="G57" s="487"/>
      <c r="H57" s="487"/>
      <c r="I57" s="487"/>
      <c r="J57" s="487"/>
      <c r="K57" s="488"/>
      <c r="L57" s="489"/>
      <c r="M57" s="490"/>
      <c r="N57" s="1064"/>
      <c r="O57" s="1064"/>
      <c r="P57" s="45"/>
      <c r="Q57" s="461"/>
    </row>
    <row r="58" spans="1:17" ht="15" thickBot="1" x14ac:dyDescent="0.25">
      <c r="A58" s="491"/>
      <c r="B58" s="492"/>
      <c r="C58" s="493">
        <v>100</v>
      </c>
      <c r="D58" s="493"/>
      <c r="E58" s="493"/>
      <c r="F58" s="493"/>
      <c r="G58" s="493"/>
      <c r="H58" s="493"/>
      <c r="I58" s="493"/>
      <c r="J58" s="493"/>
      <c r="K58" s="493"/>
      <c r="L58" s="493"/>
      <c r="M58" s="494"/>
      <c r="N58" s="1065"/>
      <c r="O58" s="1065"/>
      <c r="P58" s="45"/>
      <c r="Q58" s="461"/>
    </row>
    <row r="59" spans="1:17" ht="29" thickTop="1" x14ac:dyDescent="0.2">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 thickBot="1" x14ac:dyDescent="0.25">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x14ac:dyDescent="0.2">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x14ac:dyDescent="0.2">
      <c r="A62" s="491"/>
      <c r="B62" s="505"/>
      <c r="C62" s="506"/>
      <c r="D62" s="506"/>
      <c r="E62" s="506"/>
      <c r="F62" s="506"/>
      <c r="G62" s="506"/>
      <c r="H62" s="506"/>
      <c r="I62" s="506"/>
      <c r="J62" s="506"/>
      <c r="K62" s="507"/>
      <c r="L62" s="508"/>
      <c r="M62" s="509"/>
      <c r="N62" s="1064"/>
      <c r="O62" s="1064"/>
      <c r="P62" s="45"/>
      <c r="Q62" s="461"/>
    </row>
    <row r="63" spans="1:17" ht="15" thickBot="1" x14ac:dyDescent="0.25">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 thickTop="1" x14ac:dyDescent="0.2">
      <c r="A64" s="510"/>
      <c r="B64" s="495">
        <f>B12</f>
        <v>111</v>
      </c>
      <c r="C64" s="511"/>
      <c r="D64" s="511"/>
      <c r="E64" s="511"/>
      <c r="F64" s="511"/>
      <c r="G64" s="511"/>
      <c r="H64" s="512"/>
      <c r="I64" s="512"/>
      <c r="J64" s="512"/>
      <c r="K64" s="512"/>
      <c r="L64" s="513"/>
      <c r="M64" s="514"/>
      <c r="N64" s="1066"/>
      <c r="O64" s="1066"/>
      <c r="P64" s="515"/>
      <c r="Q64" s="516"/>
    </row>
    <row r="65" spans="1:17" s="430" customFormat="1" ht="15" thickBot="1" x14ac:dyDescent="0.25">
      <c r="A65" s="510"/>
      <c r="B65" s="500"/>
      <c r="C65" s="517"/>
      <c r="D65" s="493"/>
      <c r="E65" s="493"/>
      <c r="F65" s="493"/>
      <c r="G65" s="493"/>
      <c r="H65" s="493"/>
      <c r="I65" s="493"/>
      <c r="J65" s="493"/>
      <c r="K65" s="493"/>
      <c r="L65" s="493"/>
      <c r="M65" s="494"/>
      <c r="N65" s="1065"/>
      <c r="O65" s="1065"/>
      <c r="P65" s="515"/>
      <c r="Q65" s="516"/>
    </row>
    <row r="66" spans="1:17" s="430" customFormat="1" ht="15" thickTop="1" x14ac:dyDescent="0.2">
      <c r="A66" s="510"/>
      <c r="B66" s="495">
        <f>B13</f>
        <v>111</v>
      </c>
      <c r="C66" s="511"/>
      <c r="D66" s="511"/>
      <c r="E66" s="511"/>
      <c r="F66" s="511"/>
      <c r="G66" s="511"/>
      <c r="H66" s="512"/>
      <c r="I66" s="512"/>
      <c r="J66" s="512"/>
      <c r="K66" s="512"/>
      <c r="L66" s="513"/>
      <c r="M66" s="514"/>
      <c r="N66" s="1066"/>
      <c r="O66" s="1066"/>
      <c r="P66" s="429"/>
      <c r="Q66" s="518"/>
    </row>
    <row r="67" spans="1:17" s="430" customFormat="1" ht="15" thickBot="1" x14ac:dyDescent="0.25">
      <c r="A67" s="510"/>
      <c r="B67" s="500"/>
      <c r="C67" s="517"/>
      <c r="D67" s="493"/>
      <c r="E67" s="493"/>
      <c r="F67" s="493"/>
      <c r="G67" s="517"/>
      <c r="H67" s="519"/>
      <c r="I67" s="519"/>
      <c r="J67" s="519"/>
      <c r="K67" s="519"/>
      <c r="L67" s="519"/>
      <c r="M67" s="520"/>
      <c r="N67" s="1066"/>
      <c r="O67" s="1066"/>
      <c r="P67" s="515"/>
      <c r="Q67" s="516"/>
    </row>
    <row r="68" spans="1:17" s="430" customFormat="1" ht="15" thickTop="1" x14ac:dyDescent="0.2">
      <c r="A68" s="510"/>
      <c r="B68" s="503">
        <f>B14</f>
        <v>111</v>
      </c>
      <c r="C68" s="480"/>
      <c r="D68" s="480"/>
      <c r="E68" s="480"/>
      <c r="F68" s="480"/>
      <c r="G68" s="480"/>
      <c r="H68" s="521"/>
      <c r="I68" s="521"/>
      <c r="J68" s="521"/>
      <c r="K68" s="521"/>
      <c r="L68" s="522"/>
      <c r="M68" s="523"/>
      <c r="N68" s="1066"/>
      <c r="O68" s="1066"/>
      <c r="P68" s="524"/>
      <c r="Q68" s="516"/>
    </row>
    <row r="69" spans="1:17" s="430" customFormat="1" ht="15" thickBot="1" x14ac:dyDescent="0.25">
      <c r="A69" s="525"/>
      <c r="B69" s="526"/>
      <c r="C69" s="527"/>
      <c r="D69" s="527"/>
      <c r="E69" s="527"/>
      <c r="F69" s="527"/>
      <c r="G69" s="527"/>
      <c r="H69" s="528"/>
      <c r="I69" s="528"/>
      <c r="J69" s="528"/>
      <c r="K69" s="528"/>
      <c r="L69" s="528"/>
      <c r="M69" s="529"/>
      <c r="N69" s="1066"/>
      <c r="O69" s="1066"/>
      <c r="P69" s="515"/>
      <c r="Q69" s="516"/>
    </row>
    <row r="70" spans="1:17" x14ac:dyDescent="0.2">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 thickBot="1" x14ac:dyDescent="0.25">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x14ac:dyDescent="0.2">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 thickBot="1" x14ac:dyDescent="0.25">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x14ac:dyDescent="0.2">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 thickBot="1" x14ac:dyDescent="0.25">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x14ac:dyDescent="0.2">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 thickBot="1" x14ac:dyDescent="0.25">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x14ac:dyDescent="0.2">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 thickBot="1" x14ac:dyDescent="0.25">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 thickTop="1" x14ac:dyDescent="0.2">
      <c r="A80" s="536"/>
      <c r="B80" s="495">
        <f>B25</f>
        <v>111</v>
      </c>
      <c r="C80" s="511"/>
      <c r="D80" s="511"/>
      <c r="E80" s="511"/>
      <c r="F80" s="511"/>
      <c r="G80" s="511"/>
      <c r="H80" s="511"/>
      <c r="I80" s="511"/>
      <c r="J80" s="511"/>
      <c r="K80" s="511"/>
      <c r="L80" s="537"/>
      <c r="M80" s="538"/>
      <c r="N80" s="1063"/>
      <c r="O80" s="1063"/>
      <c r="P80" s="45"/>
      <c r="Q80" s="461"/>
    </row>
    <row r="81" spans="1:17" s="113" customFormat="1" ht="15" thickBot="1" x14ac:dyDescent="0.25">
      <c r="A81" s="536"/>
      <c r="B81" s="500"/>
      <c r="C81" s="517"/>
      <c r="D81" s="493"/>
      <c r="E81" s="493"/>
      <c r="F81" s="493"/>
      <c r="G81" s="493"/>
      <c r="H81" s="493"/>
      <c r="I81" s="493"/>
      <c r="J81" s="493"/>
      <c r="K81" s="493"/>
      <c r="L81" s="493"/>
      <c r="M81" s="494"/>
      <c r="N81" s="1065"/>
      <c r="O81" s="1065"/>
      <c r="P81" s="45"/>
      <c r="Q81" s="461"/>
    </row>
    <row r="82" spans="1:17" s="113" customFormat="1" ht="15" thickTop="1" x14ac:dyDescent="0.2">
      <c r="A82" s="536"/>
      <c r="B82" s="495">
        <f>B26</f>
        <v>111</v>
      </c>
      <c r="C82" s="511"/>
      <c r="D82" s="511"/>
      <c r="E82" s="511"/>
      <c r="F82" s="511"/>
      <c r="G82" s="511"/>
      <c r="H82" s="511"/>
      <c r="I82" s="511"/>
      <c r="J82" s="511"/>
      <c r="K82" s="511"/>
      <c r="L82" s="537"/>
      <c r="M82" s="538"/>
      <c r="N82" s="1063"/>
      <c r="O82" s="1063"/>
      <c r="P82" s="45"/>
      <c r="Q82" s="461"/>
    </row>
    <row r="83" spans="1:17" s="113" customFormat="1" ht="15" thickBot="1" x14ac:dyDescent="0.25">
      <c r="A83" s="536"/>
      <c r="B83" s="500"/>
      <c r="C83" s="517"/>
      <c r="D83" s="493"/>
      <c r="E83" s="493"/>
      <c r="F83" s="493"/>
      <c r="G83" s="493"/>
      <c r="H83" s="493"/>
      <c r="I83" s="493"/>
      <c r="J83" s="493"/>
      <c r="K83" s="493"/>
      <c r="L83" s="493"/>
      <c r="M83" s="494"/>
      <c r="N83" s="1065"/>
      <c r="O83" s="1065"/>
      <c r="P83" s="45"/>
      <c r="Q83" s="461"/>
    </row>
    <row r="84" spans="1:17" s="430" customFormat="1" ht="15" thickTop="1" x14ac:dyDescent="0.2">
      <c r="A84" s="510"/>
      <c r="B84" s="495">
        <f>B27</f>
        <v>111</v>
      </c>
      <c r="C84" s="511"/>
      <c r="D84" s="511"/>
      <c r="E84" s="511"/>
      <c r="F84" s="511"/>
      <c r="G84" s="511"/>
      <c r="H84" s="511"/>
      <c r="I84" s="511"/>
      <c r="J84" s="511"/>
      <c r="K84" s="511"/>
      <c r="L84" s="537"/>
      <c r="M84" s="538"/>
      <c r="N84" s="1066"/>
      <c r="O84" s="1066"/>
      <c r="P84" s="515"/>
      <c r="Q84" s="516"/>
    </row>
    <row r="85" spans="1:17" s="430" customFormat="1" ht="15" thickBot="1" x14ac:dyDescent="0.25">
      <c r="A85" s="510"/>
      <c r="B85" s="500"/>
      <c r="C85" s="517"/>
      <c r="D85" s="493"/>
      <c r="E85" s="493"/>
      <c r="F85" s="493"/>
      <c r="G85" s="493"/>
      <c r="H85" s="493"/>
      <c r="I85" s="493"/>
      <c r="J85" s="493"/>
      <c r="K85" s="493"/>
      <c r="L85" s="493"/>
      <c r="M85" s="494"/>
      <c r="N85" s="1066"/>
      <c r="O85" s="1066"/>
      <c r="P85" s="515"/>
      <c r="Q85" s="516"/>
    </row>
    <row r="86" spans="1:17" ht="15" thickTop="1" x14ac:dyDescent="0.2">
      <c r="A86" s="491"/>
      <c r="B86" s="503">
        <f>B28</f>
        <v>111</v>
      </c>
      <c r="C86" s="480"/>
      <c r="D86" s="480"/>
      <c r="E86" s="480"/>
      <c r="F86" s="480"/>
      <c r="G86" s="544"/>
      <c r="H86" s="544"/>
      <c r="I86" s="544"/>
      <c r="J86" s="544"/>
      <c r="K86" s="545"/>
      <c r="L86" s="546"/>
      <c r="M86" s="547"/>
      <c r="N86" s="1064"/>
      <c r="O86" s="1064"/>
      <c r="P86" s="45"/>
      <c r="Q86" s="461"/>
    </row>
    <row r="87" spans="1:17" ht="15" thickBot="1" x14ac:dyDescent="0.25">
      <c r="A87" s="2116"/>
      <c r="B87" s="526"/>
      <c r="C87" s="527"/>
      <c r="D87" s="527"/>
      <c r="E87" s="527"/>
      <c r="F87" s="527"/>
      <c r="G87" s="548"/>
      <c r="H87" s="548"/>
      <c r="I87" s="548"/>
      <c r="J87" s="548"/>
      <c r="K87" s="548"/>
      <c r="L87" s="548"/>
      <c r="M87" s="549"/>
      <c r="N87" s="1065"/>
      <c r="O87" s="1065"/>
      <c r="P87" s="45"/>
      <c r="Q87" s="461"/>
    </row>
    <row r="88" spans="1:17" x14ac:dyDescent="0.2">
      <c r="A88" s="484" t="s">
        <v>2384</v>
      </c>
      <c r="B88" s="485" t="s">
        <v>2433</v>
      </c>
      <c r="C88" s="487"/>
      <c r="D88" s="487"/>
      <c r="E88" s="487"/>
      <c r="F88" s="487"/>
      <c r="G88" s="487"/>
      <c r="H88" s="487"/>
      <c r="I88" s="487"/>
      <c r="J88" s="487"/>
      <c r="K88" s="488"/>
      <c r="L88" s="489"/>
      <c r="M88" s="490"/>
      <c r="N88" s="1064"/>
      <c r="O88" s="1064"/>
      <c r="P88" s="45"/>
      <c r="Q88" s="461"/>
    </row>
    <row r="89" spans="1:17" ht="15" thickBot="1" x14ac:dyDescent="0.25">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x14ac:dyDescent="0.2">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x14ac:dyDescent="0.2">
      <c r="A91" s="550"/>
      <c r="B91" s="551"/>
      <c r="C91" s="552"/>
      <c r="D91" s="552"/>
      <c r="E91" s="552"/>
      <c r="F91" s="552"/>
      <c r="G91" s="552"/>
      <c r="H91" s="552"/>
      <c r="I91" s="552"/>
      <c r="J91" s="553"/>
      <c r="K91" s="553"/>
      <c r="L91" s="554"/>
      <c r="M91" s="555"/>
      <c r="N91" s="1066"/>
      <c r="O91" s="1066"/>
      <c r="P91" s="515"/>
      <c r="Q91" s="516"/>
    </row>
    <row r="92" spans="1:17" s="430" customFormat="1" ht="15" thickBot="1" x14ac:dyDescent="0.25">
      <c r="A92" s="510"/>
      <c r="B92" s="500"/>
      <c r="C92" s="517"/>
      <c r="D92" s="493"/>
      <c r="E92" s="493"/>
      <c r="F92" s="493"/>
      <c r="G92" s="493"/>
      <c r="H92" s="493"/>
      <c r="I92" s="493"/>
      <c r="J92" s="493"/>
      <c r="K92" s="493"/>
      <c r="L92" s="493"/>
      <c r="M92" s="494"/>
      <c r="N92" s="1065"/>
      <c r="O92" s="1065"/>
      <c r="P92" s="515"/>
      <c r="Q92" s="516"/>
    </row>
    <row r="93" spans="1:17" ht="15" thickTop="1" x14ac:dyDescent="0.2">
      <c r="A93" s="556"/>
      <c r="B93" s="495" t="s">
        <v>2435</v>
      </c>
      <c r="C93" s="511"/>
      <c r="D93" s="511"/>
      <c r="E93" s="540"/>
      <c r="F93" s="540"/>
      <c r="G93" s="540"/>
      <c r="H93" s="540"/>
      <c r="I93" s="540"/>
      <c r="J93" s="540"/>
      <c r="K93" s="541"/>
      <c r="L93" s="542"/>
      <c r="M93" s="543"/>
      <c r="N93" s="1064"/>
      <c r="O93" s="1064"/>
      <c r="P93" s="45"/>
      <c r="Q93" s="461"/>
    </row>
    <row r="94" spans="1:17" ht="15" thickBot="1" x14ac:dyDescent="0.25">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x14ac:dyDescent="0.2">
      <c r="A95" s="556"/>
      <c r="B95" s="495" t="s">
        <v>2437</v>
      </c>
      <c r="C95" s="511"/>
      <c r="D95" s="511"/>
      <c r="E95" s="511"/>
      <c r="F95" s="540"/>
      <c r="G95" s="540"/>
      <c r="H95" s="540"/>
      <c r="I95" s="540"/>
      <c r="J95" s="540"/>
      <c r="K95" s="541"/>
      <c r="L95" s="542"/>
      <c r="M95" s="543"/>
      <c r="N95" s="1064"/>
      <c r="O95" s="1064"/>
      <c r="P95" s="45"/>
      <c r="Q95" s="461"/>
    </row>
    <row r="96" spans="1:17" ht="15" thickBot="1" x14ac:dyDescent="0.25">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x14ac:dyDescent="0.2">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x14ac:dyDescent="0.2">
      <c r="A98" s="556"/>
      <c r="B98" s="503"/>
      <c r="C98" s="560">
        <v>0.5</v>
      </c>
      <c r="D98" s="560">
        <v>0.6</v>
      </c>
      <c r="E98" s="560">
        <v>0.7</v>
      </c>
      <c r="F98" s="560">
        <v>0.8</v>
      </c>
      <c r="G98" s="560">
        <v>0.9</v>
      </c>
      <c r="H98" s="560">
        <v>1.0001</v>
      </c>
      <c r="I98" s="579"/>
      <c r="J98" s="579"/>
      <c r="K98" s="580"/>
      <c r="L98" s="581"/>
      <c r="M98" s="582"/>
      <c r="N98" s="1064"/>
      <c r="O98" s="1064"/>
      <c r="P98" s="45"/>
      <c r="Q98" s="461"/>
    </row>
    <row r="99" spans="1:17" ht="15" thickBot="1" x14ac:dyDescent="0.25">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x14ac:dyDescent="0.2">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 thickBot="1" x14ac:dyDescent="0.25">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x14ac:dyDescent="0.2">
      <c r="A102" s="556"/>
      <c r="B102" s="495" t="s">
        <v>2439</v>
      </c>
      <c r="C102" s="511"/>
      <c r="D102" s="511"/>
      <c r="E102" s="511"/>
      <c r="F102" s="511"/>
      <c r="G102" s="511"/>
      <c r="H102" s="540"/>
      <c r="I102" s="540"/>
      <c r="J102" s="540"/>
      <c r="K102" s="541"/>
      <c r="L102" s="542"/>
      <c r="M102" s="543"/>
      <c r="N102" s="1064"/>
      <c r="O102" s="1064"/>
      <c r="P102" s="45"/>
      <c r="Q102" s="461"/>
    </row>
    <row r="103" spans="1:17" ht="15" thickBot="1" x14ac:dyDescent="0.25">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x14ac:dyDescent="0.2">
      <c r="A104" s="556"/>
      <c r="B104" s="495" t="s">
        <v>2441</v>
      </c>
      <c r="C104" s="511"/>
      <c r="D104" s="511"/>
      <c r="E104" s="511"/>
      <c r="F104" s="511"/>
      <c r="G104" s="511"/>
      <c r="H104" s="540"/>
      <c r="I104" s="540"/>
      <c r="J104" s="540"/>
      <c r="K104" s="541"/>
      <c r="L104" s="542"/>
      <c r="M104" s="543"/>
      <c r="N104" s="1064"/>
      <c r="O104" s="1064"/>
      <c r="P104" s="45"/>
      <c r="Q104" s="461"/>
    </row>
    <row r="105" spans="1:17" ht="15" thickBot="1" x14ac:dyDescent="0.25">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x14ac:dyDescent="0.2">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 thickBot="1" x14ac:dyDescent="0.25">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x14ac:dyDescent="0.2">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 thickBot="1" x14ac:dyDescent="0.25">
      <c r="A109" s="510"/>
      <c r="B109" s="492"/>
      <c r="C109" s="517"/>
      <c r="D109" s="493"/>
      <c r="E109" s="493"/>
      <c r="F109" s="493"/>
      <c r="G109" s="517"/>
      <c r="H109" s="519"/>
      <c r="I109" s="519"/>
      <c r="J109" s="519"/>
      <c r="K109" s="519"/>
      <c r="L109" s="519"/>
      <c r="M109" s="520"/>
      <c r="N109" s="1066"/>
      <c r="O109" s="1066"/>
      <c r="P109" s="515"/>
      <c r="Q109" s="516"/>
    </row>
    <row r="110" spans="1:17" ht="15" thickTop="1" x14ac:dyDescent="0.2">
      <c r="A110" s="556"/>
      <c r="B110" s="495">
        <f>B39</f>
        <v>111</v>
      </c>
      <c r="C110" s="511"/>
      <c r="D110" s="511"/>
      <c r="E110" s="511"/>
      <c r="F110" s="511"/>
      <c r="G110" s="511"/>
      <c r="H110" s="512"/>
      <c r="I110" s="512"/>
      <c r="J110" s="512"/>
      <c r="K110" s="512"/>
      <c r="L110" s="513"/>
      <c r="M110" s="514"/>
      <c r="N110" s="1064"/>
      <c r="O110" s="1064"/>
      <c r="P110" s="45"/>
      <c r="Q110" s="461"/>
    </row>
    <row r="111" spans="1:17" ht="15" thickBot="1" x14ac:dyDescent="0.25">
      <c r="A111" s="491"/>
      <c r="B111" s="500"/>
      <c r="C111" s="517"/>
      <c r="D111" s="493"/>
      <c r="E111" s="493"/>
      <c r="F111" s="493"/>
      <c r="G111" s="517"/>
      <c r="H111" s="519"/>
      <c r="I111" s="519"/>
      <c r="J111" s="519"/>
      <c r="K111" s="519"/>
      <c r="L111" s="519"/>
      <c r="M111" s="520"/>
      <c r="N111" s="1065"/>
      <c r="O111" s="1065"/>
      <c r="P111" s="45"/>
      <c r="Q111" s="461"/>
    </row>
    <row r="112" spans="1:17" ht="15" thickTop="1" x14ac:dyDescent="0.2">
      <c r="A112" s="556"/>
      <c r="B112" s="503">
        <f>B40</f>
        <v>111</v>
      </c>
      <c r="C112" s="480"/>
      <c r="D112" s="480"/>
      <c r="E112" s="480"/>
      <c r="F112" s="480"/>
      <c r="G112" s="544"/>
      <c r="H112" s="544"/>
      <c r="I112" s="544"/>
      <c r="J112" s="544"/>
      <c r="K112" s="480"/>
      <c r="L112" s="481"/>
      <c r="M112" s="547"/>
      <c r="N112" s="1064"/>
      <c r="O112" s="1064"/>
      <c r="P112" s="45"/>
      <c r="Q112" s="461"/>
    </row>
    <row r="113" spans="1:17" ht="15" thickBot="1" x14ac:dyDescent="0.25">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topLeftCell="A5" zoomScale="60" zoomScaleNormal="60" workbookViewId="0">
      <selection activeCell="F7" sqref="F7:F36"/>
    </sheetView>
  </sheetViews>
  <sheetFormatPr baseColWidth="10" defaultColWidth="9" defaultRowHeight="14" x14ac:dyDescent="0.2"/>
  <cols>
    <col min="1" max="1" width="10.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5.5" style="363" customWidth="1"/>
    <col min="10" max="10" width="12.1640625" style="363" customWidth="1"/>
    <col min="11" max="11" width="12.1640625" style="452" customWidth="1"/>
    <col min="12" max="12" width="12.1640625" style="453" customWidth="1"/>
    <col min="13" max="15" width="12.1640625" style="363" customWidth="1"/>
    <col min="16" max="16" width="4.6640625" style="1037"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x14ac:dyDescent="0.25">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x14ac:dyDescent="0.2">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x14ac:dyDescent="0.25">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x14ac:dyDescent="0.2">
      <c r="A4" s="361" t="s">
        <v>2466</v>
      </c>
      <c r="B4" s="362"/>
      <c r="C4" s="3429" t="s">
        <v>2467</v>
      </c>
      <c r="D4" s="3430"/>
      <c r="E4" s="3431" t="s">
        <v>2468</v>
      </c>
      <c r="F4" s="3432"/>
      <c r="G4" s="3429" t="s">
        <v>2469</v>
      </c>
      <c r="H4" s="3430"/>
      <c r="I4" s="3429" t="s">
        <v>2470</v>
      </c>
      <c r="J4" s="3430"/>
      <c r="K4" s="567" t="s">
        <v>2471</v>
      </c>
      <c r="L4" s="2944"/>
      <c r="M4" s="2945"/>
      <c r="N4" s="2945"/>
      <c r="O4" s="2945"/>
      <c r="P4" s="3464" t="s">
        <v>2472</v>
      </c>
      <c r="Q4" s="3465"/>
      <c r="R4" s="3468" t="s">
        <v>2468</v>
      </c>
      <c r="S4" s="3469"/>
      <c r="T4" s="3468" t="s">
        <v>2469</v>
      </c>
      <c r="U4" s="3469"/>
      <c r="V4" s="3446" t="s">
        <v>2470</v>
      </c>
      <c r="W4" s="3446"/>
      <c r="X4" s="1541"/>
      <c r="Y4" s="3468" t="s">
        <v>2472</v>
      </c>
      <c r="Z4" s="3469"/>
      <c r="AA4" s="3463" t="s">
        <v>2468</v>
      </c>
      <c r="AB4" s="3458" t="s">
        <v>2469</v>
      </c>
      <c r="AC4" s="3463" t="s">
        <v>2470</v>
      </c>
    </row>
    <row r="5" spans="1:29" x14ac:dyDescent="0.2">
      <c r="A5" s="364"/>
      <c r="B5" s="365"/>
      <c r="C5" s="3554" t="s">
        <v>2363</v>
      </c>
      <c r="D5" s="3472"/>
      <c r="E5" s="3556" t="s">
        <v>2364</v>
      </c>
      <c r="F5" s="3454"/>
      <c r="G5" s="3554" t="s">
        <v>2365</v>
      </c>
      <c r="H5" s="3472"/>
      <c r="I5" s="3554" t="s">
        <v>2366</v>
      </c>
      <c r="J5" s="3472"/>
      <c r="K5" s="567"/>
      <c r="L5" s="2944"/>
      <c r="M5" s="2945"/>
      <c r="N5" s="2945"/>
      <c r="O5" s="2945"/>
      <c r="P5" s="3466"/>
      <c r="Q5" s="3436"/>
      <c r="R5" s="3441"/>
      <c r="S5" s="3442"/>
      <c r="T5" s="3441"/>
      <c r="U5" s="3442"/>
      <c r="V5" s="3446"/>
      <c r="W5" s="3446"/>
      <c r="X5" s="1541"/>
      <c r="Y5" s="3441"/>
      <c r="Z5" s="3442"/>
      <c r="AA5" s="3458"/>
      <c r="AB5" s="3458"/>
      <c r="AC5" s="3458"/>
    </row>
    <row r="6" spans="1:29" ht="15" thickBot="1" x14ac:dyDescent="0.25">
      <c r="A6" s="366"/>
      <c r="B6" s="367"/>
      <c r="C6" s="3470" t="s">
        <v>2367</v>
      </c>
      <c r="D6" s="3471"/>
      <c r="E6" s="3555" t="s">
        <v>2367</v>
      </c>
      <c r="F6" s="3456"/>
      <c r="G6" s="3470" t="s">
        <v>2367</v>
      </c>
      <c r="H6" s="3471"/>
      <c r="I6" s="3470" t="s">
        <v>2367</v>
      </c>
      <c r="J6" s="3471"/>
      <c r="K6" s="567" t="s">
        <v>2368</v>
      </c>
      <c r="L6" s="2944"/>
      <c r="M6" s="2945"/>
      <c r="N6" s="2945"/>
      <c r="O6" s="2945"/>
      <c r="P6" s="3467"/>
      <c r="Q6" s="3438"/>
      <c r="R6" s="3441"/>
      <c r="S6" s="3442"/>
      <c r="T6" s="3443"/>
      <c r="U6" s="3444"/>
      <c r="V6" s="3446"/>
      <c r="W6" s="3446"/>
      <c r="X6" s="1541"/>
      <c r="Y6" s="3443"/>
      <c r="Z6" s="3444"/>
      <c r="AA6" s="3459"/>
      <c r="AB6" s="3459"/>
      <c r="AC6" s="3459"/>
    </row>
    <row r="7" spans="1:29" s="113" customFormat="1" ht="15" thickBot="1" x14ac:dyDescent="0.25">
      <c r="A7" s="368" t="s">
        <v>2369</v>
      </c>
      <c r="B7" s="369"/>
      <c r="C7" s="370">
        <f>'数据-取费表'!B2</f>
        <v>44606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51" t="s">
        <v>2370</v>
      </c>
      <c r="Q7" s="3452"/>
      <c r="R7" s="710" t="s">
        <v>17</v>
      </c>
      <c r="S7" s="711">
        <f t="shared" ref="S7:S14" si="0">F7</f>
        <v>0</v>
      </c>
      <c r="T7" s="710" t="s">
        <v>17</v>
      </c>
      <c r="U7" s="711">
        <f t="shared" ref="U7:U14" si="1">H7</f>
        <v>0</v>
      </c>
      <c r="V7" s="710" t="s">
        <v>17</v>
      </c>
      <c r="W7" s="711">
        <f t="shared" ref="W7:W14" si="2">J7</f>
        <v>0</v>
      </c>
      <c r="X7" s="712"/>
      <c r="Y7" s="3451" t="s">
        <v>2370</v>
      </c>
      <c r="Z7" s="3450"/>
      <c r="AA7" s="713" t="e">
        <f>D7/F7</f>
        <v>#DIV/0!</v>
      </c>
      <c r="AB7" s="713" t="e">
        <f>D7/H7</f>
        <v>#DIV/0!</v>
      </c>
      <c r="AC7" s="713" t="e">
        <f>D7/J7</f>
        <v>#DIV/0!</v>
      </c>
    </row>
    <row r="8" spans="1:29" s="113" customFormat="1" ht="15" thickBot="1" x14ac:dyDescent="0.25">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51" t="s">
        <v>2373</v>
      </c>
      <c r="Q8" s="3450"/>
      <c r="R8" s="710" t="s">
        <v>17</v>
      </c>
      <c r="S8" s="711">
        <f t="shared" si="0"/>
        <v>0</v>
      </c>
      <c r="T8" s="710" t="s">
        <v>17</v>
      </c>
      <c r="U8" s="711">
        <f t="shared" si="1"/>
        <v>0</v>
      </c>
      <c r="V8" s="710" t="s">
        <v>17</v>
      </c>
      <c r="W8" s="711">
        <f t="shared" si="2"/>
        <v>0</v>
      </c>
      <c r="X8" s="712"/>
      <c r="Y8" s="3451" t="s">
        <v>2373</v>
      </c>
      <c r="Z8" s="3450"/>
      <c r="AA8" s="713" t="e">
        <f t="shared" ref="AA8:AA36" si="3">D8/F8</f>
        <v>#DIV/0!</v>
      </c>
      <c r="AB8" s="713" t="e">
        <f t="shared" ref="AB8:AB36" si="4">D8/H8</f>
        <v>#DIV/0!</v>
      </c>
      <c r="AC8" s="713" t="e">
        <f t="shared" ref="AC8:AC36" si="5">D8/J8</f>
        <v>#DIV/0!</v>
      </c>
    </row>
    <row r="9" spans="1:29" s="113" customFormat="1" x14ac:dyDescent="0.2">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11" t="s">
        <v>2376</v>
      </c>
      <c r="Q9" s="1529" t="str">
        <f t="shared" ref="Q9:Q14" si="6">B9</f>
        <v>用途</v>
      </c>
      <c r="R9" s="710" t="s">
        <v>17</v>
      </c>
      <c r="S9" s="711">
        <f t="shared" si="0"/>
        <v>100</v>
      </c>
      <c r="T9" s="710" t="s">
        <v>17</v>
      </c>
      <c r="U9" s="711">
        <f t="shared" si="1"/>
        <v>100</v>
      </c>
      <c r="V9" s="710" t="s">
        <v>17</v>
      </c>
      <c r="W9" s="711">
        <f t="shared" si="2"/>
        <v>100</v>
      </c>
      <c r="X9" s="712"/>
      <c r="Y9" s="3311" t="s">
        <v>2377</v>
      </c>
      <c r="Z9" s="55" t="str">
        <f t="shared" ref="Z9:Z14" si="7">Q9</f>
        <v>用途</v>
      </c>
      <c r="AA9" s="713">
        <f t="shared" si="3"/>
        <v>1</v>
      </c>
      <c r="AB9" s="713">
        <f t="shared" si="4"/>
        <v>1</v>
      </c>
      <c r="AC9" s="713">
        <f t="shared" si="5"/>
        <v>1</v>
      </c>
    </row>
    <row r="10" spans="1:29" s="386" customFormat="1" ht="28" x14ac:dyDescent="0.2">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11"/>
      <c r="Q10" s="1529"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6" x14ac:dyDescent="0.2">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11"/>
      <c r="Q11" s="1529">
        <f t="shared" si="6"/>
        <v>111</v>
      </c>
      <c r="R11" s="710" t="s">
        <v>17</v>
      </c>
      <c r="S11" s="711">
        <f t="shared" si="0"/>
        <v>100</v>
      </c>
      <c r="T11" s="710" t="s">
        <v>17</v>
      </c>
      <c r="U11" s="711">
        <f t="shared" si="1"/>
        <v>100</v>
      </c>
      <c r="V11" s="710" t="s">
        <v>17</v>
      </c>
      <c r="W11" s="711">
        <f t="shared" si="2"/>
        <v>100</v>
      </c>
      <c r="X11" s="712"/>
      <c r="Y11" s="3311"/>
      <c r="Z11" s="55">
        <f t="shared" si="7"/>
        <v>111</v>
      </c>
      <c r="AA11" s="713">
        <f t="shared" si="3"/>
        <v>1</v>
      </c>
      <c r="AB11" s="713">
        <f t="shared" si="4"/>
        <v>1</v>
      </c>
      <c r="AC11" s="713">
        <f t="shared" si="5"/>
        <v>1</v>
      </c>
    </row>
    <row r="12" spans="1:29" s="113" customFormat="1" ht="16" x14ac:dyDescent="0.2">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11"/>
      <c r="Q12" s="1529">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7" thickBot="1" x14ac:dyDescent="0.25">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11"/>
      <c r="Q13" s="1529">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84" x14ac:dyDescent="0.2">
      <c r="A14" s="361" t="s">
        <v>2380</v>
      </c>
      <c r="B14" s="585" t="s">
        <v>2530</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18" t="s">
        <v>2381</v>
      </c>
      <c r="Q14" s="1538" t="str">
        <f t="shared" si="6"/>
        <v>交通便捷度</v>
      </c>
      <c r="R14" s="714" t="s">
        <v>17</v>
      </c>
      <c r="S14" s="715">
        <f t="shared" si="0"/>
        <v>100</v>
      </c>
      <c r="T14" s="714" t="s">
        <v>17</v>
      </c>
      <c r="U14" s="715">
        <f t="shared" si="1"/>
        <v>100</v>
      </c>
      <c r="V14" s="714" t="s">
        <v>17</v>
      </c>
      <c r="W14" s="715">
        <f t="shared" si="2"/>
        <v>100</v>
      </c>
      <c r="X14" s="1541"/>
      <c r="Y14" s="3418" t="s">
        <v>2381</v>
      </c>
      <c r="Z14" s="1542" t="str">
        <f t="shared" si="7"/>
        <v>交通便捷度</v>
      </c>
      <c r="AA14" s="1539">
        <f t="shared" si="3"/>
        <v>1</v>
      </c>
      <c r="AB14" s="1539">
        <f t="shared" si="4"/>
        <v>1</v>
      </c>
      <c r="AC14" s="1539">
        <f t="shared" si="5"/>
        <v>1</v>
      </c>
    </row>
    <row r="15" spans="1:29" ht="16" x14ac:dyDescent="0.2">
      <c r="A15" s="364"/>
      <c r="B15" s="603"/>
      <c r="C15" s="406"/>
      <c r="D15" s="407"/>
      <c r="E15" s="406"/>
      <c r="F15" s="408"/>
      <c r="G15" s="406"/>
      <c r="H15" s="409"/>
      <c r="I15" s="406"/>
      <c r="J15" s="407"/>
      <c r="K15" s="572"/>
      <c r="L15" s="2951"/>
      <c r="M15" s="2945"/>
      <c r="N15" s="2945"/>
      <c r="O15" s="2945"/>
      <c r="P15" s="3419"/>
      <c r="Q15" s="1538"/>
      <c r="R15" s="714"/>
      <c r="S15" s="715"/>
      <c r="T15" s="714"/>
      <c r="U15" s="715"/>
      <c r="V15" s="714"/>
      <c r="W15" s="715"/>
      <c r="X15" s="1541"/>
      <c r="Y15" s="3419"/>
      <c r="Z15" s="1542"/>
      <c r="AA15" s="1539">
        <v>1</v>
      </c>
      <c r="AB15" s="1539">
        <v>1</v>
      </c>
      <c r="AC15" s="1539">
        <v>1</v>
      </c>
    </row>
    <row r="16" spans="1:29" ht="42" x14ac:dyDescent="0.2">
      <c r="A16" s="364"/>
      <c r="B16" s="587" t="s">
        <v>2509</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19"/>
      <c r="Q16" s="1538" t="str">
        <f>B16</f>
        <v>公共配套设施</v>
      </c>
      <c r="R16" s="714" t="s">
        <v>17</v>
      </c>
      <c r="S16" s="715">
        <f>F16</f>
        <v>100</v>
      </c>
      <c r="T16" s="714" t="s">
        <v>17</v>
      </c>
      <c r="U16" s="715">
        <f>H16</f>
        <v>100</v>
      </c>
      <c r="V16" s="714" t="s">
        <v>17</v>
      </c>
      <c r="W16" s="715">
        <f>J16</f>
        <v>100</v>
      </c>
      <c r="X16" s="1541"/>
      <c r="Y16" s="3419"/>
      <c r="Z16" s="1542" t="str">
        <f>Q16</f>
        <v>公共配套设施</v>
      </c>
      <c r="AA16" s="1539">
        <f t="shared" si="3"/>
        <v>1</v>
      </c>
      <c r="AB16" s="1539">
        <f t="shared" si="4"/>
        <v>1</v>
      </c>
      <c r="AC16" s="1539">
        <f t="shared" si="5"/>
        <v>1</v>
      </c>
    </row>
    <row r="17" spans="1:29" ht="16" x14ac:dyDescent="0.2">
      <c r="A17" s="364"/>
      <c r="B17" s="588"/>
      <c r="C17" s="2089"/>
      <c r="D17" s="407"/>
      <c r="E17" s="406"/>
      <c r="F17" s="408"/>
      <c r="G17" s="406"/>
      <c r="H17" s="407"/>
      <c r="I17" s="406"/>
      <c r="J17" s="407"/>
      <c r="K17" s="572"/>
      <c r="L17" s="2951"/>
      <c r="M17" s="2945"/>
      <c r="N17" s="2945"/>
      <c r="O17" s="2945"/>
      <c r="P17" s="3419"/>
      <c r="Q17" s="1538"/>
      <c r="R17" s="714"/>
      <c r="S17" s="715"/>
      <c r="T17" s="714"/>
      <c r="U17" s="715"/>
      <c r="V17" s="714"/>
      <c r="W17" s="715"/>
      <c r="X17" s="1541"/>
      <c r="Y17" s="3419"/>
      <c r="Z17" s="1542"/>
      <c r="AA17" s="1539">
        <v>1</v>
      </c>
      <c r="AB17" s="1539">
        <v>1</v>
      </c>
      <c r="AC17" s="1539">
        <v>1</v>
      </c>
    </row>
    <row r="18" spans="1:29" ht="28" x14ac:dyDescent="0.2">
      <c r="A18" s="364"/>
      <c r="B18" s="589" t="s">
        <v>2510</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19"/>
      <c r="Q18" s="1538" t="str">
        <f>B18</f>
        <v>基础设施水平</v>
      </c>
      <c r="R18" s="714" t="s">
        <v>17</v>
      </c>
      <c r="S18" s="715">
        <f>F18</f>
        <v>100</v>
      </c>
      <c r="T18" s="714" t="s">
        <v>17</v>
      </c>
      <c r="U18" s="715">
        <f>H18</f>
        <v>100</v>
      </c>
      <c r="V18" s="714" t="s">
        <v>17</v>
      </c>
      <c r="W18" s="715">
        <f>J18</f>
        <v>100</v>
      </c>
      <c r="X18" s="1541"/>
      <c r="Y18" s="3419"/>
      <c r="Z18" s="1542" t="str">
        <f>Q18</f>
        <v>基础设施水平</v>
      </c>
      <c r="AA18" s="1539">
        <f t="shared" ref="AA18" si="8">D18/F18</f>
        <v>1</v>
      </c>
      <c r="AB18" s="1539">
        <f t="shared" ref="AB18" si="9">D18/H18</f>
        <v>1</v>
      </c>
      <c r="AC18" s="1539">
        <f t="shared" ref="AC18" si="10">D18/J18</f>
        <v>1</v>
      </c>
    </row>
    <row r="19" spans="1:29" ht="16" x14ac:dyDescent="0.2">
      <c r="A19" s="364"/>
      <c r="B19" s="589"/>
      <c r="C19" s="2089"/>
      <c r="D19" s="409"/>
      <c r="E19" s="2089"/>
      <c r="F19" s="412"/>
      <c r="G19" s="2089"/>
      <c r="H19" s="407"/>
      <c r="I19" s="406"/>
      <c r="J19" s="407"/>
      <c r="K19" s="1292"/>
      <c r="L19" s="2951"/>
      <c r="M19" s="2945"/>
      <c r="N19" s="2945"/>
      <c r="O19" s="2945"/>
      <c r="P19" s="3419"/>
      <c r="Q19" s="1538"/>
      <c r="R19" s="714"/>
      <c r="S19" s="715"/>
      <c r="T19" s="714"/>
      <c r="U19" s="715"/>
      <c r="V19" s="714"/>
      <c r="W19" s="715"/>
      <c r="X19" s="1541"/>
      <c r="Y19" s="3419"/>
      <c r="Z19" s="1542"/>
      <c r="AA19" s="1539">
        <v>1</v>
      </c>
      <c r="AB19" s="1539">
        <v>1</v>
      </c>
      <c r="AC19" s="1539">
        <v>1</v>
      </c>
    </row>
    <row r="20" spans="1:29" ht="56" x14ac:dyDescent="0.2">
      <c r="A20" s="364"/>
      <c r="B20" s="587" t="s">
        <v>2531</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19"/>
      <c r="Q20" s="1538" t="str">
        <f>B20</f>
        <v>自然及人文环境</v>
      </c>
      <c r="R20" s="714" t="s">
        <v>17</v>
      </c>
      <c r="S20" s="715">
        <f>F20</f>
        <v>100</v>
      </c>
      <c r="T20" s="714" t="s">
        <v>17</v>
      </c>
      <c r="U20" s="715">
        <f>H20</f>
        <v>100</v>
      </c>
      <c r="V20" s="714" t="s">
        <v>17</v>
      </c>
      <c r="W20" s="715">
        <f>J20</f>
        <v>100</v>
      </c>
      <c r="X20" s="1541"/>
      <c r="Y20" s="3419"/>
      <c r="Z20" s="1542" t="str">
        <f>Q20</f>
        <v>自然及人文环境</v>
      </c>
      <c r="AA20" s="1539">
        <f t="shared" si="3"/>
        <v>1</v>
      </c>
      <c r="AB20" s="1539">
        <f t="shared" si="4"/>
        <v>1</v>
      </c>
      <c r="AC20" s="1539">
        <f t="shared" si="5"/>
        <v>1</v>
      </c>
    </row>
    <row r="21" spans="1:29" ht="16" x14ac:dyDescent="0.2">
      <c r="A21" s="364"/>
      <c r="B21" s="588"/>
      <c r="C21" s="406"/>
      <c r="D21" s="407"/>
      <c r="E21" s="406"/>
      <c r="F21" s="408"/>
      <c r="G21" s="406"/>
      <c r="H21" s="407"/>
      <c r="I21" s="406"/>
      <c r="J21" s="407"/>
      <c r="K21" s="572"/>
      <c r="L21" s="2951"/>
      <c r="M21" s="2945"/>
      <c r="N21" s="2945"/>
      <c r="O21" s="2945"/>
      <c r="P21" s="3419"/>
      <c r="Q21" s="1538"/>
      <c r="R21" s="714"/>
      <c r="S21" s="715"/>
      <c r="T21" s="714"/>
      <c r="U21" s="715"/>
      <c r="V21" s="714"/>
      <c r="W21" s="715"/>
      <c r="X21" s="1541"/>
      <c r="Y21" s="3419"/>
      <c r="Z21" s="1542"/>
      <c r="AA21" s="1539">
        <v>1</v>
      </c>
      <c r="AB21" s="1539">
        <v>1</v>
      </c>
      <c r="AC21" s="1539">
        <v>1</v>
      </c>
    </row>
    <row r="22" spans="1:29" ht="16" x14ac:dyDescent="0.2">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19"/>
      <c r="Q22" s="1538" t="str">
        <f>B22</f>
        <v>楼层</v>
      </c>
      <c r="R22" s="714" t="s">
        <v>17</v>
      </c>
      <c r="S22" s="715">
        <f>F22</f>
        <v>100</v>
      </c>
      <c r="T22" s="714" t="s">
        <v>17</v>
      </c>
      <c r="U22" s="715">
        <f>H22</f>
        <v>100</v>
      </c>
      <c r="V22" s="714" t="s">
        <v>17</v>
      </c>
      <c r="W22" s="715">
        <f>J22</f>
        <v>100</v>
      </c>
      <c r="X22" s="1541"/>
      <c r="Y22" s="3419"/>
      <c r="Z22" s="1542" t="str">
        <f>Q22</f>
        <v>楼层</v>
      </c>
      <c r="AA22" s="1539">
        <f t="shared" si="3"/>
        <v>1</v>
      </c>
      <c r="AB22" s="1539">
        <f t="shared" si="4"/>
        <v>1</v>
      </c>
      <c r="AC22" s="1539">
        <f t="shared" si="5"/>
        <v>1</v>
      </c>
    </row>
    <row r="23" spans="1:29" ht="16" x14ac:dyDescent="0.2">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19"/>
      <c r="Q23" s="1538">
        <f>B23</f>
        <v>111</v>
      </c>
      <c r="R23" s="714" t="s">
        <v>17</v>
      </c>
      <c r="S23" s="715">
        <f>F23</f>
        <v>100</v>
      </c>
      <c r="T23" s="714" t="s">
        <v>17</v>
      </c>
      <c r="U23" s="715">
        <f>H23</f>
        <v>100</v>
      </c>
      <c r="V23" s="714" t="s">
        <v>17</v>
      </c>
      <c r="W23" s="715">
        <f>J23</f>
        <v>100</v>
      </c>
      <c r="X23" s="1541"/>
      <c r="Y23" s="3419"/>
      <c r="Z23" s="1542">
        <f>Q23</f>
        <v>111</v>
      </c>
      <c r="AA23" s="1539">
        <f t="shared" si="3"/>
        <v>1</v>
      </c>
      <c r="AB23" s="1539">
        <f t="shared" si="4"/>
        <v>1</v>
      </c>
      <c r="AC23" s="1539">
        <f t="shared" si="5"/>
        <v>1</v>
      </c>
    </row>
    <row r="24" spans="1:29" ht="16" x14ac:dyDescent="0.2">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19"/>
      <c r="Q24" s="1538">
        <f t="shared" ref="Q24:Q36" si="11">B24</f>
        <v>111</v>
      </c>
      <c r="R24" s="714" t="s">
        <v>17</v>
      </c>
      <c r="S24" s="715">
        <f>F24</f>
        <v>100</v>
      </c>
      <c r="T24" s="714" t="s">
        <v>17</v>
      </c>
      <c r="U24" s="715">
        <f>H24</f>
        <v>100</v>
      </c>
      <c r="V24" s="714" t="s">
        <v>17</v>
      </c>
      <c r="W24" s="715">
        <f>J24</f>
        <v>100</v>
      </c>
      <c r="X24" s="1541"/>
      <c r="Y24" s="3419"/>
      <c r="Z24" s="1542">
        <f>Q24</f>
        <v>111</v>
      </c>
      <c r="AA24" s="1539">
        <f t="shared" si="3"/>
        <v>1</v>
      </c>
      <c r="AB24" s="1539">
        <f t="shared" si="4"/>
        <v>1</v>
      </c>
      <c r="AC24" s="1539">
        <f t="shared" si="5"/>
        <v>1</v>
      </c>
    </row>
    <row r="25" spans="1:29" s="113" customFormat="1" ht="17" thickBot="1" x14ac:dyDescent="0.25">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19"/>
      <c r="Q25" s="1529">
        <f t="shared" si="11"/>
        <v>111</v>
      </c>
      <c r="R25" s="710" t="s">
        <v>17</v>
      </c>
      <c r="S25" s="711">
        <f>F25</f>
        <v>100</v>
      </c>
      <c r="T25" s="710" t="s">
        <v>17</v>
      </c>
      <c r="U25" s="711">
        <f>H25</f>
        <v>100</v>
      </c>
      <c r="V25" s="710" t="s">
        <v>17</v>
      </c>
      <c r="W25" s="711">
        <f>J25</f>
        <v>100</v>
      </c>
      <c r="X25" s="712"/>
      <c r="Y25" s="3419"/>
      <c r="Z25" s="55">
        <f>Q25</f>
        <v>111</v>
      </c>
      <c r="AA25" s="1539">
        <f>D25/F25</f>
        <v>1</v>
      </c>
      <c r="AB25" s="1539">
        <f>D25/H25</f>
        <v>1</v>
      </c>
      <c r="AC25" s="1539">
        <f>D25/J25</f>
        <v>1</v>
      </c>
    </row>
    <row r="26" spans="1:29" ht="16" x14ac:dyDescent="0.2">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557"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423" t="s">
        <v>2386</v>
      </c>
      <c r="Z26" s="1542" t="str">
        <f t="shared" ref="Z26:Z36" si="15">Q26</f>
        <v>配套类型</v>
      </c>
      <c r="AA26" s="1539">
        <f t="shared" si="3"/>
        <v>1</v>
      </c>
      <c r="AB26" s="1539">
        <f t="shared" si="4"/>
        <v>1</v>
      </c>
      <c r="AC26" s="1539">
        <f t="shared" si="5"/>
        <v>1</v>
      </c>
    </row>
    <row r="27" spans="1:29" s="430" customFormat="1" ht="16" x14ac:dyDescent="0.2">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23"/>
      <c r="Q27" s="716" t="str">
        <f t="shared" si="11"/>
        <v>项目停车位配比</v>
      </c>
      <c r="R27" s="717" t="s">
        <v>17</v>
      </c>
      <c r="S27" s="718">
        <f t="shared" si="12"/>
        <v>100</v>
      </c>
      <c r="T27" s="717" t="s">
        <v>17</v>
      </c>
      <c r="U27" s="718">
        <f t="shared" si="13"/>
        <v>100</v>
      </c>
      <c r="V27" s="717" t="s">
        <v>17</v>
      </c>
      <c r="W27" s="718">
        <f t="shared" si="14"/>
        <v>100</v>
      </c>
      <c r="X27" s="719"/>
      <c r="Y27" s="3423"/>
      <c r="Z27" s="720" t="str">
        <f t="shared" si="15"/>
        <v>项目停车位配比</v>
      </c>
      <c r="AA27" s="1539">
        <f t="shared" si="3"/>
        <v>1</v>
      </c>
      <c r="AB27" s="1539">
        <f t="shared" si="4"/>
        <v>1</v>
      </c>
      <c r="AC27" s="1539">
        <f t="shared" si="5"/>
        <v>1</v>
      </c>
    </row>
    <row r="28" spans="1:29" ht="16" x14ac:dyDescent="0.2">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23"/>
      <c r="Q28" s="1538" t="str">
        <f t="shared" si="11"/>
        <v>公共部分装修</v>
      </c>
      <c r="R28" s="714" t="s">
        <v>17</v>
      </c>
      <c r="S28" s="715">
        <f t="shared" si="12"/>
        <v>100</v>
      </c>
      <c r="T28" s="714" t="s">
        <v>17</v>
      </c>
      <c r="U28" s="715">
        <f t="shared" si="13"/>
        <v>100</v>
      </c>
      <c r="V28" s="714" t="s">
        <v>17</v>
      </c>
      <c r="W28" s="715">
        <f t="shared" si="14"/>
        <v>100</v>
      </c>
      <c r="X28" s="1541"/>
      <c r="Y28" s="3423"/>
      <c r="Z28" s="1542" t="str">
        <f t="shared" si="15"/>
        <v>公共部分装修</v>
      </c>
      <c r="AA28" s="1539">
        <f t="shared" si="3"/>
        <v>1</v>
      </c>
      <c r="AB28" s="1539">
        <f t="shared" si="4"/>
        <v>1</v>
      </c>
      <c r="AC28" s="1539">
        <f t="shared" si="5"/>
        <v>1</v>
      </c>
    </row>
    <row r="29" spans="1:29" ht="16" x14ac:dyDescent="0.2">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23"/>
      <c r="Q29" s="1538" t="str">
        <f t="shared" si="11"/>
        <v>成新率</v>
      </c>
      <c r="R29" s="714" t="s">
        <v>17</v>
      </c>
      <c r="S29" s="715" t="e">
        <f t="shared" si="12"/>
        <v>#N/A</v>
      </c>
      <c r="T29" s="714" t="s">
        <v>17</v>
      </c>
      <c r="U29" s="715" t="e">
        <f t="shared" si="13"/>
        <v>#N/A</v>
      </c>
      <c r="V29" s="714" t="s">
        <v>17</v>
      </c>
      <c r="W29" s="715" t="e">
        <f t="shared" si="14"/>
        <v>#N/A</v>
      </c>
      <c r="X29" s="1541"/>
      <c r="Y29" s="3423"/>
      <c r="Z29" s="1542" t="str">
        <f t="shared" si="15"/>
        <v>成新率</v>
      </c>
      <c r="AA29" s="1539" t="e">
        <f t="shared" si="3"/>
        <v>#N/A</v>
      </c>
      <c r="AB29" s="1539" t="e">
        <f t="shared" si="4"/>
        <v>#N/A</v>
      </c>
      <c r="AC29" s="1539" t="e">
        <f t="shared" si="5"/>
        <v>#N/A</v>
      </c>
    </row>
    <row r="30" spans="1:29" ht="16" x14ac:dyDescent="0.2">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23"/>
      <c r="Q30" s="1538" t="str">
        <f t="shared" si="11"/>
        <v>物业等级</v>
      </c>
      <c r="R30" s="714" t="s">
        <v>17</v>
      </c>
      <c r="S30" s="715">
        <f t="shared" si="12"/>
        <v>100</v>
      </c>
      <c r="T30" s="714" t="s">
        <v>17</v>
      </c>
      <c r="U30" s="715">
        <f t="shared" si="13"/>
        <v>100</v>
      </c>
      <c r="V30" s="714" t="s">
        <v>17</v>
      </c>
      <c r="W30" s="715">
        <f t="shared" si="14"/>
        <v>100</v>
      </c>
      <c r="X30" s="1541"/>
      <c r="Y30" s="3423"/>
      <c r="Z30" s="1542" t="str">
        <f t="shared" si="15"/>
        <v>物业等级</v>
      </c>
      <c r="AA30" s="1539">
        <f t="shared" si="3"/>
        <v>1</v>
      </c>
      <c r="AB30" s="1539">
        <f t="shared" si="4"/>
        <v>1</v>
      </c>
      <c r="AC30" s="1539">
        <f t="shared" si="5"/>
        <v>1</v>
      </c>
    </row>
    <row r="31" spans="1:29" s="113" customFormat="1" ht="16" x14ac:dyDescent="0.2">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23"/>
      <c r="Q31" s="1529" t="str">
        <f t="shared" si="11"/>
        <v>停车位面积</v>
      </c>
      <c r="R31" s="710" t="s">
        <v>17</v>
      </c>
      <c r="S31" s="711" t="e">
        <f t="shared" si="12"/>
        <v>#N/A</v>
      </c>
      <c r="T31" s="710" t="s">
        <v>17</v>
      </c>
      <c r="U31" s="711" t="e">
        <f t="shared" si="13"/>
        <v>#N/A</v>
      </c>
      <c r="V31" s="710" t="s">
        <v>17</v>
      </c>
      <c r="W31" s="711" t="e">
        <f t="shared" si="14"/>
        <v>#N/A</v>
      </c>
      <c r="X31" s="712"/>
      <c r="Y31" s="3423"/>
      <c r="Z31" s="55" t="str">
        <f t="shared" si="15"/>
        <v>停车位面积</v>
      </c>
      <c r="AA31" s="713" t="e">
        <f t="shared" si="3"/>
        <v>#N/A</v>
      </c>
      <c r="AB31" s="713" t="e">
        <f t="shared" si="4"/>
        <v>#N/A</v>
      </c>
      <c r="AC31" s="713" t="e">
        <f t="shared" si="5"/>
        <v>#N/A</v>
      </c>
    </row>
    <row r="32" spans="1:29" ht="16" x14ac:dyDescent="0.2">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23" t="s">
        <v>2386</v>
      </c>
      <c r="Q32" s="1538" t="str">
        <f t="shared" si="11"/>
        <v>车位类型</v>
      </c>
      <c r="R32" s="714" t="s">
        <v>17</v>
      </c>
      <c r="S32" s="715">
        <f t="shared" si="12"/>
        <v>100</v>
      </c>
      <c r="T32" s="714" t="s">
        <v>17</v>
      </c>
      <c r="U32" s="715">
        <f t="shared" si="13"/>
        <v>100</v>
      </c>
      <c r="V32" s="714" t="s">
        <v>17</v>
      </c>
      <c r="W32" s="715">
        <f t="shared" si="14"/>
        <v>100</v>
      </c>
      <c r="X32" s="1541"/>
      <c r="Y32" s="3423" t="s">
        <v>2386</v>
      </c>
      <c r="Z32" s="1542" t="str">
        <f t="shared" si="15"/>
        <v>车位类型</v>
      </c>
      <c r="AA32" s="1539">
        <f t="shared" si="3"/>
        <v>1</v>
      </c>
      <c r="AB32" s="1539">
        <f t="shared" si="4"/>
        <v>1</v>
      </c>
      <c r="AC32" s="1539">
        <f t="shared" si="5"/>
        <v>1</v>
      </c>
    </row>
    <row r="33" spans="1:29" ht="16" x14ac:dyDescent="0.2">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23"/>
      <c r="Q33" s="1538" t="str">
        <f t="shared" si="11"/>
        <v>是否直接入户</v>
      </c>
      <c r="R33" s="714" t="s">
        <v>17</v>
      </c>
      <c r="S33" s="715">
        <f t="shared" si="12"/>
        <v>100</v>
      </c>
      <c r="T33" s="714" t="s">
        <v>17</v>
      </c>
      <c r="U33" s="715">
        <f t="shared" si="13"/>
        <v>100</v>
      </c>
      <c r="V33" s="714" t="s">
        <v>17</v>
      </c>
      <c r="W33" s="715">
        <f t="shared" si="14"/>
        <v>100</v>
      </c>
      <c r="X33" s="1541"/>
      <c r="Y33" s="3423"/>
      <c r="Z33" s="1542" t="str">
        <f t="shared" si="15"/>
        <v>是否直接入户</v>
      </c>
      <c r="AA33" s="1539">
        <f t="shared" si="3"/>
        <v>1</v>
      </c>
      <c r="AB33" s="1539">
        <f t="shared" si="4"/>
        <v>1</v>
      </c>
      <c r="AC33" s="1539">
        <f t="shared" si="5"/>
        <v>1</v>
      </c>
    </row>
    <row r="34" spans="1:29" ht="16" x14ac:dyDescent="0.2">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23"/>
      <c r="Q34" s="1538">
        <f t="shared" si="11"/>
        <v>111</v>
      </c>
      <c r="R34" s="714" t="s">
        <v>17</v>
      </c>
      <c r="S34" s="715">
        <f t="shared" si="12"/>
        <v>100</v>
      </c>
      <c r="T34" s="714" t="s">
        <v>17</v>
      </c>
      <c r="U34" s="715">
        <f t="shared" si="13"/>
        <v>100</v>
      </c>
      <c r="V34" s="714" t="s">
        <v>17</v>
      </c>
      <c r="W34" s="715">
        <f t="shared" si="14"/>
        <v>100</v>
      </c>
      <c r="X34" s="1541"/>
      <c r="Y34" s="3423"/>
      <c r="Z34" s="1542">
        <f t="shared" si="15"/>
        <v>111</v>
      </c>
      <c r="AA34" s="1539">
        <f t="shared" si="3"/>
        <v>1</v>
      </c>
      <c r="AB34" s="1539">
        <f t="shared" si="4"/>
        <v>1</v>
      </c>
      <c r="AC34" s="1539">
        <f t="shared" si="5"/>
        <v>1</v>
      </c>
    </row>
    <row r="35" spans="1:29" s="430" customFormat="1" ht="16" x14ac:dyDescent="0.2">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23"/>
      <c r="Q35" s="716">
        <f t="shared" si="11"/>
        <v>111</v>
      </c>
      <c r="R35" s="717" t="s">
        <v>17</v>
      </c>
      <c r="S35" s="718">
        <f t="shared" si="12"/>
        <v>100</v>
      </c>
      <c r="T35" s="717" t="s">
        <v>17</v>
      </c>
      <c r="U35" s="718">
        <f t="shared" si="13"/>
        <v>100</v>
      </c>
      <c r="V35" s="717" t="s">
        <v>17</v>
      </c>
      <c r="W35" s="718">
        <f t="shared" si="14"/>
        <v>100</v>
      </c>
      <c r="X35" s="719"/>
      <c r="Y35" s="3423"/>
      <c r="Z35" s="720">
        <f t="shared" si="15"/>
        <v>111</v>
      </c>
      <c r="AA35" s="1539">
        <f t="shared" si="3"/>
        <v>1</v>
      </c>
      <c r="AB35" s="1539">
        <f t="shared" si="4"/>
        <v>1</v>
      </c>
      <c r="AC35" s="1539">
        <f t="shared" si="5"/>
        <v>1</v>
      </c>
    </row>
    <row r="36" spans="1:29" ht="17" thickBot="1" x14ac:dyDescent="0.25">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23"/>
      <c r="Q36" s="1538">
        <f t="shared" si="11"/>
        <v>111</v>
      </c>
      <c r="R36" s="714" t="s">
        <v>17</v>
      </c>
      <c r="S36" s="715">
        <f t="shared" si="12"/>
        <v>100</v>
      </c>
      <c r="T36" s="714" t="s">
        <v>17</v>
      </c>
      <c r="U36" s="715">
        <f t="shared" si="13"/>
        <v>100</v>
      </c>
      <c r="V36" s="714" t="s">
        <v>17</v>
      </c>
      <c r="W36" s="715">
        <f t="shared" si="14"/>
        <v>100</v>
      </c>
      <c r="X36" s="1541"/>
      <c r="Y36" s="3423"/>
      <c r="Z36" s="1542">
        <f t="shared" si="15"/>
        <v>111</v>
      </c>
      <c r="AA36" s="1539">
        <f t="shared" si="3"/>
        <v>1</v>
      </c>
      <c r="AB36" s="1539">
        <f t="shared" si="4"/>
        <v>1</v>
      </c>
      <c r="AC36" s="1539">
        <f t="shared" si="5"/>
        <v>1</v>
      </c>
    </row>
    <row r="37" spans="1:29" x14ac:dyDescent="0.2">
      <c r="A37" s="438" t="s">
        <v>2541</v>
      </c>
      <c r="B37" s="2161" t="s">
        <v>2542</v>
      </c>
      <c r="C37" s="1316" t="s">
        <v>1</v>
      </c>
      <c r="D37" s="1317"/>
      <c r="E37" s="1318"/>
      <c r="F37" s="1319"/>
      <c r="G37" s="1320"/>
      <c r="H37" s="1321"/>
      <c r="I37" s="1318"/>
      <c r="J37" s="1321"/>
      <c r="K37" s="576"/>
      <c r="L37" s="2953"/>
      <c r="M37" s="2954"/>
      <c r="N37" s="2945"/>
      <c r="O37" s="2954"/>
      <c r="P37" s="3411" t="str">
        <f>A37</f>
        <v>成交单价</v>
      </c>
      <c r="Q37" s="3411"/>
      <c r="R37" s="3425">
        <f>E37</f>
        <v>0</v>
      </c>
      <c r="S37" s="3425"/>
      <c r="T37" s="3425">
        <f>G37</f>
        <v>0</v>
      </c>
      <c r="U37" s="3425"/>
      <c r="V37" s="3425">
        <f>I37</f>
        <v>0</v>
      </c>
      <c r="W37" s="3425"/>
      <c r="X37" s="699"/>
      <c r="Y37" s="721"/>
      <c r="Z37" s="699"/>
      <c r="AA37" s="699"/>
      <c r="AB37" s="699"/>
      <c r="AC37" s="699"/>
    </row>
    <row r="38" spans="1:29" ht="15" thickBot="1" x14ac:dyDescent="0.25">
      <c r="A38" s="445" t="s">
        <v>2543</v>
      </c>
      <c r="B38" s="446" t="str">
        <f>B37</f>
        <v>元/车位</v>
      </c>
      <c r="C38" s="1322" t="e">
        <f>R39</f>
        <v>#DIV/0!</v>
      </c>
      <c r="D38" s="2540" t="s">
        <v>2879</v>
      </c>
      <c r="E38" s="1323" t="e">
        <f>R38</f>
        <v>#DIV/0!</v>
      </c>
      <c r="F38" s="2541"/>
      <c r="G38" s="1322" t="e">
        <f>T38</f>
        <v>#DIV/0!</v>
      </c>
      <c r="H38" s="2541"/>
      <c r="I38" s="1323" t="e">
        <f>V38</f>
        <v>#DIV/0!</v>
      </c>
      <c r="J38" s="2541"/>
      <c r="K38" s="2543">
        <f>F38+H38+J38</f>
        <v>0</v>
      </c>
      <c r="L38" s="2953"/>
      <c r="M38" s="2954"/>
      <c r="N38" s="2954"/>
      <c r="O38" s="2954"/>
      <c r="P38" s="3411" t="str">
        <f>A38</f>
        <v>比较价值（元/平方米）</v>
      </c>
      <c r="Q38" s="3411"/>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699"/>
      <c r="Y38" s="699"/>
      <c r="Z38" s="699"/>
      <c r="AA38" s="699"/>
      <c r="AB38" s="699"/>
      <c r="AC38" s="699"/>
    </row>
    <row r="39" spans="1:29" ht="15" thickBot="1" x14ac:dyDescent="0.25">
      <c r="A39" s="449" t="s">
        <v>2544</v>
      </c>
      <c r="B39" s="450"/>
      <c r="C39" s="1325" t="e">
        <f>R39</f>
        <v>#DIV/0!</v>
      </c>
      <c r="D39" s="1325"/>
      <c r="E39" s="1325"/>
      <c r="F39" s="1325"/>
      <c r="G39" s="1325"/>
      <c r="H39" s="1325"/>
      <c r="I39" s="1325"/>
      <c r="J39" s="1325"/>
      <c r="K39" s="577"/>
      <c r="L39" s="2953"/>
      <c r="M39" s="2954"/>
      <c r="N39" s="2954"/>
      <c r="O39" s="2954"/>
      <c r="P39" s="3460" t="str">
        <f>A39</f>
        <v>估价对象XX用房的比较价值（楼面单价，元/平方米）</v>
      </c>
      <c r="Q39" s="3461"/>
      <c r="R39" s="3558" t="e">
        <f>IF(F1="售价",ROUND(IF(D38="简单平均",AVERAGE(R38:W38),R38*F38+T38*H38+V38*J38),0),ROUND(IF(D38="简单平均",AVERAGE(R38:V38),R38*F38+T38*H38+V38*J38),1))</f>
        <v>#DIV/0!</v>
      </c>
      <c r="S39" s="3558"/>
      <c r="T39" s="3558"/>
      <c r="U39" s="3558"/>
      <c r="V39" s="3558"/>
      <c r="W39" s="3558"/>
      <c r="X39" s="699"/>
      <c r="Y39" s="699"/>
      <c r="Z39" s="699"/>
      <c r="AA39" s="699"/>
      <c r="AB39" s="699"/>
      <c r="AC39" s="699"/>
    </row>
    <row r="40" spans="1:29" x14ac:dyDescent="0.2">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x14ac:dyDescent="0.2">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x14ac:dyDescent="0.2">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x14ac:dyDescent="0.2">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x14ac:dyDescent="0.2">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x14ac:dyDescent="0.2">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x14ac:dyDescent="0.2">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 thickBot="1" x14ac:dyDescent="0.25">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x14ac:dyDescent="0.2">
      <c r="A48" s="462" t="s">
        <v>2549</v>
      </c>
      <c r="B48" s="463"/>
      <c r="C48" s="1346" t="str">
        <f>YEAR(C7)&amp;"-"&amp;MONTH(C7)</f>
        <v>2022-2</v>
      </c>
      <c r="D48" s="1347">
        <f>EDATE(C48,-1)</f>
        <v>44562</v>
      </c>
      <c r="E48" s="1347">
        <f t="shared" ref="E48:O48" si="16">EDATE(D48,-1)</f>
        <v>44531</v>
      </c>
      <c r="F48" s="1347">
        <f t="shared" si="16"/>
        <v>44501</v>
      </c>
      <c r="G48" s="1347">
        <f t="shared" si="16"/>
        <v>44470</v>
      </c>
      <c r="H48" s="1347">
        <f t="shared" si="16"/>
        <v>44440</v>
      </c>
      <c r="I48" s="1347">
        <f t="shared" si="16"/>
        <v>44409</v>
      </c>
      <c r="J48" s="1347">
        <f t="shared" si="16"/>
        <v>44378</v>
      </c>
      <c r="K48" s="1347">
        <f t="shared" si="16"/>
        <v>44348</v>
      </c>
      <c r="L48" s="1347">
        <f t="shared" si="16"/>
        <v>44317</v>
      </c>
      <c r="M48" s="1347">
        <f t="shared" si="16"/>
        <v>44287</v>
      </c>
      <c r="N48" s="1347">
        <f t="shared" si="16"/>
        <v>44256</v>
      </c>
      <c r="O48" s="1347">
        <f t="shared" si="16"/>
        <v>44228</v>
      </c>
      <c r="P48" s="2988"/>
      <c r="Q48" s="2970"/>
      <c r="R48" s="2970"/>
      <c r="S48" s="2970"/>
      <c r="T48" s="2970"/>
      <c r="U48" s="2970"/>
      <c r="V48" s="2970"/>
      <c r="W48" s="2970"/>
      <c r="X48" s="2970"/>
      <c r="Y48" s="2970"/>
      <c r="Z48" s="2970"/>
      <c r="AA48" s="2970"/>
      <c r="AB48" s="2970"/>
      <c r="AC48" s="2970"/>
    </row>
    <row r="49" spans="1:29" s="113" customFormat="1" x14ac:dyDescent="0.2">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 thickBot="1" x14ac:dyDescent="0.25">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x14ac:dyDescent="0.2">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 thickBot="1" x14ac:dyDescent="0.25">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x14ac:dyDescent="0.2">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 thickBot="1" x14ac:dyDescent="0.25">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9" thickTop="1" x14ac:dyDescent="0.2">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 thickBot="1" x14ac:dyDescent="0.25">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 thickTop="1" x14ac:dyDescent="0.2">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 thickBot="1" x14ac:dyDescent="0.25">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 thickTop="1" x14ac:dyDescent="0.2">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 thickBot="1" x14ac:dyDescent="0.25">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 thickTop="1" x14ac:dyDescent="0.2">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 thickBot="1" x14ac:dyDescent="0.25">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x14ac:dyDescent="0.2">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 thickBot="1" x14ac:dyDescent="0.25">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 thickTop="1" x14ac:dyDescent="0.2">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 thickBot="1" x14ac:dyDescent="0.25">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 thickTop="1" x14ac:dyDescent="0.2">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 thickBot="1" x14ac:dyDescent="0.25">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 thickTop="1" x14ac:dyDescent="0.2">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 thickBot="1" x14ac:dyDescent="0.25">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 thickTop="1" x14ac:dyDescent="0.2">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 thickBot="1" x14ac:dyDescent="0.25">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 thickTop="1" x14ac:dyDescent="0.2">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 thickBot="1" x14ac:dyDescent="0.25">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 thickTop="1" x14ac:dyDescent="0.2">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 thickBot="1" x14ac:dyDescent="0.25">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 thickTop="1" x14ac:dyDescent="0.2">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 thickBot="1" x14ac:dyDescent="0.25">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9" thickTop="1" x14ac:dyDescent="0.2">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 thickBot="1" x14ac:dyDescent="0.25">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 thickTop="1" x14ac:dyDescent="0.2">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 thickBot="1" x14ac:dyDescent="0.25">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x14ac:dyDescent="0.2">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 thickBot="1" x14ac:dyDescent="0.25">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x14ac:dyDescent="0.2">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x14ac:dyDescent="0.2">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 thickBot="1" x14ac:dyDescent="0.25">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x14ac:dyDescent="0.2">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 thickBot="1" x14ac:dyDescent="0.25">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x14ac:dyDescent="0.2">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x14ac:dyDescent="0.2">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 thickBot="1" x14ac:dyDescent="0.25">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x14ac:dyDescent="0.2">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 thickBot="1" x14ac:dyDescent="0.25">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x14ac:dyDescent="0.2">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 thickBot="1" x14ac:dyDescent="0.25">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x14ac:dyDescent="0.2">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 thickBot="1" x14ac:dyDescent="0.25">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x14ac:dyDescent="0.2">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 thickBot="1" x14ac:dyDescent="0.25">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x14ac:dyDescent="0.2">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 thickBot="1" x14ac:dyDescent="0.25">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x14ac:dyDescent="0.2">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D241"/>
  <sheetViews>
    <sheetView view="pageBreakPreview" zoomScale="60" zoomScaleNormal="70" workbookViewId="0">
      <selection activeCell="F7" sqref="F7:F34"/>
    </sheetView>
  </sheetViews>
  <sheetFormatPr baseColWidth="10" defaultColWidth="9" defaultRowHeight="14" x14ac:dyDescent="0.2"/>
  <cols>
    <col min="1" max="1" width="10.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x14ac:dyDescent="0.25">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x14ac:dyDescent="0.2">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x14ac:dyDescent="0.25">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x14ac:dyDescent="0.2">
      <c r="A4" s="361" t="s">
        <v>2466</v>
      </c>
      <c r="B4" s="362"/>
      <c r="C4" s="3429" t="s">
        <v>2467</v>
      </c>
      <c r="D4" s="3430"/>
      <c r="E4" s="3431" t="s">
        <v>2468</v>
      </c>
      <c r="F4" s="3432"/>
      <c r="G4" s="3429" t="s">
        <v>2469</v>
      </c>
      <c r="H4" s="3430"/>
      <c r="I4" s="3429" t="s">
        <v>2470</v>
      </c>
      <c r="J4" s="3430"/>
      <c r="K4" s="567" t="s">
        <v>2471</v>
      </c>
      <c r="L4" s="2944"/>
      <c r="M4" s="2945"/>
      <c r="N4" s="2945"/>
      <c r="O4" s="2945"/>
      <c r="P4" s="3464" t="s">
        <v>2472</v>
      </c>
      <c r="Q4" s="3465"/>
      <c r="R4" s="3468" t="s">
        <v>2468</v>
      </c>
      <c r="S4" s="3469"/>
      <c r="T4" s="3468" t="s">
        <v>2469</v>
      </c>
      <c r="U4" s="3469"/>
      <c r="V4" s="3446" t="s">
        <v>2470</v>
      </c>
      <c r="W4" s="3446"/>
      <c r="X4" s="1541"/>
      <c r="Y4" s="3468" t="s">
        <v>2472</v>
      </c>
      <c r="Z4" s="3469"/>
      <c r="AA4" s="3463" t="s">
        <v>2468</v>
      </c>
      <c r="AB4" s="3458" t="s">
        <v>2469</v>
      </c>
      <c r="AC4" s="3463" t="s">
        <v>2470</v>
      </c>
    </row>
    <row r="5" spans="1:29" x14ac:dyDescent="0.2">
      <c r="A5" s="364"/>
      <c r="B5" s="365"/>
      <c r="C5" s="3554" t="s">
        <v>2363</v>
      </c>
      <c r="D5" s="3472"/>
      <c r="E5" s="3556" t="s">
        <v>2364</v>
      </c>
      <c r="F5" s="3454"/>
      <c r="G5" s="3554" t="s">
        <v>2365</v>
      </c>
      <c r="H5" s="3472"/>
      <c r="I5" s="3554" t="s">
        <v>2366</v>
      </c>
      <c r="J5" s="3472"/>
      <c r="K5" s="567"/>
      <c r="L5" s="2944"/>
      <c r="M5" s="2945"/>
      <c r="N5" s="2945"/>
      <c r="O5" s="2945"/>
      <c r="P5" s="3466"/>
      <c r="Q5" s="3436"/>
      <c r="R5" s="3441"/>
      <c r="S5" s="3442"/>
      <c r="T5" s="3441"/>
      <c r="U5" s="3442"/>
      <c r="V5" s="3446"/>
      <c r="W5" s="3446"/>
      <c r="X5" s="1541"/>
      <c r="Y5" s="3441"/>
      <c r="Z5" s="3442"/>
      <c r="AA5" s="3458"/>
      <c r="AB5" s="3458"/>
      <c r="AC5" s="3458"/>
    </row>
    <row r="6" spans="1:29" ht="15" thickBot="1" x14ac:dyDescent="0.25">
      <c r="A6" s="366"/>
      <c r="B6" s="367"/>
      <c r="C6" s="3470" t="s">
        <v>2367</v>
      </c>
      <c r="D6" s="3471"/>
      <c r="E6" s="3555" t="s">
        <v>2367</v>
      </c>
      <c r="F6" s="3456"/>
      <c r="G6" s="3470" t="s">
        <v>2367</v>
      </c>
      <c r="H6" s="3471"/>
      <c r="I6" s="3470" t="s">
        <v>2367</v>
      </c>
      <c r="J6" s="3471"/>
      <c r="K6" s="567" t="s">
        <v>2368</v>
      </c>
      <c r="L6" s="2944"/>
      <c r="M6" s="2945"/>
      <c r="N6" s="2945"/>
      <c r="O6" s="2945"/>
      <c r="P6" s="3467"/>
      <c r="Q6" s="3438"/>
      <c r="R6" s="3441"/>
      <c r="S6" s="3442"/>
      <c r="T6" s="3443"/>
      <c r="U6" s="3444"/>
      <c r="V6" s="3446"/>
      <c r="W6" s="3446"/>
      <c r="X6" s="1541"/>
      <c r="Y6" s="3443"/>
      <c r="Z6" s="3444"/>
      <c r="AA6" s="3459"/>
      <c r="AB6" s="3459"/>
      <c r="AC6" s="3459"/>
    </row>
    <row r="7" spans="1:29" s="113" customFormat="1" ht="15" thickBot="1" x14ac:dyDescent="0.25">
      <c r="A7" s="368" t="s">
        <v>2369</v>
      </c>
      <c r="B7" s="369"/>
      <c r="C7" s="370">
        <f>'数据-取费表'!B2</f>
        <v>44606</v>
      </c>
      <c r="D7" s="371">
        <v>100</v>
      </c>
      <c r="E7" s="372"/>
      <c r="F7" s="373">
        <f>SUMIF(46:46,YEAR(E7)&amp;"-"&amp;MONTH(E7),47:47)</f>
        <v>0</v>
      </c>
      <c r="G7" s="2162"/>
      <c r="H7" s="371">
        <f>SUMIF(46:46,YEAR(G7)&amp;"-"&amp;MONTH(G7),47:47)</f>
        <v>0</v>
      </c>
      <c r="I7" s="372"/>
      <c r="J7" s="371">
        <f>SUMIF(46:46,YEAR(I7)&amp;"-"&amp;MONTH(I7),47:47)</f>
        <v>0</v>
      </c>
      <c r="K7" s="568"/>
      <c r="L7" s="2946"/>
      <c r="M7" s="2947"/>
      <c r="N7" s="2947"/>
      <c r="O7" s="2947"/>
      <c r="P7" s="3451" t="s">
        <v>2370</v>
      </c>
      <c r="Q7" s="3452"/>
      <c r="R7" s="710" t="s">
        <v>17</v>
      </c>
      <c r="S7" s="711">
        <f t="shared" ref="S7:S14" si="0">F7</f>
        <v>0</v>
      </c>
      <c r="T7" s="710" t="s">
        <v>17</v>
      </c>
      <c r="U7" s="711">
        <f t="shared" ref="U7:U14" si="1">H7</f>
        <v>0</v>
      </c>
      <c r="V7" s="710" t="s">
        <v>17</v>
      </c>
      <c r="W7" s="711">
        <f t="shared" ref="W7:W14" si="2">J7</f>
        <v>0</v>
      </c>
      <c r="X7" s="712"/>
      <c r="Y7" s="3451" t="s">
        <v>2370</v>
      </c>
      <c r="Z7" s="3450"/>
      <c r="AA7" s="713" t="e">
        <f>D7/F7</f>
        <v>#DIV/0!</v>
      </c>
      <c r="AB7" s="713" t="e">
        <f>D7/H7</f>
        <v>#DIV/0!</v>
      </c>
      <c r="AC7" s="713" t="e">
        <f>D7/J7</f>
        <v>#DIV/0!</v>
      </c>
    </row>
    <row r="8" spans="1:29" s="113" customFormat="1" ht="15" thickBot="1" x14ac:dyDescent="0.25">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51" t="s">
        <v>2373</v>
      </c>
      <c r="Q8" s="3450"/>
      <c r="R8" s="710" t="s">
        <v>17</v>
      </c>
      <c r="S8" s="711">
        <f t="shared" si="0"/>
        <v>0</v>
      </c>
      <c r="T8" s="710" t="s">
        <v>17</v>
      </c>
      <c r="U8" s="711">
        <f t="shared" si="1"/>
        <v>0</v>
      </c>
      <c r="V8" s="710" t="s">
        <v>17</v>
      </c>
      <c r="W8" s="711">
        <f t="shared" si="2"/>
        <v>0</v>
      </c>
      <c r="X8" s="712"/>
      <c r="Y8" s="3451" t="s">
        <v>2373</v>
      </c>
      <c r="Z8" s="3450"/>
      <c r="AA8" s="713" t="e">
        <f t="shared" ref="AA8:AA34" si="3">D8/F8</f>
        <v>#DIV/0!</v>
      </c>
      <c r="AB8" s="713" t="e">
        <f t="shared" ref="AB8:AB34" si="4">D8/H8</f>
        <v>#DIV/0!</v>
      </c>
      <c r="AC8" s="713" t="e">
        <f t="shared" ref="AC8:AC34" si="5">D8/J8</f>
        <v>#DIV/0!</v>
      </c>
    </row>
    <row r="9" spans="1:29" s="113" customFormat="1" x14ac:dyDescent="0.2">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11" t="s">
        <v>2376</v>
      </c>
      <c r="Q9" s="1529" t="str">
        <f t="shared" ref="Q9:Q14" si="6">B9</f>
        <v>用途</v>
      </c>
      <c r="R9" s="710" t="s">
        <v>17</v>
      </c>
      <c r="S9" s="711">
        <f t="shared" si="0"/>
        <v>100</v>
      </c>
      <c r="T9" s="710" t="s">
        <v>17</v>
      </c>
      <c r="U9" s="711">
        <f t="shared" si="1"/>
        <v>100</v>
      </c>
      <c r="V9" s="710" t="s">
        <v>17</v>
      </c>
      <c r="W9" s="711">
        <f t="shared" si="2"/>
        <v>100</v>
      </c>
      <c r="X9" s="712"/>
      <c r="Y9" s="3311" t="s">
        <v>2377</v>
      </c>
      <c r="Z9" s="55" t="str">
        <f t="shared" ref="Z9:Z14" si="7">Q9</f>
        <v>用途</v>
      </c>
      <c r="AA9" s="713">
        <f t="shared" si="3"/>
        <v>1</v>
      </c>
      <c r="AB9" s="713">
        <f t="shared" si="4"/>
        <v>1</v>
      </c>
      <c r="AC9" s="713">
        <f t="shared" si="5"/>
        <v>1</v>
      </c>
    </row>
    <row r="10" spans="1:29" s="386" customFormat="1" ht="28" x14ac:dyDescent="0.2">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11"/>
      <c r="Q10" s="1529"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6" x14ac:dyDescent="0.2">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11"/>
      <c r="Q11" s="1529">
        <f t="shared" si="6"/>
        <v>111</v>
      </c>
      <c r="R11" s="710" t="s">
        <v>17</v>
      </c>
      <c r="S11" s="711">
        <f t="shared" si="0"/>
        <v>100</v>
      </c>
      <c r="T11" s="710" t="s">
        <v>17</v>
      </c>
      <c r="U11" s="711">
        <f t="shared" si="1"/>
        <v>100</v>
      </c>
      <c r="V11" s="710" t="s">
        <v>17</v>
      </c>
      <c r="W11" s="711">
        <f t="shared" si="2"/>
        <v>100</v>
      </c>
      <c r="X11" s="712"/>
      <c r="Y11" s="3311"/>
      <c r="Z11" s="55">
        <f t="shared" si="7"/>
        <v>111</v>
      </c>
      <c r="AA11" s="713">
        <f t="shared" si="3"/>
        <v>1</v>
      </c>
      <c r="AB11" s="713">
        <f t="shared" si="4"/>
        <v>1</v>
      </c>
      <c r="AC11" s="713">
        <f t="shared" si="5"/>
        <v>1</v>
      </c>
    </row>
    <row r="12" spans="1:29" s="113" customFormat="1" ht="16" x14ac:dyDescent="0.2">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11"/>
      <c r="Q12" s="1529">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7" thickBot="1" x14ac:dyDescent="0.25">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1"/>
      <c r="M13" s="2945"/>
      <c r="N13" s="2945"/>
      <c r="O13" s="3003"/>
      <c r="P13" s="3411"/>
      <c r="Q13" s="1529">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84" x14ac:dyDescent="0.2">
      <c r="A14" s="399" t="s">
        <v>2380</v>
      </c>
      <c r="B14" s="65" t="s">
        <v>2530</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18" t="s">
        <v>2381</v>
      </c>
      <c r="Q14" s="1538" t="str">
        <f t="shared" si="6"/>
        <v>交通便捷度</v>
      </c>
      <c r="R14" s="714" t="s">
        <v>17</v>
      </c>
      <c r="S14" s="715">
        <f t="shared" si="0"/>
        <v>100</v>
      </c>
      <c r="T14" s="714" t="s">
        <v>17</v>
      </c>
      <c r="U14" s="715">
        <f t="shared" si="1"/>
        <v>100</v>
      </c>
      <c r="V14" s="714" t="s">
        <v>17</v>
      </c>
      <c r="W14" s="715">
        <f t="shared" si="2"/>
        <v>100</v>
      </c>
      <c r="X14" s="1541"/>
      <c r="Y14" s="3418" t="s">
        <v>2381</v>
      </c>
      <c r="Z14" s="1542" t="str">
        <f t="shared" si="7"/>
        <v>交通便捷度</v>
      </c>
      <c r="AA14" s="1539">
        <f t="shared" si="3"/>
        <v>1</v>
      </c>
      <c r="AB14" s="1539">
        <f t="shared" si="4"/>
        <v>1</v>
      </c>
      <c r="AC14" s="1539">
        <f t="shared" si="5"/>
        <v>1</v>
      </c>
    </row>
    <row r="15" spans="1:29" ht="16" x14ac:dyDescent="0.2">
      <c r="A15" s="387"/>
      <c r="B15" s="405"/>
      <c r="C15" s="406"/>
      <c r="D15" s="407"/>
      <c r="E15" s="406"/>
      <c r="F15" s="408"/>
      <c r="G15" s="406"/>
      <c r="H15" s="409"/>
      <c r="I15" s="406"/>
      <c r="J15" s="407"/>
      <c r="K15" s="572"/>
      <c r="L15" s="2951"/>
      <c r="M15" s="2945"/>
      <c r="N15" s="2945"/>
      <c r="O15" s="3003"/>
      <c r="P15" s="3419"/>
      <c r="Q15" s="1538"/>
      <c r="R15" s="714"/>
      <c r="S15" s="715"/>
      <c r="T15" s="714"/>
      <c r="U15" s="715"/>
      <c r="V15" s="714"/>
      <c r="W15" s="715"/>
      <c r="X15" s="1541"/>
      <c r="Y15" s="3419"/>
      <c r="Z15" s="1542"/>
      <c r="AA15" s="1539">
        <v>1</v>
      </c>
      <c r="AB15" s="1539">
        <v>1</v>
      </c>
      <c r="AC15" s="1539">
        <v>1</v>
      </c>
    </row>
    <row r="16" spans="1:29" ht="42" x14ac:dyDescent="0.2">
      <c r="A16" s="387"/>
      <c r="B16" s="410" t="s">
        <v>2509</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19"/>
      <c r="Q16" s="1538" t="str">
        <f>B16</f>
        <v>公共配套设施</v>
      </c>
      <c r="R16" s="714" t="s">
        <v>17</v>
      </c>
      <c r="S16" s="715">
        <f>F16</f>
        <v>100</v>
      </c>
      <c r="T16" s="714" t="s">
        <v>17</v>
      </c>
      <c r="U16" s="715">
        <f>H16</f>
        <v>100</v>
      </c>
      <c r="V16" s="714" t="s">
        <v>17</v>
      </c>
      <c r="W16" s="715">
        <f>J16</f>
        <v>100</v>
      </c>
      <c r="X16" s="1541"/>
      <c r="Y16" s="3419"/>
      <c r="Z16" s="1542" t="str">
        <f>Q16</f>
        <v>公共配套设施</v>
      </c>
      <c r="AA16" s="1539">
        <f t="shared" si="3"/>
        <v>1</v>
      </c>
      <c r="AB16" s="1539">
        <f t="shared" si="4"/>
        <v>1</v>
      </c>
      <c r="AC16" s="1539">
        <f t="shared" si="5"/>
        <v>1</v>
      </c>
    </row>
    <row r="17" spans="1:29" ht="16" x14ac:dyDescent="0.2">
      <c r="A17" s="387"/>
      <c r="B17" s="415"/>
      <c r="C17" s="2089"/>
      <c r="D17" s="407"/>
      <c r="E17" s="406"/>
      <c r="F17" s="408"/>
      <c r="G17" s="406"/>
      <c r="H17" s="407"/>
      <c r="I17" s="406"/>
      <c r="J17" s="407"/>
      <c r="K17" s="572"/>
      <c r="L17" s="2951"/>
      <c r="M17" s="2945"/>
      <c r="N17" s="2945"/>
      <c r="O17" s="3003"/>
      <c r="P17" s="3419"/>
      <c r="Q17" s="1538"/>
      <c r="R17" s="714"/>
      <c r="S17" s="715"/>
      <c r="T17" s="714"/>
      <c r="U17" s="715"/>
      <c r="V17" s="714"/>
      <c r="W17" s="715"/>
      <c r="X17" s="1541"/>
      <c r="Y17" s="3419"/>
      <c r="Z17" s="1542"/>
      <c r="AA17" s="1539">
        <v>1</v>
      </c>
      <c r="AB17" s="1539">
        <v>1</v>
      </c>
      <c r="AC17" s="1539">
        <v>1</v>
      </c>
    </row>
    <row r="18" spans="1:29" ht="28" x14ac:dyDescent="0.2">
      <c r="A18" s="387"/>
      <c r="B18" s="1293" t="s">
        <v>2510</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19"/>
      <c r="Q18" s="1538" t="str">
        <f>B18</f>
        <v>基础设施水平</v>
      </c>
      <c r="R18" s="714" t="s">
        <v>17</v>
      </c>
      <c r="S18" s="715">
        <f>F18</f>
        <v>100</v>
      </c>
      <c r="T18" s="714" t="s">
        <v>17</v>
      </c>
      <c r="U18" s="715">
        <f>H18</f>
        <v>100</v>
      </c>
      <c r="V18" s="714" t="s">
        <v>17</v>
      </c>
      <c r="W18" s="715">
        <f>J18</f>
        <v>100</v>
      </c>
      <c r="X18" s="1541"/>
      <c r="Y18" s="3419"/>
      <c r="Z18" s="1542" t="str">
        <f>Q18</f>
        <v>基础设施水平</v>
      </c>
      <c r="AA18" s="1539">
        <f t="shared" ref="AA18" si="8">D18/F18</f>
        <v>1</v>
      </c>
      <c r="AB18" s="1539">
        <f t="shared" ref="AB18" si="9">D18/H18</f>
        <v>1</v>
      </c>
      <c r="AC18" s="1539">
        <f t="shared" ref="AC18" si="10">D18/J18</f>
        <v>1</v>
      </c>
    </row>
    <row r="19" spans="1:29" ht="16" x14ac:dyDescent="0.2">
      <c r="A19" s="387"/>
      <c r="B19" s="1293"/>
      <c r="C19" s="2089"/>
      <c r="D19" s="409"/>
      <c r="E19" s="2089"/>
      <c r="F19" s="412"/>
      <c r="G19" s="2089"/>
      <c r="H19" s="407"/>
      <c r="I19" s="406"/>
      <c r="J19" s="407"/>
      <c r="K19" s="1292"/>
      <c r="L19" s="2951"/>
      <c r="M19" s="2945"/>
      <c r="N19" s="2945"/>
      <c r="O19" s="3003"/>
      <c r="P19" s="3419"/>
      <c r="Q19" s="1538"/>
      <c r="R19" s="714"/>
      <c r="S19" s="715"/>
      <c r="T19" s="714"/>
      <c r="U19" s="715"/>
      <c r="V19" s="714"/>
      <c r="W19" s="715"/>
      <c r="X19" s="1541"/>
      <c r="Y19" s="3419"/>
      <c r="Z19" s="1542"/>
      <c r="AA19" s="1539">
        <v>1</v>
      </c>
      <c r="AB19" s="1539">
        <v>1</v>
      </c>
      <c r="AC19" s="1539">
        <v>1</v>
      </c>
    </row>
    <row r="20" spans="1:29" ht="56" x14ac:dyDescent="0.2">
      <c r="A20" s="387"/>
      <c r="B20" s="410" t="s">
        <v>2531</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19"/>
      <c r="Q20" s="1538" t="str">
        <f>B20</f>
        <v>自然及人文环境</v>
      </c>
      <c r="R20" s="714" t="s">
        <v>17</v>
      </c>
      <c r="S20" s="715">
        <f>F20</f>
        <v>100</v>
      </c>
      <c r="T20" s="714" t="s">
        <v>17</v>
      </c>
      <c r="U20" s="715">
        <f>H20</f>
        <v>100</v>
      </c>
      <c r="V20" s="714" t="s">
        <v>17</v>
      </c>
      <c r="W20" s="715">
        <f>J20</f>
        <v>100</v>
      </c>
      <c r="X20" s="1541"/>
      <c r="Y20" s="3419"/>
      <c r="Z20" s="1542" t="str">
        <f>Q20</f>
        <v>自然及人文环境</v>
      </c>
      <c r="AA20" s="1539">
        <f t="shared" si="3"/>
        <v>1</v>
      </c>
      <c r="AB20" s="1539">
        <f t="shared" si="4"/>
        <v>1</v>
      </c>
      <c r="AC20" s="1539">
        <f t="shared" si="5"/>
        <v>1</v>
      </c>
    </row>
    <row r="21" spans="1:29" ht="16" x14ac:dyDescent="0.2">
      <c r="A21" s="387"/>
      <c r="B21" s="415"/>
      <c r="C21" s="406"/>
      <c r="D21" s="407"/>
      <c r="E21" s="406"/>
      <c r="F21" s="408"/>
      <c r="G21" s="406"/>
      <c r="H21" s="407"/>
      <c r="I21" s="406"/>
      <c r="J21" s="407"/>
      <c r="K21" s="572"/>
      <c r="L21" s="2951"/>
      <c r="M21" s="2945"/>
      <c r="N21" s="2945"/>
      <c r="O21" s="3003"/>
      <c r="P21" s="3419"/>
      <c r="Q21" s="1538"/>
      <c r="R21" s="714"/>
      <c r="S21" s="715"/>
      <c r="T21" s="714"/>
      <c r="U21" s="715"/>
      <c r="V21" s="714"/>
      <c r="W21" s="715"/>
      <c r="X21" s="1541"/>
      <c r="Y21" s="3419"/>
      <c r="Z21" s="1542"/>
      <c r="AA21" s="1539">
        <v>1</v>
      </c>
      <c r="AB21" s="1539">
        <v>1</v>
      </c>
      <c r="AC21" s="1539">
        <v>1</v>
      </c>
    </row>
    <row r="22" spans="1:29" ht="16" x14ac:dyDescent="0.2">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19"/>
      <c r="Q22" s="1538" t="str">
        <f>B22</f>
        <v>楼层</v>
      </c>
      <c r="R22" s="714" t="s">
        <v>17</v>
      </c>
      <c r="S22" s="715">
        <f>F22</f>
        <v>100</v>
      </c>
      <c r="T22" s="714" t="s">
        <v>17</v>
      </c>
      <c r="U22" s="715">
        <f>H22</f>
        <v>100</v>
      </c>
      <c r="V22" s="714" t="s">
        <v>17</v>
      </c>
      <c r="W22" s="715">
        <f>J22</f>
        <v>100</v>
      </c>
      <c r="X22" s="1541"/>
      <c r="Y22" s="3419"/>
      <c r="Z22" s="1542" t="str">
        <f>Q22</f>
        <v>楼层</v>
      </c>
      <c r="AA22" s="1539">
        <f t="shared" si="3"/>
        <v>1</v>
      </c>
      <c r="AB22" s="1539">
        <f t="shared" si="4"/>
        <v>1</v>
      </c>
      <c r="AC22" s="1539">
        <f t="shared" si="5"/>
        <v>1</v>
      </c>
    </row>
    <row r="23" spans="1:29" ht="16" x14ac:dyDescent="0.2">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19"/>
      <c r="Q23" s="1538">
        <f>B23</f>
        <v>111</v>
      </c>
      <c r="R23" s="714" t="s">
        <v>17</v>
      </c>
      <c r="S23" s="715">
        <f>F23</f>
        <v>100</v>
      </c>
      <c r="T23" s="714" t="s">
        <v>17</v>
      </c>
      <c r="U23" s="715">
        <f>H23</f>
        <v>100</v>
      </c>
      <c r="V23" s="714" t="s">
        <v>17</v>
      </c>
      <c r="W23" s="715">
        <f>J23</f>
        <v>100</v>
      </c>
      <c r="X23" s="1541"/>
      <c r="Y23" s="3419"/>
      <c r="Z23" s="1542">
        <f>Q23</f>
        <v>111</v>
      </c>
      <c r="AA23" s="1539">
        <f t="shared" si="3"/>
        <v>1</v>
      </c>
      <c r="AB23" s="1539">
        <f t="shared" si="4"/>
        <v>1</v>
      </c>
      <c r="AC23" s="1539">
        <f t="shared" si="5"/>
        <v>1</v>
      </c>
    </row>
    <row r="24" spans="1:29" ht="16" x14ac:dyDescent="0.2">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19"/>
      <c r="Q24" s="1538">
        <f t="shared" ref="Q24:Q34" si="11">B24</f>
        <v>111</v>
      </c>
      <c r="R24" s="714" t="s">
        <v>17</v>
      </c>
      <c r="S24" s="715">
        <f>F24</f>
        <v>100</v>
      </c>
      <c r="T24" s="714" t="s">
        <v>17</v>
      </c>
      <c r="U24" s="715">
        <f>H24</f>
        <v>100</v>
      </c>
      <c r="V24" s="714" t="s">
        <v>17</v>
      </c>
      <c r="W24" s="715">
        <f>J24</f>
        <v>100</v>
      </c>
      <c r="X24" s="1541"/>
      <c r="Y24" s="3419"/>
      <c r="Z24" s="1542">
        <f>Q24</f>
        <v>111</v>
      </c>
      <c r="AA24" s="1539">
        <f t="shared" si="3"/>
        <v>1</v>
      </c>
      <c r="AB24" s="1539">
        <f t="shared" si="4"/>
        <v>1</v>
      </c>
      <c r="AC24" s="1539">
        <f t="shared" si="5"/>
        <v>1</v>
      </c>
    </row>
    <row r="25" spans="1:29" s="113" customFormat="1" ht="17" thickBot="1" x14ac:dyDescent="0.25">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6"/>
      <c r="M25" s="2947"/>
      <c r="N25" s="2947"/>
      <c r="O25" s="3001"/>
      <c r="P25" s="3419"/>
      <c r="Q25" s="1529">
        <f t="shared" si="11"/>
        <v>111</v>
      </c>
      <c r="R25" s="710" t="s">
        <v>17</v>
      </c>
      <c r="S25" s="711">
        <f>F25</f>
        <v>100</v>
      </c>
      <c r="T25" s="710" t="s">
        <v>17</v>
      </c>
      <c r="U25" s="711">
        <f>H25</f>
        <v>100</v>
      </c>
      <c r="V25" s="710" t="s">
        <v>17</v>
      </c>
      <c r="W25" s="711">
        <f>J25</f>
        <v>100</v>
      </c>
      <c r="X25" s="712"/>
      <c r="Y25" s="3419"/>
      <c r="Z25" s="55">
        <f>Q25</f>
        <v>111</v>
      </c>
      <c r="AA25" s="1539">
        <f>D25/F25</f>
        <v>1</v>
      </c>
      <c r="AB25" s="1539">
        <f>D25/H25</f>
        <v>1</v>
      </c>
      <c r="AC25" s="1539">
        <f>D25/J25</f>
        <v>1</v>
      </c>
    </row>
    <row r="26" spans="1:29" ht="16" x14ac:dyDescent="0.2">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51"/>
      <c r="M26" s="2945"/>
      <c r="N26" s="2945"/>
      <c r="O26" s="3003"/>
      <c r="P26" s="3557"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423" t="s">
        <v>2386</v>
      </c>
      <c r="Z26" s="1542" t="str">
        <f t="shared" ref="Z26:Z34" si="15">Q26</f>
        <v>公共部分装修</v>
      </c>
      <c r="AA26" s="1539">
        <f t="shared" si="3"/>
        <v>1</v>
      </c>
      <c r="AB26" s="1539">
        <f t="shared" si="4"/>
        <v>1</v>
      </c>
      <c r="AC26" s="1539">
        <f t="shared" si="5"/>
        <v>1</v>
      </c>
    </row>
    <row r="27" spans="1:29" s="430" customFormat="1" ht="16" x14ac:dyDescent="0.2">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23"/>
      <c r="Q27" s="716" t="str">
        <f t="shared" si="11"/>
        <v>成新率</v>
      </c>
      <c r="R27" s="717" t="s">
        <v>17</v>
      </c>
      <c r="S27" s="718" t="e">
        <f t="shared" si="12"/>
        <v>#N/A</v>
      </c>
      <c r="T27" s="717" t="s">
        <v>17</v>
      </c>
      <c r="U27" s="718" t="e">
        <f t="shared" si="13"/>
        <v>#N/A</v>
      </c>
      <c r="V27" s="717" t="s">
        <v>17</v>
      </c>
      <c r="W27" s="718" t="e">
        <f t="shared" si="14"/>
        <v>#N/A</v>
      </c>
      <c r="X27" s="719"/>
      <c r="Y27" s="3423"/>
      <c r="Z27" s="720" t="str">
        <f t="shared" si="15"/>
        <v>成新率</v>
      </c>
      <c r="AA27" s="1539" t="e">
        <f t="shared" si="3"/>
        <v>#N/A</v>
      </c>
      <c r="AB27" s="1539" t="e">
        <f t="shared" si="4"/>
        <v>#N/A</v>
      </c>
      <c r="AC27" s="1539" t="e">
        <f t="shared" si="5"/>
        <v>#N/A</v>
      </c>
    </row>
    <row r="28" spans="1:29" ht="16" x14ac:dyDescent="0.2">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23"/>
      <c r="Q28" s="1538" t="str">
        <f t="shared" si="11"/>
        <v>物业等级</v>
      </c>
      <c r="R28" s="714" t="s">
        <v>17</v>
      </c>
      <c r="S28" s="715">
        <f t="shared" si="12"/>
        <v>100</v>
      </c>
      <c r="T28" s="714" t="s">
        <v>17</v>
      </c>
      <c r="U28" s="715">
        <f t="shared" si="13"/>
        <v>100</v>
      </c>
      <c r="V28" s="714" t="s">
        <v>17</v>
      </c>
      <c r="W28" s="715">
        <f t="shared" si="14"/>
        <v>100</v>
      </c>
      <c r="X28" s="1541"/>
      <c r="Y28" s="3423"/>
      <c r="Z28" s="1542" t="str">
        <f t="shared" si="15"/>
        <v>物业等级</v>
      </c>
      <c r="AA28" s="1539">
        <f t="shared" si="3"/>
        <v>1</v>
      </c>
      <c r="AB28" s="1539">
        <f t="shared" si="4"/>
        <v>1</v>
      </c>
      <c r="AC28" s="1539">
        <f t="shared" si="5"/>
        <v>1</v>
      </c>
    </row>
    <row r="29" spans="1:29" ht="16" x14ac:dyDescent="0.2">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23"/>
      <c r="Q29" s="1538" t="str">
        <f t="shared" si="11"/>
        <v>有无电梯</v>
      </c>
      <c r="R29" s="714" t="s">
        <v>17</v>
      </c>
      <c r="S29" s="715">
        <f t="shared" si="12"/>
        <v>100</v>
      </c>
      <c r="T29" s="714" t="s">
        <v>17</v>
      </c>
      <c r="U29" s="715">
        <f t="shared" si="13"/>
        <v>100</v>
      </c>
      <c r="V29" s="714" t="s">
        <v>17</v>
      </c>
      <c r="W29" s="715">
        <f t="shared" si="14"/>
        <v>100</v>
      </c>
      <c r="X29" s="1541"/>
      <c r="Y29" s="3423"/>
      <c r="Z29" s="1542" t="str">
        <f t="shared" si="15"/>
        <v>有无电梯</v>
      </c>
      <c r="AA29" s="1539">
        <f t="shared" si="3"/>
        <v>1</v>
      </c>
      <c r="AB29" s="1539">
        <f t="shared" si="4"/>
        <v>1</v>
      </c>
      <c r="AC29" s="1539">
        <f t="shared" si="5"/>
        <v>1</v>
      </c>
    </row>
    <row r="30" spans="1:29" ht="16" x14ac:dyDescent="0.2">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23"/>
      <c r="Q30" s="1538" t="str">
        <f t="shared" si="11"/>
        <v>建筑面积</v>
      </c>
      <c r="R30" s="714" t="s">
        <v>17</v>
      </c>
      <c r="S30" s="715" t="e">
        <f t="shared" si="12"/>
        <v>#N/A</v>
      </c>
      <c r="T30" s="714" t="s">
        <v>17</v>
      </c>
      <c r="U30" s="715" t="e">
        <f t="shared" si="13"/>
        <v>#N/A</v>
      </c>
      <c r="V30" s="714" t="s">
        <v>17</v>
      </c>
      <c r="W30" s="715" t="e">
        <f t="shared" si="14"/>
        <v>#N/A</v>
      </c>
      <c r="X30" s="1541"/>
      <c r="Y30" s="3423"/>
      <c r="Z30" s="1542" t="str">
        <f t="shared" si="15"/>
        <v>建筑面积</v>
      </c>
      <c r="AA30" s="1539" t="e">
        <f t="shared" si="3"/>
        <v>#N/A</v>
      </c>
      <c r="AB30" s="1539" t="e">
        <f t="shared" si="4"/>
        <v>#N/A</v>
      </c>
      <c r="AC30" s="1539" t="e">
        <f t="shared" si="5"/>
        <v>#N/A</v>
      </c>
    </row>
    <row r="31" spans="1:29" s="113" customFormat="1" ht="16" x14ac:dyDescent="0.2">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23"/>
      <c r="Q31" s="1529" t="str">
        <f t="shared" si="11"/>
        <v>是否封闭</v>
      </c>
      <c r="R31" s="710" t="s">
        <v>17</v>
      </c>
      <c r="S31" s="711">
        <f t="shared" si="12"/>
        <v>100</v>
      </c>
      <c r="T31" s="710" t="s">
        <v>17</v>
      </c>
      <c r="U31" s="711">
        <f t="shared" si="13"/>
        <v>100</v>
      </c>
      <c r="V31" s="710" t="s">
        <v>17</v>
      </c>
      <c r="W31" s="711">
        <f t="shared" si="14"/>
        <v>100</v>
      </c>
      <c r="X31" s="712"/>
      <c r="Y31" s="3423"/>
      <c r="Z31" s="55" t="str">
        <f t="shared" si="15"/>
        <v>是否封闭</v>
      </c>
      <c r="AA31" s="713">
        <f t="shared" si="3"/>
        <v>1</v>
      </c>
      <c r="AB31" s="713">
        <f t="shared" si="4"/>
        <v>1</v>
      </c>
      <c r="AC31" s="713">
        <f t="shared" si="5"/>
        <v>1</v>
      </c>
    </row>
    <row r="32" spans="1:29" ht="16" x14ac:dyDescent="0.2">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23" t="s">
        <v>2386</v>
      </c>
      <c r="Q32" s="1538">
        <f t="shared" si="11"/>
        <v>111</v>
      </c>
      <c r="R32" s="714" t="s">
        <v>17</v>
      </c>
      <c r="S32" s="715">
        <f t="shared" si="12"/>
        <v>100</v>
      </c>
      <c r="T32" s="714" t="s">
        <v>17</v>
      </c>
      <c r="U32" s="715">
        <f t="shared" si="13"/>
        <v>100</v>
      </c>
      <c r="V32" s="714" t="s">
        <v>17</v>
      </c>
      <c r="W32" s="715">
        <f t="shared" si="14"/>
        <v>100</v>
      </c>
      <c r="X32" s="1541"/>
      <c r="Y32" s="3423" t="s">
        <v>2386</v>
      </c>
      <c r="Z32" s="1542">
        <f t="shared" si="15"/>
        <v>111</v>
      </c>
      <c r="AA32" s="1539">
        <f t="shared" si="3"/>
        <v>1</v>
      </c>
      <c r="AB32" s="1539">
        <f t="shared" si="4"/>
        <v>1</v>
      </c>
      <c r="AC32" s="1539">
        <f t="shared" si="5"/>
        <v>1</v>
      </c>
    </row>
    <row r="33" spans="1:30" ht="16" x14ac:dyDescent="0.2">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23"/>
      <c r="Q33" s="1538">
        <f t="shared" si="11"/>
        <v>111</v>
      </c>
      <c r="R33" s="714" t="s">
        <v>17</v>
      </c>
      <c r="S33" s="715">
        <f t="shared" si="12"/>
        <v>100</v>
      </c>
      <c r="T33" s="714" t="s">
        <v>17</v>
      </c>
      <c r="U33" s="715">
        <f t="shared" si="13"/>
        <v>100</v>
      </c>
      <c r="V33" s="714" t="s">
        <v>17</v>
      </c>
      <c r="W33" s="715">
        <f t="shared" si="14"/>
        <v>100</v>
      </c>
      <c r="X33" s="1541"/>
      <c r="Y33" s="3423"/>
      <c r="Z33" s="1542">
        <f t="shared" si="15"/>
        <v>111</v>
      </c>
      <c r="AA33" s="1539">
        <f t="shared" si="3"/>
        <v>1</v>
      </c>
      <c r="AB33" s="1539">
        <f t="shared" si="4"/>
        <v>1</v>
      </c>
      <c r="AC33" s="1539">
        <f t="shared" si="5"/>
        <v>1</v>
      </c>
    </row>
    <row r="34" spans="1:30" ht="17" thickBot="1" x14ac:dyDescent="0.25">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1"/>
      <c r="M34" s="2945"/>
      <c r="N34" s="2945"/>
      <c r="O34" s="3003"/>
      <c r="P34" s="3423"/>
      <c r="Q34" s="1538">
        <f t="shared" si="11"/>
        <v>111</v>
      </c>
      <c r="R34" s="714" t="s">
        <v>17</v>
      </c>
      <c r="S34" s="715">
        <f t="shared" si="12"/>
        <v>100</v>
      </c>
      <c r="T34" s="714" t="s">
        <v>17</v>
      </c>
      <c r="U34" s="715">
        <f t="shared" si="13"/>
        <v>100</v>
      </c>
      <c r="V34" s="714" t="s">
        <v>17</v>
      </c>
      <c r="W34" s="715">
        <f t="shared" si="14"/>
        <v>100</v>
      </c>
      <c r="X34" s="1541"/>
      <c r="Y34" s="3423"/>
      <c r="Z34" s="1542">
        <f t="shared" si="15"/>
        <v>111</v>
      </c>
      <c r="AA34" s="1539">
        <f t="shared" si="3"/>
        <v>1</v>
      </c>
      <c r="AB34" s="1539">
        <f t="shared" si="4"/>
        <v>1</v>
      </c>
      <c r="AC34" s="1539">
        <f t="shared" si="5"/>
        <v>1</v>
      </c>
    </row>
    <row r="35" spans="1:30" x14ac:dyDescent="0.2">
      <c r="A35" s="438" t="s">
        <v>2398</v>
      </c>
      <c r="B35" s="439"/>
      <c r="C35" s="1316" t="s">
        <v>1</v>
      </c>
      <c r="D35" s="1317"/>
      <c r="E35" s="1318"/>
      <c r="F35" s="1319"/>
      <c r="G35" s="1320"/>
      <c r="H35" s="1321"/>
      <c r="I35" s="1318"/>
      <c r="J35" s="1321"/>
      <c r="K35" s="723"/>
      <c r="L35" s="2953"/>
      <c r="M35" s="2954"/>
      <c r="N35" s="2945"/>
      <c r="O35" s="2954"/>
      <c r="P35" s="3411" t="str">
        <f>A35</f>
        <v>成交单价（元/平方米）</v>
      </c>
      <c r="Q35" s="3411"/>
      <c r="R35" s="3425">
        <f>E35</f>
        <v>0</v>
      </c>
      <c r="S35" s="3425"/>
      <c r="T35" s="3425">
        <f>G35</f>
        <v>0</v>
      </c>
      <c r="U35" s="3425"/>
      <c r="V35" s="3425">
        <f>I35</f>
        <v>0</v>
      </c>
      <c r="W35" s="3425"/>
      <c r="X35" s="699"/>
      <c r="Y35" s="721"/>
      <c r="Z35" s="699"/>
      <c r="AA35" s="699"/>
      <c r="AB35" s="699"/>
      <c r="AC35" s="699"/>
    </row>
    <row r="36" spans="1:30" ht="15" thickBot="1" x14ac:dyDescent="0.25">
      <c r="A36" s="445" t="s">
        <v>2490</v>
      </c>
      <c r="B36" s="446"/>
      <c r="C36" s="1322" t="e">
        <f>R37</f>
        <v>#DIV/0!</v>
      </c>
      <c r="D36" s="2540" t="s">
        <v>2879</v>
      </c>
      <c r="E36" s="1323" t="e">
        <f>R36</f>
        <v>#DIV/0!</v>
      </c>
      <c r="F36" s="2541"/>
      <c r="G36" s="1322" t="e">
        <f>T36</f>
        <v>#DIV/0!</v>
      </c>
      <c r="H36" s="2541"/>
      <c r="I36" s="1323" t="e">
        <f>V36</f>
        <v>#DIV/0!</v>
      </c>
      <c r="J36" s="2541"/>
      <c r="K36" s="2543">
        <f>F36+H36+J36</f>
        <v>0</v>
      </c>
      <c r="L36" s="2953"/>
      <c r="M36" s="2954"/>
      <c r="N36" s="2945"/>
      <c r="O36" s="2954"/>
      <c r="P36" s="3411" t="str">
        <f>A36</f>
        <v>比较价值（元/平方米）</v>
      </c>
      <c r="Q36" s="3411"/>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699"/>
      <c r="Y36" s="699"/>
      <c r="Z36" s="699"/>
      <c r="AA36" s="699"/>
      <c r="AB36" s="699"/>
      <c r="AC36" s="699"/>
    </row>
    <row r="37" spans="1:30" ht="15" thickBot="1" x14ac:dyDescent="0.25">
      <c r="A37" s="449" t="s">
        <v>2491</v>
      </c>
      <c r="B37" s="450"/>
      <c r="C37" s="1325" t="e">
        <f>R37</f>
        <v>#DIV/0!</v>
      </c>
      <c r="D37" s="1325"/>
      <c r="E37" s="1325"/>
      <c r="F37" s="1325"/>
      <c r="G37" s="1325"/>
      <c r="H37" s="1325"/>
      <c r="I37" s="1325"/>
      <c r="J37" s="1325"/>
      <c r="K37" s="724"/>
      <c r="L37" s="2953"/>
      <c r="M37" s="2954"/>
      <c r="N37" s="2954"/>
      <c r="O37" s="2954"/>
      <c r="P37" s="3460" t="str">
        <f>A37</f>
        <v>估价对象XX用房的比较价值（楼面单价，元/平方米）</v>
      </c>
      <c r="Q37" s="3461"/>
      <c r="R37" s="3558" t="e">
        <f>IF(F1="售价",ROUND(IF(D36="简单平均",AVERAGE(R36:W36),R36*F36+T36*H36+V36*J36),0),ROUND(IF(D36="简单平均",AVERAGE(R36:V36),R36*F36+T36*H36+V36*J36),1))</f>
        <v>#DIV/0!</v>
      </c>
      <c r="S37" s="3558"/>
      <c r="T37" s="3558"/>
      <c r="U37" s="3558"/>
      <c r="V37" s="3558"/>
      <c r="W37" s="3558"/>
      <c r="X37" s="699"/>
      <c r="Y37" s="699"/>
      <c r="Z37" s="699"/>
      <c r="AA37" s="699"/>
      <c r="AB37" s="699"/>
      <c r="AC37" s="699"/>
    </row>
    <row r="38" spans="1:30" x14ac:dyDescent="0.2">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x14ac:dyDescent="0.2">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x14ac:dyDescent="0.2">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x14ac:dyDescent="0.2">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x14ac:dyDescent="0.2">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x14ac:dyDescent="0.2">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x14ac:dyDescent="0.2">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 thickBot="1" x14ac:dyDescent="0.25">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x14ac:dyDescent="0.2">
      <c r="A46" s="462" t="s">
        <v>2369</v>
      </c>
      <c r="B46" s="463"/>
      <c r="C46" s="1346" t="str">
        <f>YEAR(C7)&amp;"-"&amp;MONTH(C7)</f>
        <v>2022-2</v>
      </c>
      <c r="D46" s="1347">
        <f>EDATE(C46,-1)</f>
        <v>44562</v>
      </c>
      <c r="E46" s="1347">
        <f t="shared" ref="E46:O46" si="16">EDATE(D46,-1)</f>
        <v>44531</v>
      </c>
      <c r="F46" s="1347">
        <f t="shared" si="16"/>
        <v>44501</v>
      </c>
      <c r="G46" s="1347">
        <f t="shared" si="16"/>
        <v>44470</v>
      </c>
      <c r="H46" s="1347">
        <f t="shared" si="16"/>
        <v>44440</v>
      </c>
      <c r="I46" s="1347">
        <f t="shared" si="16"/>
        <v>44409</v>
      </c>
      <c r="J46" s="1347">
        <f t="shared" si="16"/>
        <v>44378</v>
      </c>
      <c r="K46" s="1347">
        <f t="shared" si="16"/>
        <v>44348</v>
      </c>
      <c r="L46" s="1347">
        <f t="shared" si="16"/>
        <v>44317</v>
      </c>
      <c r="M46" s="1347">
        <f t="shared" si="16"/>
        <v>44287</v>
      </c>
      <c r="N46" s="1347">
        <f t="shared" si="16"/>
        <v>44256</v>
      </c>
      <c r="O46" s="1347">
        <f t="shared" si="16"/>
        <v>44228</v>
      </c>
      <c r="P46" s="3005"/>
      <c r="Q46" s="2970"/>
      <c r="R46" s="2970"/>
      <c r="S46" s="2970"/>
      <c r="T46" s="2970"/>
      <c r="U46" s="2970"/>
      <c r="V46" s="2970"/>
      <c r="W46" s="2970"/>
      <c r="X46" s="2970"/>
      <c r="Y46" s="2970"/>
      <c r="Z46" s="2970"/>
      <c r="AA46" s="2970"/>
      <c r="AB46" s="2970"/>
      <c r="AC46" s="2970"/>
      <c r="AD46" s="2970"/>
    </row>
    <row r="47" spans="1:30" s="113" customFormat="1" x14ac:dyDescent="0.2">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 thickBot="1" x14ac:dyDescent="0.25">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x14ac:dyDescent="0.2">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 thickBot="1" x14ac:dyDescent="0.25">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x14ac:dyDescent="0.2">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 thickBot="1" x14ac:dyDescent="0.25">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9" thickTop="1" x14ac:dyDescent="0.2">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 thickBot="1" x14ac:dyDescent="0.25">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 thickTop="1" x14ac:dyDescent="0.2">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 thickBot="1" x14ac:dyDescent="0.25">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 thickTop="1" x14ac:dyDescent="0.2">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 thickBot="1" x14ac:dyDescent="0.25">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 thickTop="1" x14ac:dyDescent="0.2">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 thickBot="1" x14ac:dyDescent="0.25">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x14ac:dyDescent="0.2">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 thickBot="1" x14ac:dyDescent="0.25">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9" thickTop="1" x14ac:dyDescent="0.2">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 thickBot="1" x14ac:dyDescent="0.25">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 thickTop="1" x14ac:dyDescent="0.2">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 thickBot="1" x14ac:dyDescent="0.25">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 thickTop="1" x14ac:dyDescent="0.2">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 thickBot="1" x14ac:dyDescent="0.25">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 thickTop="1" x14ac:dyDescent="0.2">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 thickBot="1" x14ac:dyDescent="0.25">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 thickTop="1" x14ac:dyDescent="0.2">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 thickBot="1" x14ac:dyDescent="0.25">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 thickTop="1" x14ac:dyDescent="0.2">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 thickBot="1" x14ac:dyDescent="0.25">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 thickTop="1" x14ac:dyDescent="0.2">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 thickBot="1" x14ac:dyDescent="0.25">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x14ac:dyDescent="0.2">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 thickBot="1" x14ac:dyDescent="0.25">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 thickTop="1" x14ac:dyDescent="0.2">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x14ac:dyDescent="0.2">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 thickBot="1" x14ac:dyDescent="0.25">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x14ac:dyDescent="0.2">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 thickBot="1" x14ac:dyDescent="0.25">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x14ac:dyDescent="0.2">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 thickBot="1" x14ac:dyDescent="0.25">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x14ac:dyDescent="0.2">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x14ac:dyDescent="0.2">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 thickBot="1" x14ac:dyDescent="0.25">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x14ac:dyDescent="0.2">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 thickBot="1" x14ac:dyDescent="0.25">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x14ac:dyDescent="0.2">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 thickBot="1" x14ac:dyDescent="0.25">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x14ac:dyDescent="0.2">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 thickBot="1" x14ac:dyDescent="0.25">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x14ac:dyDescent="0.2">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 thickBot="1" x14ac:dyDescent="0.25">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x14ac:dyDescent="0.2">
      <c r="N97" s="2954"/>
      <c r="O97" s="2954"/>
      <c r="P97" s="2954"/>
      <c r="Q97" s="2954"/>
      <c r="R97" s="2954"/>
      <c r="S97" s="2954"/>
      <c r="T97" s="2954"/>
      <c r="U97" s="2954"/>
      <c r="V97" s="2954"/>
      <c r="W97" s="2954"/>
      <c r="X97" s="2954"/>
      <c r="Y97" s="2954"/>
      <c r="Z97" s="2954"/>
      <c r="AA97" s="2954"/>
      <c r="AB97" s="2954"/>
      <c r="AC97" s="2954"/>
      <c r="AD97" s="2954"/>
    </row>
    <row r="98" spans="1:30" x14ac:dyDescent="0.2">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x14ac:dyDescent="0.2">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x14ac:dyDescent="0.2">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x14ac:dyDescent="0.2">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x14ac:dyDescent="0.2">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x14ac:dyDescent="0.2">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x14ac:dyDescent="0.2">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x14ac:dyDescent="0.2">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x14ac:dyDescent="0.2">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x14ac:dyDescent="0.2">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x14ac:dyDescent="0.2">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x14ac:dyDescent="0.2">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x14ac:dyDescent="0.2">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x14ac:dyDescent="0.2">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x14ac:dyDescent="0.2">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x14ac:dyDescent="0.2">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x14ac:dyDescent="0.2">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x14ac:dyDescent="0.2">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x14ac:dyDescent="0.2">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x14ac:dyDescent="0.2">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x14ac:dyDescent="0.2">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x14ac:dyDescent="0.2">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x14ac:dyDescent="0.2">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x14ac:dyDescent="0.2">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x14ac:dyDescent="0.2">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x14ac:dyDescent="0.2">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x14ac:dyDescent="0.2">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x14ac:dyDescent="0.2">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x14ac:dyDescent="0.2">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x14ac:dyDescent="0.2">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x14ac:dyDescent="0.2">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x14ac:dyDescent="0.2">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x14ac:dyDescent="0.2">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x14ac:dyDescent="0.2">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x14ac:dyDescent="0.2">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x14ac:dyDescent="0.2">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x14ac:dyDescent="0.2">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x14ac:dyDescent="0.2">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x14ac:dyDescent="0.2">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x14ac:dyDescent="0.2">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x14ac:dyDescent="0.2">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x14ac:dyDescent="0.2">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x14ac:dyDescent="0.2">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x14ac:dyDescent="0.2">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x14ac:dyDescent="0.2">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x14ac:dyDescent="0.2">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x14ac:dyDescent="0.2">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x14ac:dyDescent="0.2">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x14ac:dyDescent="0.2">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x14ac:dyDescent="0.2">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x14ac:dyDescent="0.2">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x14ac:dyDescent="0.2">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x14ac:dyDescent="0.2">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x14ac:dyDescent="0.2">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x14ac:dyDescent="0.2">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x14ac:dyDescent="0.2">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x14ac:dyDescent="0.2">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x14ac:dyDescent="0.2">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x14ac:dyDescent="0.2">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x14ac:dyDescent="0.2">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x14ac:dyDescent="0.2">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x14ac:dyDescent="0.2">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x14ac:dyDescent="0.2">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x14ac:dyDescent="0.2">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x14ac:dyDescent="0.2">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x14ac:dyDescent="0.2">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x14ac:dyDescent="0.2">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x14ac:dyDescent="0.2">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x14ac:dyDescent="0.2">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x14ac:dyDescent="0.2">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x14ac:dyDescent="0.2">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x14ac:dyDescent="0.2">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x14ac:dyDescent="0.2">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x14ac:dyDescent="0.2">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x14ac:dyDescent="0.2">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x14ac:dyDescent="0.2">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x14ac:dyDescent="0.2">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x14ac:dyDescent="0.2">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x14ac:dyDescent="0.2">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x14ac:dyDescent="0.2">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x14ac:dyDescent="0.2">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x14ac:dyDescent="0.2">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x14ac:dyDescent="0.2">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x14ac:dyDescent="0.2">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x14ac:dyDescent="0.2">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x14ac:dyDescent="0.2">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x14ac:dyDescent="0.2">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x14ac:dyDescent="0.2">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x14ac:dyDescent="0.2">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x14ac:dyDescent="0.2">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x14ac:dyDescent="0.2">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x14ac:dyDescent="0.2">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x14ac:dyDescent="0.2">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x14ac:dyDescent="0.2">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x14ac:dyDescent="0.2">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x14ac:dyDescent="0.2">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x14ac:dyDescent="0.2">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x14ac:dyDescent="0.2">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x14ac:dyDescent="0.2">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x14ac:dyDescent="0.2">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x14ac:dyDescent="0.2">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x14ac:dyDescent="0.2">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x14ac:dyDescent="0.2">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x14ac:dyDescent="0.2">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x14ac:dyDescent="0.2">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x14ac:dyDescent="0.2">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x14ac:dyDescent="0.2">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x14ac:dyDescent="0.2">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x14ac:dyDescent="0.2">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x14ac:dyDescent="0.2">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x14ac:dyDescent="0.2">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x14ac:dyDescent="0.2">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x14ac:dyDescent="0.2">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x14ac:dyDescent="0.2">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x14ac:dyDescent="0.2">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x14ac:dyDescent="0.2">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x14ac:dyDescent="0.2">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x14ac:dyDescent="0.2">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x14ac:dyDescent="0.2">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x14ac:dyDescent="0.2">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x14ac:dyDescent="0.2">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x14ac:dyDescent="0.2">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x14ac:dyDescent="0.2">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x14ac:dyDescent="0.2">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x14ac:dyDescent="0.2">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x14ac:dyDescent="0.2">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x14ac:dyDescent="0.2">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x14ac:dyDescent="0.2">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x14ac:dyDescent="0.2">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x14ac:dyDescent="0.2">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x14ac:dyDescent="0.2">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x14ac:dyDescent="0.2">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x14ac:dyDescent="0.2">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x14ac:dyDescent="0.2">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x14ac:dyDescent="0.2">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x14ac:dyDescent="0.2">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x14ac:dyDescent="0.2">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x14ac:dyDescent="0.2">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x14ac:dyDescent="0.2">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x14ac:dyDescent="0.2">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x14ac:dyDescent="0.2">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x14ac:dyDescent="0.2">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x14ac:dyDescent="0.2">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x14ac:dyDescent="0.2">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view="pageBreakPreview" zoomScale="60" zoomScaleNormal="60" workbookViewId="0">
      <selection activeCell="I7" sqref="I7"/>
    </sheetView>
  </sheetViews>
  <sheetFormatPr baseColWidth="10" defaultColWidth="9" defaultRowHeight="14" x14ac:dyDescent="0.2"/>
  <cols>
    <col min="1" max="1" width="14.33203125" style="363" customWidth="1"/>
    <col min="2" max="2" width="15.6640625" style="363" customWidth="1"/>
    <col min="3" max="3" width="14.33203125" style="363" customWidth="1"/>
    <col min="4" max="4" width="14.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30" s="358" customFormat="1" ht="28.5" customHeight="1" x14ac:dyDescent="0.2">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x14ac:dyDescent="0.2">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x14ac:dyDescent="0.25">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x14ac:dyDescent="0.2">
      <c r="A4" s="361" t="s">
        <v>2466</v>
      </c>
      <c r="B4" s="362"/>
      <c r="C4" s="3429" t="s">
        <v>2467</v>
      </c>
      <c r="D4" s="3430"/>
      <c r="E4" s="3431" t="s">
        <v>2468</v>
      </c>
      <c r="F4" s="3432"/>
      <c r="G4" s="3429" t="s">
        <v>2469</v>
      </c>
      <c r="H4" s="3430"/>
      <c r="I4" s="3429" t="s">
        <v>2470</v>
      </c>
      <c r="J4" s="3430"/>
      <c r="K4" s="567" t="s">
        <v>2471</v>
      </c>
      <c r="L4" s="2944"/>
      <c r="M4" s="2945"/>
      <c r="N4" s="2945"/>
      <c r="O4" s="2945"/>
      <c r="P4" s="3464" t="s">
        <v>2472</v>
      </c>
      <c r="Q4" s="3465"/>
      <c r="R4" s="3468" t="s">
        <v>2468</v>
      </c>
      <c r="S4" s="3469"/>
      <c r="T4" s="3468" t="s">
        <v>2469</v>
      </c>
      <c r="U4" s="3469"/>
      <c r="V4" s="3446" t="s">
        <v>2470</v>
      </c>
      <c r="W4" s="3446"/>
      <c r="X4" s="1541"/>
      <c r="Y4" s="3468" t="s">
        <v>2472</v>
      </c>
      <c r="Z4" s="3469"/>
      <c r="AA4" s="3463" t="s">
        <v>2468</v>
      </c>
      <c r="AB4" s="3458" t="s">
        <v>2469</v>
      </c>
      <c r="AC4" s="3463" t="s">
        <v>2470</v>
      </c>
    </row>
    <row r="5" spans="1:30" x14ac:dyDescent="0.2">
      <c r="A5" s="364"/>
      <c r="B5" s="365"/>
      <c r="C5" s="3554" t="s">
        <v>2363</v>
      </c>
      <c r="D5" s="3472"/>
      <c r="E5" s="3556" t="s">
        <v>2364</v>
      </c>
      <c r="F5" s="3454"/>
      <c r="G5" s="3554" t="s">
        <v>2365</v>
      </c>
      <c r="H5" s="3472"/>
      <c r="I5" s="3554" t="s">
        <v>2366</v>
      </c>
      <c r="J5" s="3472"/>
      <c r="K5" s="567"/>
      <c r="L5" s="2944"/>
      <c r="M5" s="2945"/>
      <c r="N5" s="2945"/>
      <c r="O5" s="2945"/>
      <c r="P5" s="3466"/>
      <c r="Q5" s="3436"/>
      <c r="R5" s="3441"/>
      <c r="S5" s="3442"/>
      <c r="T5" s="3441"/>
      <c r="U5" s="3442"/>
      <c r="V5" s="3446"/>
      <c r="W5" s="3446"/>
      <c r="X5" s="1541"/>
      <c r="Y5" s="3441"/>
      <c r="Z5" s="3442"/>
      <c r="AA5" s="3458"/>
      <c r="AB5" s="3458"/>
      <c r="AC5" s="3458"/>
    </row>
    <row r="6" spans="1:30" ht="15" thickBot="1" x14ac:dyDescent="0.25">
      <c r="A6" s="366"/>
      <c r="B6" s="367"/>
      <c r="C6" s="3470" t="s">
        <v>2367</v>
      </c>
      <c r="D6" s="3471"/>
      <c r="E6" s="3555" t="s">
        <v>2367</v>
      </c>
      <c r="F6" s="3456"/>
      <c r="G6" s="3470" t="s">
        <v>2367</v>
      </c>
      <c r="H6" s="3471"/>
      <c r="I6" s="3470" t="s">
        <v>2367</v>
      </c>
      <c r="J6" s="3471"/>
      <c r="K6" s="567" t="s">
        <v>2368</v>
      </c>
      <c r="L6" s="2944"/>
      <c r="M6" s="2945"/>
      <c r="N6" s="2945"/>
      <c r="O6" s="2945"/>
      <c r="P6" s="3467"/>
      <c r="Q6" s="3438"/>
      <c r="R6" s="3441"/>
      <c r="S6" s="3442"/>
      <c r="T6" s="3443"/>
      <c r="U6" s="3444"/>
      <c r="V6" s="3446"/>
      <c r="W6" s="3446"/>
      <c r="X6" s="1541"/>
      <c r="Y6" s="3443"/>
      <c r="Z6" s="3444"/>
      <c r="AA6" s="3459"/>
      <c r="AB6" s="3459"/>
      <c r="AC6" s="3459"/>
    </row>
    <row r="7" spans="1:30" s="113" customFormat="1" ht="15" thickBot="1" x14ac:dyDescent="0.25">
      <c r="A7" s="368" t="s">
        <v>2369</v>
      </c>
      <c r="B7" s="369"/>
      <c r="C7" s="370">
        <f>'数据-取费表'!B2</f>
        <v>44606</v>
      </c>
      <c r="D7" s="371">
        <v>100</v>
      </c>
      <c r="E7" s="372"/>
      <c r="F7" s="373">
        <f>SUMIF(70:70,YEAR(E7)&amp;"-"&amp;INT((MONTH(E7)+2)/3),71:71)</f>
        <v>0</v>
      </c>
      <c r="G7" s="2162"/>
      <c r="H7" s="371">
        <f>SUMIF(70:70,YEAR(G7)&amp;"-"&amp;INT((MONTH(G7)+2)/3),71:71)</f>
        <v>0</v>
      </c>
      <c r="I7" s="2162"/>
      <c r="J7" s="371">
        <f>SUMIF(70:70,YEAR(I7)&amp;"-"&amp;INT((MONTH(I7)+2)/3),71:71)</f>
        <v>0</v>
      </c>
      <c r="K7" s="568"/>
      <c r="L7" s="2946"/>
      <c r="M7" s="2947"/>
      <c r="N7" s="2947"/>
      <c r="O7" s="2947"/>
      <c r="P7" s="3451" t="s">
        <v>2370</v>
      </c>
      <c r="Q7" s="3452"/>
      <c r="R7" s="710" t="s">
        <v>17</v>
      </c>
      <c r="S7" s="711">
        <f t="shared" ref="S7:S15" si="0">F7</f>
        <v>0</v>
      </c>
      <c r="T7" s="710" t="s">
        <v>17</v>
      </c>
      <c r="U7" s="711">
        <f t="shared" ref="U7:U15" si="1">H7</f>
        <v>0</v>
      </c>
      <c r="V7" s="710" t="s">
        <v>17</v>
      </c>
      <c r="W7" s="711">
        <f t="shared" ref="W7:W15" si="2">J7</f>
        <v>0</v>
      </c>
      <c r="X7" s="712"/>
      <c r="Y7" s="3451" t="s">
        <v>2370</v>
      </c>
      <c r="Z7" s="3450"/>
      <c r="AA7" s="713" t="e">
        <f>D7/F7</f>
        <v>#DIV/0!</v>
      </c>
      <c r="AB7" s="713" t="e">
        <f>D7/H7</f>
        <v>#DIV/0!</v>
      </c>
      <c r="AC7" s="713" t="e">
        <f>D7/J7</f>
        <v>#DIV/0!</v>
      </c>
    </row>
    <row r="8" spans="1:30" s="113" customFormat="1" ht="15" thickBot="1" x14ac:dyDescent="0.25">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451" t="s">
        <v>2373</v>
      </c>
      <c r="Q8" s="3450"/>
      <c r="R8" s="710" t="s">
        <v>17</v>
      </c>
      <c r="S8" s="711">
        <f t="shared" si="0"/>
        <v>0</v>
      </c>
      <c r="T8" s="710" t="s">
        <v>17</v>
      </c>
      <c r="U8" s="711">
        <f t="shared" si="1"/>
        <v>0</v>
      </c>
      <c r="V8" s="710" t="s">
        <v>17</v>
      </c>
      <c r="W8" s="711">
        <f t="shared" si="2"/>
        <v>0</v>
      </c>
      <c r="X8" s="712"/>
      <c r="Y8" s="3451" t="s">
        <v>2373</v>
      </c>
      <c r="Z8" s="3450"/>
      <c r="AA8" s="713" t="e">
        <f t="shared" ref="AA8:AA45" si="3">D8/F8</f>
        <v>#DIV/0!</v>
      </c>
      <c r="AB8" s="713" t="e">
        <f t="shared" ref="AB8:AB45" si="4">D8/H8</f>
        <v>#DIV/0!</v>
      </c>
      <c r="AC8" s="713" t="e">
        <f t="shared" ref="AC8:AC45" si="5">D8/J8</f>
        <v>#DIV/0!</v>
      </c>
    </row>
    <row r="9" spans="1:30" s="113" customFormat="1" x14ac:dyDescent="0.2">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6"/>
      <c r="M9" s="2947"/>
      <c r="N9" s="2947"/>
      <c r="O9" s="3001"/>
      <c r="P9" s="3411" t="s">
        <v>2376</v>
      </c>
      <c r="Q9" s="1529" t="str">
        <f t="shared" ref="Q9:Q15" si="6">B9</f>
        <v>用途</v>
      </c>
      <c r="R9" s="710" t="s">
        <v>17</v>
      </c>
      <c r="S9" s="711">
        <f t="shared" si="0"/>
        <v>100</v>
      </c>
      <c r="T9" s="710" t="s">
        <v>17</v>
      </c>
      <c r="U9" s="711">
        <f t="shared" si="1"/>
        <v>100</v>
      </c>
      <c r="V9" s="710" t="s">
        <v>17</v>
      </c>
      <c r="W9" s="711">
        <f t="shared" si="2"/>
        <v>100</v>
      </c>
      <c r="X9" s="712"/>
      <c r="Y9" s="3311" t="s">
        <v>2377</v>
      </c>
      <c r="Z9" s="55" t="str">
        <f t="shared" ref="Z9:Z15" si="7">Q9</f>
        <v>用途</v>
      </c>
      <c r="AA9" s="713">
        <f t="shared" si="3"/>
        <v>1</v>
      </c>
      <c r="AB9" s="713">
        <f t="shared" si="4"/>
        <v>1</v>
      </c>
      <c r="AC9" s="713">
        <f t="shared" si="5"/>
        <v>1</v>
      </c>
    </row>
    <row r="10" spans="1:30" s="386" customFormat="1" ht="28" x14ac:dyDescent="0.2">
      <c r="A10" s="380"/>
      <c r="B10" s="381" t="s">
        <v>2378</v>
      </c>
      <c r="C10" s="391"/>
      <c r="D10" s="132">
        <v>100</v>
      </c>
      <c r="E10" s="424"/>
      <c r="F10" s="132">
        <f>ROUND(100/'数据-取费表'!G16,0)</f>
        <v>128</v>
      </c>
      <c r="G10" s="422"/>
      <c r="H10" s="132">
        <f>ROUND(100/'数据-取费表'!G16,0)</f>
        <v>128</v>
      </c>
      <c r="I10" s="422"/>
      <c r="J10" s="132">
        <f>ROUND(100/'数据-取费表'!G16,0)</f>
        <v>128</v>
      </c>
      <c r="K10" s="628"/>
      <c r="L10" s="2948"/>
      <c r="M10" s="2949"/>
      <c r="N10" s="2949"/>
      <c r="O10" s="3002"/>
      <c r="P10" s="3411"/>
      <c r="Q10" s="1529" t="str">
        <f t="shared" si="6"/>
        <v>土地使用年限（年）</v>
      </c>
      <c r="R10" s="710" t="s">
        <v>17</v>
      </c>
      <c r="S10" s="711">
        <f t="shared" si="0"/>
        <v>128</v>
      </c>
      <c r="T10" s="710" t="s">
        <v>17</v>
      </c>
      <c r="U10" s="711">
        <f t="shared" si="1"/>
        <v>128</v>
      </c>
      <c r="V10" s="710" t="s">
        <v>17</v>
      </c>
      <c r="W10" s="711">
        <f t="shared" si="2"/>
        <v>128</v>
      </c>
      <c r="X10" s="712"/>
      <c r="Y10" s="3311"/>
      <c r="Z10" s="55" t="str">
        <f t="shared" si="7"/>
        <v>土地使用年限（年）</v>
      </c>
      <c r="AA10" s="713">
        <f t="shared" si="3"/>
        <v>0.78125</v>
      </c>
      <c r="AB10" s="713">
        <f t="shared" si="4"/>
        <v>0.78125</v>
      </c>
      <c r="AC10" s="713">
        <f t="shared" si="5"/>
        <v>0.78125</v>
      </c>
    </row>
    <row r="11" spans="1:30" ht="16" x14ac:dyDescent="0.2">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411"/>
      <c r="Q11" s="1529"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30" s="113" customFormat="1" ht="16" x14ac:dyDescent="0.2">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11"/>
      <c r="Q12" s="1529" t="str">
        <f t="shared" si="6"/>
        <v>配建</v>
      </c>
      <c r="R12" s="710" t="s">
        <v>17</v>
      </c>
      <c r="S12" s="711">
        <f t="shared" si="0"/>
        <v>100</v>
      </c>
      <c r="T12" s="710" t="s">
        <v>17</v>
      </c>
      <c r="U12" s="711">
        <f t="shared" si="1"/>
        <v>100</v>
      </c>
      <c r="V12" s="710" t="s">
        <v>17</v>
      </c>
      <c r="W12" s="711">
        <f t="shared" si="2"/>
        <v>100</v>
      </c>
      <c r="X12" s="712"/>
      <c r="Y12" s="3311"/>
      <c r="Z12" s="55" t="str">
        <f t="shared" si="7"/>
        <v>配建</v>
      </c>
      <c r="AA12" s="713">
        <f>D12/F12</f>
        <v>1</v>
      </c>
      <c r="AB12" s="713">
        <f>D12/H12</f>
        <v>1</v>
      </c>
      <c r="AC12" s="713">
        <f>D12/J12</f>
        <v>1</v>
      </c>
    </row>
    <row r="13" spans="1:30" ht="16" x14ac:dyDescent="0.2">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11"/>
      <c r="Q13" s="1529">
        <f t="shared" si="6"/>
        <v>111</v>
      </c>
      <c r="R13" s="710" t="s">
        <v>17</v>
      </c>
      <c r="S13" s="711">
        <f t="shared" si="0"/>
        <v>100</v>
      </c>
      <c r="T13" s="710" t="s">
        <v>17</v>
      </c>
      <c r="U13" s="711">
        <f t="shared" si="1"/>
        <v>100</v>
      </c>
      <c r="V13" s="710" t="s">
        <v>17</v>
      </c>
      <c r="W13" s="711">
        <f t="shared" si="2"/>
        <v>100</v>
      </c>
      <c r="X13" s="712"/>
      <c r="Y13" s="3311"/>
      <c r="Z13" s="55">
        <f t="shared" si="7"/>
        <v>111</v>
      </c>
      <c r="AA13" s="713">
        <f>D13/F13</f>
        <v>1</v>
      </c>
      <c r="AB13" s="713">
        <f>D13/H13</f>
        <v>1</v>
      </c>
      <c r="AC13" s="713">
        <f>D13/J13</f>
        <v>1</v>
      </c>
    </row>
    <row r="14" spans="1:30" ht="17" thickBot="1" x14ac:dyDescent="0.25">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11"/>
      <c r="Q14" s="1529">
        <f t="shared" si="6"/>
        <v>111</v>
      </c>
      <c r="R14" s="710" t="s">
        <v>17</v>
      </c>
      <c r="S14" s="711">
        <f t="shared" si="0"/>
        <v>100</v>
      </c>
      <c r="T14" s="710" t="s">
        <v>17</v>
      </c>
      <c r="U14" s="711">
        <f t="shared" si="1"/>
        <v>100</v>
      </c>
      <c r="V14" s="710" t="s">
        <v>17</v>
      </c>
      <c r="W14" s="711">
        <f t="shared" si="2"/>
        <v>100</v>
      </c>
      <c r="X14" s="712"/>
      <c r="Y14" s="3311"/>
      <c r="Z14" s="55">
        <f t="shared" si="7"/>
        <v>111</v>
      </c>
      <c r="AA14" s="713">
        <f>D14/F14</f>
        <v>1</v>
      </c>
      <c r="AB14" s="713">
        <f>D14/H14</f>
        <v>1</v>
      </c>
      <c r="AC14" s="713">
        <f>D14/J14</f>
        <v>1</v>
      </c>
    </row>
    <row r="15" spans="1:30" ht="98" x14ac:dyDescent="0.2">
      <c r="A15" s="399" t="s">
        <v>2380</v>
      </c>
      <c r="B15" s="65" t="s">
        <v>1943</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18" t="s">
        <v>2381</v>
      </c>
      <c r="Q15" s="1538" t="str">
        <f t="shared" si="6"/>
        <v>居住社区成熟度</v>
      </c>
      <c r="R15" s="714" t="s">
        <v>17</v>
      </c>
      <c r="S15" s="715">
        <f t="shared" si="0"/>
        <v>100</v>
      </c>
      <c r="T15" s="714" t="s">
        <v>17</v>
      </c>
      <c r="U15" s="715">
        <f t="shared" si="1"/>
        <v>100</v>
      </c>
      <c r="V15" s="714" t="s">
        <v>17</v>
      </c>
      <c r="W15" s="715">
        <f t="shared" si="2"/>
        <v>100</v>
      </c>
      <c r="X15" s="1541"/>
      <c r="Y15" s="3418" t="s">
        <v>2381</v>
      </c>
      <c r="Z15" s="1542" t="str">
        <f t="shared" si="7"/>
        <v>居住社区成熟度</v>
      </c>
      <c r="AA15" s="1539">
        <f t="shared" si="3"/>
        <v>1</v>
      </c>
      <c r="AB15" s="1539">
        <f t="shared" si="4"/>
        <v>1</v>
      </c>
      <c r="AC15" s="1539">
        <f t="shared" si="5"/>
        <v>1</v>
      </c>
    </row>
    <row r="16" spans="1:30" ht="16" x14ac:dyDescent="0.2">
      <c r="A16" s="387"/>
      <c r="B16" s="405"/>
      <c r="C16" s="406"/>
      <c r="D16" s="407"/>
      <c r="E16" s="2086"/>
      <c r="F16" s="407"/>
      <c r="G16" s="2086"/>
      <c r="H16" s="409"/>
      <c r="I16" s="2085"/>
      <c r="J16" s="407"/>
      <c r="K16" s="628"/>
      <c r="L16" s="2951"/>
      <c r="M16" s="2945"/>
      <c r="N16" s="2945"/>
      <c r="O16" s="3003"/>
      <c r="P16" s="3419"/>
      <c r="Q16" s="1538"/>
      <c r="R16" s="714"/>
      <c r="S16" s="715"/>
      <c r="T16" s="714"/>
      <c r="U16" s="715"/>
      <c r="V16" s="714"/>
      <c r="W16" s="715"/>
      <c r="X16" s="1541"/>
      <c r="Y16" s="3419"/>
      <c r="Z16" s="1542"/>
      <c r="AA16" s="1539">
        <v>1</v>
      </c>
      <c r="AB16" s="1539">
        <v>1</v>
      </c>
      <c r="AC16" s="1539">
        <v>1</v>
      </c>
    </row>
    <row r="17" spans="1:29" ht="70" x14ac:dyDescent="0.2">
      <c r="A17" s="387"/>
      <c r="B17" s="410" t="s">
        <v>2474</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419"/>
      <c r="Q17" s="1538" t="str">
        <f>B17</f>
        <v>商业繁华度</v>
      </c>
      <c r="R17" s="714" t="s">
        <v>17</v>
      </c>
      <c r="S17" s="715">
        <f>F17</f>
        <v>100</v>
      </c>
      <c r="T17" s="714" t="s">
        <v>17</v>
      </c>
      <c r="U17" s="715">
        <f>H17</f>
        <v>100</v>
      </c>
      <c r="V17" s="714" t="s">
        <v>17</v>
      </c>
      <c r="W17" s="715">
        <f>J17</f>
        <v>100</v>
      </c>
      <c r="X17" s="1541"/>
      <c r="Y17" s="3419"/>
      <c r="Z17" s="1542" t="str">
        <f>Q17</f>
        <v>商业繁华度</v>
      </c>
      <c r="AA17" s="1539">
        <f t="shared" si="3"/>
        <v>1</v>
      </c>
      <c r="AB17" s="1539">
        <f t="shared" si="4"/>
        <v>1</v>
      </c>
      <c r="AC17" s="1539">
        <f t="shared" si="5"/>
        <v>1</v>
      </c>
    </row>
    <row r="18" spans="1:29" ht="16" x14ac:dyDescent="0.2">
      <c r="A18" s="387"/>
      <c r="B18" s="415"/>
      <c r="C18" s="2089"/>
      <c r="D18" s="409"/>
      <c r="E18" s="2091"/>
      <c r="F18" s="409"/>
      <c r="G18" s="2091"/>
      <c r="H18" s="407"/>
      <c r="I18" s="2090"/>
      <c r="J18" s="407"/>
      <c r="K18" s="628"/>
      <c r="L18" s="2951"/>
      <c r="M18" s="2945"/>
      <c r="N18" s="2945"/>
      <c r="O18" s="3003"/>
      <c r="P18" s="3419"/>
      <c r="Q18" s="1538"/>
      <c r="R18" s="714"/>
      <c r="S18" s="715"/>
      <c r="T18" s="714"/>
      <c r="U18" s="715"/>
      <c r="V18" s="714"/>
      <c r="W18" s="715"/>
      <c r="X18" s="1541"/>
      <c r="Y18" s="3419"/>
      <c r="Z18" s="1542"/>
      <c r="AA18" s="1539">
        <v>1</v>
      </c>
      <c r="AB18" s="1539">
        <v>1</v>
      </c>
      <c r="AC18" s="1539">
        <v>1</v>
      </c>
    </row>
    <row r="19" spans="1:29" ht="70" x14ac:dyDescent="0.2">
      <c r="A19" s="387"/>
      <c r="B19" s="410" t="s">
        <v>2508</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19"/>
      <c r="Q19" s="1538" t="str">
        <f>B19</f>
        <v>办公集聚程度</v>
      </c>
      <c r="R19" s="714" t="s">
        <v>17</v>
      </c>
      <c r="S19" s="715">
        <f>F19</f>
        <v>100</v>
      </c>
      <c r="T19" s="714" t="s">
        <v>17</v>
      </c>
      <c r="U19" s="715">
        <f>H19</f>
        <v>100</v>
      </c>
      <c r="V19" s="714" t="s">
        <v>17</v>
      </c>
      <c r="W19" s="715">
        <f>J19</f>
        <v>100</v>
      </c>
      <c r="X19" s="1541"/>
      <c r="Y19" s="3419"/>
      <c r="Z19" s="1542" t="str">
        <f>Q19</f>
        <v>办公集聚程度</v>
      </c>
      <c r="AA19" s="1539">
        <f t="shared" si="3"/>
        <v>1</v>
      </c>
      <c r="AB19" s="1539">
        <f t="shared" si="4"/>
        <v>1</v>
      </c>
      <c r="AC19" s="1539">
        <f t="shared" si="5"/>
        <v>1</v>
      </c>
    </row>
    <row r="20" spans="1:29" ht="16" x14ac:dyDescent="0.2">
      <c r="A20" s="387"/>
      <c r="B20" s="415"/>
      <c r="C20" s="406"/>
      <c r="D20" s="407"/>
      <c r="E20" s="2086"/>
      <c r="F20" s="407"/>
      <c r="G20" s="2086"/>
      <c r="H20" s="407"/>
      <c r="I20" s="2085"/>
      <c r="J20" s="407"/>
      <c r="K20" s="628"/>
      <c r="L20" s="2951"/>
      <c r="M20" s="2945"/>
      <c r="N20" s="2945"/>
      <c r="O20" s="3003"/>
      <c r="P20" s="3419"/>
      <c r="Q20" s="1538"/>
      <c r="R20" s="714"/>
      <c r="S20" s="715"/>
      <c r="T20" s="714"/>
      <c r="U20" s="715"/>
      <c r="V20" s="714"/>
      <c r="W20" s="715"/>
      <c r="X20" s="1541"/>
      <c r="Y20" s="3419"/>
      <c r="Z20" s="1542"/>
      <c r="AA20" s="1539">
        <v>1</v>
      </c>
      <c r="AB20" s="1539">
        <v>1</v>
      </c>
      <c r="AC20" s="1539">
        <v>1</v>
      </c>
    </row>
    <row r="21" spans="1:29" ht="84" x14ac:dyDescent="0.2">
      <c r="A21" s="387"/>
      <c r="B21" s="410" t="s">
        <v>2530</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419"/>
      <c r="Q21" s="1538" t="str">
        <f>B21</f>
        <v>交通便捷度</v>
      </c>
      <c r="R21" s="714" t="s">
        <v>17</v>
      </c>
      <c r="S21" s="715">
        <f>F21</f>
        <v>100</v>
      </c>
      <c r="T21" s="714" t="s">
        <v>17</v>
      </c>
      <c r="U21" s="715">
        <f>H21</f>
        <v>100</v>
      </c>
      <c r="V21" s="714" t="s">
        <v>17</v>
      </c>
      <c r="W21" s="715">
        <f>J21</f>
        <v>100</v>
      </c>
      <c r="X21" s="1541"/>
      <c r="Y21" s="3419"/>
      <c r="Z21" s="1542" t="str">
        <f>Q21</f>
        <v>交通便捷度</v>
      </c>
      <c r="AA21" s="1539">
        <f t="shared" si="3"/>
        <v>1</v>
      </c>
      <c r="AB21" s="1539">
        <f t="shared" si="4"/>
        <v>1</v>
      </c>
      <c r="AC21" s="1539">
        <f t="shared" si="5"/>
        <v>1</v>
      </c>
    </row>
    <row r="22" spans="1:29" ht="16" x14ac:dyDescent="0.2">
      <c r="A22" s="387"/>
      <c r="B22" s="1293"/>
      <c r="C22" s="406"/>
      <c r="D22" s="409"/>
      <c r="E22" s="2086"/>
      <c r="F22" s="407"/>
      <c r="G22" s="2086"/>
      <c r="H22" s="407"/>
      <c r="I22" s="2085"/>
      <c r="J22" s="407"/>
      <c r="K22" s="628"/>
      <c r="L22" s="2951"/>
      <c r="M22" s="2945"/>
      <c r="N22" s="2945"/>
      <c r="O22" s="3003"/>
      <c r="P22" s="3419"/>
      <c r="Q22" s="1538"/>
      <c r="R22" s="714"/>
      <c r="S22" s="715"/>
      <c r="T22" s="714"/>
      <c r="U22" s="715"/>
      <c r="V22" s="714"/>
      <c r="W22" s="715"/>
      <c r="X22" s="1541"/>
      <c r="Y22" s="3419"/>
      <c r="Z22" s="1542"/>
      <c r="AA22" s="1539">
        <v>1</v>
      </c>
      <c r="AB22" s="1539">
        <v>1</v>
      </c>
      <c r="AC22" s="1539">
        <v>1</v>
      </c>
    </row>
    <row r="23" spans="1:29" ht="16" x14ac:dyDescent="0.2">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19"/>
      <c r="Q23" s="1538" t="str">
        <f t="shared" ref="Q23:Q37" si="8">B23</f>
        <v>区域土地利用方向</v>
      </c>
      <c r="R23" s="714" t="s">
        <v>17</v>
      </c>
      <c r="S23" s="715">
        <f>F23</f>
        <v>100</v>
      </c>
      <c r="T23" s="714" t="s">
        <v>17</v>
      </c>
      <c r="U23" s="715">
        <f>H23</f>
        <v>100</v>
      </c>
      <c r="V23" s="714" t="s">
        <v>17</v>
      </c>
      <c r="W23" s="715">
        <f>J23</f>
        <v>100</v>
      </c>
      <c r="X23" s="1541"/>
      <c r="Y23" s="3419"/>
      <c r="Z23" s="1542" t="str">
        <f>Q23</f>
        <v>区域土地利用方向</v>
      </c>
      <c r="AA23" s="1539">
        <f t="shared" si="3"/>
        <v>1</v>
      </c>
      <c r="AB23" s="1539">
        <f t="shared" si="4"/>
        <v>1</v>
      </c>
      <c r="AC23" s="1539">
        <f t="shared" si="5"/>
        <v>1</v>
      </c>
    </row>
    <row r="24" spans="1:29" ht="16" x14ac:dyDescent="0.2">
      <c r="A24" s="364"/>
      <c r="B24" s="415"/>
      <c r="C24" s="573"/>
      <c r="D24" s="407"/>
      <c r="E24" s="2086"/>
      <c r="F24" s="407"/>
      <c r="G24" s="2085"/>
      <c r="H24" s="407"/>
      <c r="I24" s="2085"/>
      <c r="J24" s="407"/>
      <c r="K24" s="751"/>
      <c r="L24" s="2951"/>
      <c r="M24" s="2945"/>
      <c r="N24" s="2945"/>
      <c r="O24" s="3003"/>
      <c r="P24" s="3419"/>
      <c r="Q24" s="1538"/>
      <c r="R24" s="714"/>
      <c r="S24" s="715"/>
      <c r="T24" s="714"/>
      <c r="U24" s="715"/>
      <c r="V24" s="714"/>
      <c r="W24" s="715"/>
      <c r="X24" s="1541"/>
      <c r="Y24" s="3419"/>
      <c r="Z24" s="1542"/>
      <c r="AA24" s="1539"/>
      <c r="AB24" s="1539"/>
      <c r="AC24" s="1539"/>
    </row>
    <row r="25" spans="1:29" ht="56" x14ac:dyDescent="0.2">
      <c r="A25" s="364"/>
      <c r="B25" s="1293" t="s">
        <v>2570</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419"/>
      <c r="Q25" s="1538" t="str">
        <f t="shared" si="8"/>
        <v>自然及人文环境状况</v>
      </c>
      <c r="R25" s="714" t="s">
        <v>17</v>
      </c>
      <c r="S25" s="715">
        <f>F25</f>
        <v>100</v>
      </c>
      <c r="T25" s="714" t="s">
        <v>17</v>
      </c>
      <c r="U25" s="715">
        <f>H25</f>
        <v>100</v>
      </c>
      <c r="V25" s="714" t="s">
        <v>17</v>
      </c>
      <c r="W25" s="715">
        <f>J25</f>
        <v>100</v>
      </c>
      <c r="X25" s="1541"/>
      <c r="Y25" s="3419"/>
      <c r="Z25" s="1542" t="str">
        <f>Q25</f>
        <v>自然及人文环境状况</v>
      </c>
      <c r="AA25" s="1539">
        <f t="shared" si="3"/>
        <v>1</v>
      </c>
      <c r="AB25" s="1539">
        <f t="shared" si="4"/>
        <v>1</v>
      </c>
      <c r="AC25" s="1539">
        <f t="shared" si="5"/>
        <v>1</v>
      </c>
    </row>
    <row r="26" spans="1:29" ht="16" x14ac:dyDescent="0.2">
      <c r="A26" s="364"/>
      <c r="B26" s="415"/>
      <c r="C26" s="406"/>
      <c r="D26" s="407"/>
      <c r="E26" s="2092"/>
      <c r="F26" s="407"/>
      <c r="G26" s="2092"/>
      <c r="H26" s="407"/>
      <c r="I26" s="406"/>
      <c r="J26" s="407"/>
      <c r="K26" s="628"/>
      <c r="L26" s="2951"/>
      <c r="M26" s="2945"/>
      <c r="N26" s="2945"/>
      <c r="O26" s="3003"/>
      <c r="P26" s="3419"/>
      <c r="Q26" s="1538"/>
      <c r="R26" s="714"/>
      <c r="S26" s="715"/>
      <c r="T26" s="714"/>
      <c r="U26" s="715"/>
      <c r="V26" s="714"/>
      <c r="W26" s="715"/>
      <c r="X26" s="1541"/>
      <c r="Y26" s="3419"/>
      <c r="Z26" s="1542"/>
      <c r="AA26" s="1539">
        <v>1</v>
      </c>
      <c r="AB26" s="1539">
        <v>1</v>
      </c>
      <c r="AC26" s="1539">
        <v>1</v>
      </c>
    </row>
    <row r="27" spans="1:29" s="113" customFormat="1" ht="42" x14ac:dyDescent="0.2">
      <c r="A27" s="605"/>
      <c r="B27" s="1293" t="s">
        <v>2475</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419"/>
      <c r="Q27" s="1529" t="str">
        <f t="shared" si="8"/>
        <v>公共配套设施</v>
      </c>
      <c r="R27" s="710" t="s">
        <v>17</v>
      </c>
      <c r="S27" s="711">
        <f>F27</f>
        <v>100</v>
      </c>
      <c r="T27" s="710" t="s">
        <v>17</v>
      </c>
      <c r="U27" s="711">
        <f>H27</f>
        <v>100</v>
      </c>
      <c r="V27" s="710" t="s">
        <v>17</v>
      </c>
      <c r="W27" s="711">
        <f>J27</f>
        <v>100</v>
      </c>
      <c r="X27" s="712"/>
      <c r="Y27" s="3419"/>
      <c r="Z27" s="55" t="str">
        <f>Q27</f>
        <v>公共配套设施</v>
      </c>
      <c r="AA27" s="1539">
        <f>D27/F27</f>
        <v>1</v>
      </c>
      <c r="AB27" s="1539">
        <f>D27/H27</f>
        <v>1</v>
      </c>
      <c r="AC27" s="1539">
        <f>D27/J27</f>
        <v>1</v>
      </c>
    </row>
    <row r="28" spans="1:29" s="113" customFormat="1" ht="16" x14ac:dyDescent="0.2">
      <c r="A28" s="605"/>
      <c r="B28" s="415"/>
      <c r="C28" s="2166"/>
      <c r="D28" s="407"/>
      <c r="E28" s="2092"/>
      <c r="F28" s="407"/>
      <c r="G28" s="2092"/>
      <c r="H28" s="407"/>
      <c r="I28" s="406"/>
      <c r="J28" s="407"/>
      <c r="K28" s="628"/>
      <c r="L28" s="2946"/>
      <c r="M28" s="2947"/>
      <c r="N28" s="2947"/>
      <c r="O28" s="3001"/>
      <c r="P28" s="3419"/>
      <c r="Q28" s="1529"/>
      <c r="R28" s="710"/>
      <c r="S28" s="711"/>
      <c r="T28" s="710"/>
      <c r="U28" s="711"/>
      <c r="V28" s="710"/>
      <c r="W28" s="711"/>
      <c r="X28" s="712"/>
      <c r="Y28" s="3419"/>
      <c r="Z28" s="55"/>
      <c r="AA28" s="1539">
        <v>1</v>
      </c>
      <c r="AB28" s="1539">
        <v>1</v>
      </c>
      <c r="AC28" s="1539">
        <v>1</v>
      </c>
    </row>
    <row r="29" spans="1:29" s="113" customFormat="1" ht="28" x14ac:dyDescent="0.2">
      <c r="A29" s="605"/>
      <c r="B29" s="1293" t="s">
        <v>2476</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419"/>
      <c r="Q29" s="1529" t="str">
        <f t="shared" ref="Q29" si="9">B29</f>
        <v>基础设施水平</v>
      </c>
      <c r="R29" s="710" t="s">
        <v>17</v>
      </c>
      <c r="S29" s="711">
        <f>F29</f>
        <v>100</v>
      </c>
      <c r="T29" s="710" t="s">
        <v>17</v>
      </c>
      <c r="U29" s="711">
        <f>H29</f>
        <v>100</v>
      </c>
      <c r="V29" s="710" t="s">
        <v>17</v>
      </c>
      <c r="W29" s="711">
        <f>J29</f>
        <v>100</v>
      </c>
      <c r="X29" s="712"/>
      <c r="Y29" s="3419"/>
      <c r="Z29" s="55" t="str">
        <f>Q29</f>
        <v>基础设施水平</v>
      </c>
      <c r="AA29" s="1539">
        <f>D29/F29</f>
        <v>1</v>
      </c>
      <c r="AB29" s="1539">
        <f>D29/H29</f>
        <v>1</v>
      </c>
      <c r="AC29" s="1539">
        <f>D29/J29</f>
        <v>1</v>
      </c>
    </row>
    <row r="30" spans="1:29" s="113" customFormat="1" ht="16" x14ac:dyDescent="0.2">
      <c r="A30" s="605"/>
      <c r="B30" s="415"/>
      <c r="C30" s="2166"/>
      <c r="D30" s="407"/>
      <c r="E30" s="2167"/>
      <c r="F30" s="407"/>
      <c r="G30" s="2167"/>
      <c r="H30" s="407"/>
      <c r="I30" s="2167"/>
      <c r="J30" s="407"/>
      <c r="K30" s="628"/>
      <c r="L30" s="2946"/>
      <c r="M30" s="2947"/>
      <c r="N30" s="2947"/>
      <c r="O30" s="3001"/>
      <c r="P30" s="3419"/>
      <c r="Q30" s="1529"/>
      <c r="R30" s="710"/>
      <c r="S30" s="711"/>
      <c r="T30" s="710"/>
      <c r="U30" s="711"/>
      <c r="V30" s="710"/>
      <c r="W30" s="711"/>
      <c r="X30" s="712"/>
      <c r="Y30" s="3419"/>
      <c r="Z30" s="55"/>
      <c r="AA30" s="1539">
        <v>1</v>
      </c>
      <c r="AB30" s="1539">
        <v>1</v>
      </c>
      <c r="AC30" s="1539">
        <v>1</v>
      </c>
    </row>
    <row r="31" spans="1:29" ht="16" x14ac:dyDescent="0.2">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1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419"/>
      <c r="Z31" s="1542" t="str">
        <f t="shared" ref="Z31:Z45" si="13">Q31</f>
        <v>临街状况</v>
      </c>
      <c r="AA31" s="1539">
        <f t="shared" si="3"/>
        <v>1</v>
      </c>
      <c r="AB31" s="1539">
        <f t="shared" si="4"/>
        <v>1</v>
      </c>
      <c r="AC31" s="1539">
        <f t="shared" si="5"/>
        <v>1</v>
      </c>
    </row>
    <row r="32" spans="1:29" ht="28" x14ac:dyDescent="0.2">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19"/>
      <c r="Q32" s="1538" t="str">
        <f t="shared" si="8"/>
        <v>毗邻道路的类型与等级</v>
      </c>
      <c r="R32" s="714" t="s">
        <v>17</v>
      </c>
      <c r="S32" s="715">
        <f t="shared" si="10"/>
        <v>100</v>
      </c>
      <c r="T32" s="714" t="s">
        <v>17</v>
      </c>
      <c r="U32" s="715">
        <f t="shared" si="11"/>
        <v>100</v>
      </c>
      <c r="V32" s="714" t="s">
        <v>17</v>
      </c>
      <c r="W32" s="715">
        <f t="shared" si="12"/>
        <v>100</v>
      </c>
      <c r="X32" s="1541"/>
      <c r="Y32" s="3419"/>
      <c r="Z32" s="1542" t="str">
        <f t="shared" si="13"/>
        <v>毗邻道路的类型与等级</v>
      </c>
      <c r="AA32" s="1539">
        <f t="shared" si="3"/>
        <v>1</v>
      </c>
      <c r="AB32" s="1539">
        <f t="shared" si="4"/>
        <v>1</v>
      </c>
      <c r="AC32" s="1539">
        <f t="shared" si="5"/>
        <v>1</v>
      </c>
    </row>
    <row r="33" spans="1:29" ht="16" x14ac:dyDescent="0.2">
      <c r="A33" s="387"/>
      <c r="B33" s="415"/>
      <c r="C33" s="406"/>
      <c r="D33" s="407"/>
      <c r="E33" s="2092"/>
      <c r="F33" s="407"/>
      <c r="G33" s="2092"/>
      <c r="H33" s="407"/>
      <c r="I33" s="406"/>
      <c r="J33" s="407"/>
      <c r="K33" s="570"/>
      <c r="L33" s="2951"/>
      <c r="M33" s="2945"/>
      <c r="N33" s="2945"/>
      <c r="O33" s="3003"/>
      <c r="P33" s="3419"/>
      <c r="Q33" s="1538"/>
      <c r="R33" s="714"/>
      <c r="S33" s="715"/>
      <c r="T33" s="714"/>
      <c r="U33" s="715"/>
      <c r="V33" s="714"/>
      <c r="W33" s="715"/>
      <c r="X33" s="1541"/>
      <c r="Y33" s="3419"/>
      <c r="Z33" s="1542"/>
      <c r="AA33" s="1539">
        <v>1</v>
      </c>
      <c r="AB33" s="1539">
        <v>1</v>
      </c>
      <c r="AC33" s="1539">
        <v>1</v>
      </c>
    </row>
    <row r="34" spans="1:29" ht="16" x14ac:dyDescent="0.2">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19"/>
      <c r="Q34" s="1538" t="str">
        <f t="shared" si="8"/>
        <v>土地级别</v>
      </c>
      <c r="R34" s="714" t="s">
        <v>17</v>
      </c>
      <c r="S34" s="715">
        <f t="shared" si="10"/>
        <v>100</v>
      </c>
      <c r="T34" s="714" t="s">
        <v>17</v>
      </c>
      <c r="U34" s="715">
        <f t="shared" si="11"/>
        <v>100</v>
      </c>
      <c r="V34" s="714" t="s">
        <v>17</v>
      </c>
      <c r="W34" s="715">
        <f t="shared" si="12"/>
        <v>100</v>
      </c>
      <c r="X34" s="1541"/>
      <c r="Y34" s="3419"/>
      <c r="Z34" s="1542" t="str">
        <f t="shared" si="13"/>
        <v>土地级别</v>
      </c>
      <c r="AA34" s="1539">
        <f t="shared" si="3"/>
        <v>1</v>
      </c>
      <c r="AB34" s="1539">
        <f t="shared" si="4"/>
        <v>1</v>
      </c>
      <c r="AC34" s="1539">
        <f t="shared" si="5"/>
        <v>1</v>
      </c>
    </row>
    <row r="35" spans="1:29" ht="16" x14ac:dyDescent="0.2">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19"/>
      <c r="Q35" s="1538">
        <f t="shared" si="8"/>
        <v>111</v>
      </c>
      <c r="R35" s="714" t="s">
        <v>17</v>
      </c>
      <c r="S35" s="715">
        <f t="shared" si="10"/>
        <v>100</v>
      </c>
      <c r="T35" s="714" t="s">
        <v>17</v>
      </c>
      <c r="U35" s="715">
        <f t="shared" si="11"/>
        <v>100</v>
      </c>
      <c r="V35" s="714" t="s">
        <v>17</v>
      </c>
      <c r="W35" s="715">
        <f t="shared" si="12"/>
        <v>100</v>
      </c>
      <c r="X35" s="1541"/>
      <c r="Y35" s="3419"/>
      <c r="Z35" s="1542">
        <f t="shared" si="13"/>
        <v>111</v>
      </c>
      <c r="AA35" s="1539">
        <f t="shared" si="3"/>
        <v>1</v>
      </c>
      <c r="AB35" s="1539">
        <f t="shared" si="4"/>
        <v>1</v>
      </c>
      <c r="AC35" s="1539">
        <f t="shared" si="5"/>
        <v>1</v>
      </c>
    </row>
    <row r="36" spans="1:29" ht="16" x14ac:dyDescent="0.2">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557" t="s">
        <v>2386</v>
      </c>
      <c r="Q36" s="1538">
        <f t="shared" si="8"/>
        <v>111</v>
      </c>
      <c r="R36" s="714" t="s">
        <v>17</v>
      </c>
      <c r="S36" s="715">
        <f t="shared" si="10"/>
        <v>100</v>
      </c>
      <c r="T36" s="714" t="s">
        <v>17</v>
      </c>
      <c r="U36" s="715">
        <f t="shared" si="11"/>
        <v>100</v>
      </c>
      <c r="V36" s="714" t="s">
        <v>17</v>
      </c>
      <c r="W36" s="715">
        <f t="shared" si="12"/>
        <v>100</v>
      </c>
      <c r="X36" s="1541"/>
      <c r="Y36" s="3423" t="s">
        <v>2386</v>
      </c>
      <c r="Z36" s="1542">
        <f t="shared" si="13"/>
        <v>111</v>
      </c>
      <c r="AA36" s="1539">
        <f t="shared" si="3"/>
        <v>1</v>
      </c>
      <c r="AB36" s="1539">
        <f t="shared" si="4"/>
        <v>1</v>
      </c>
      <c r="AC36" s="1539">
        <f t="shared" si="5"/>
        <v>1</v>
      </c>
    </row>
    <row r="37" spans="1:29" s="430" customFormat="1" ht="17" thickBot="1" x14ac:dyDescent="0.25">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23"/>
      <c r="Q37" s="1538">
        <f t="shared" si="8"/>
        <v>111</v>
      </c>
      <c r="R37" s="717" t="s">
        <v>17</v>
      </c>
      <c r="S37" s="718">
        <f t="shared" si="10"/>
        <v>100</v>
      </c>
      <c r="T37" s="717" t="s">
        <v>17</v>
      </c>
      <c r="U37" s="718">
        <f t="shared" si="11"/>
        <v>100</v>
      </c>
      <c r="V37" s="717" t="s">
        <v>17</v>
      </c>
      <c r="W37" s="718">
        <f t="shared" si="12"/>
        <v>100</v>
      </c>
      <c r="X37" s="719"/>
      <c r="Y37" s="3423"/>
      <c r="Z37" s="720">
        <f t="shared" si="13"/>
        <v>111</v>
      </c>
      <c r="AA37" s="1539">
        <f t="shared" si="3"/>
        <v>1</v>
      </c>
      <c r="AB37" s="1539">
        <f t="shared" si="4"/>
        <v>1</v>
      </c>
      <c r="AC37" s="1539">
        <f t="shared" si="5"/>
        <v>1</v>
      </c>
    </row>
    <row r="38" spans="1:29" ht="16" x14ac:dyDescent="0.2">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423"/>
      <c r="Q38" s="1538" t="str">
        <f>B38</f>
        <v>宗地面积</v>
      </c>
      <c r="R38" s="714" t="s">
        <v>17</v>
      </c>
      <c r="S38" s="715" t="e">
        <f t="shared" si="10"/>
        <v>#N/A</v>
      </c>
      <c r="T38" s="714" t="s">
        <v>17</v>
      </c>
      <c r="U38" s="715" t="e">
        <f t="shared" si="11"/>
        <v>#N/A</v>
      </c>
      <c r="V38" s="714" t="s">
        <v>17</v>
      </c>
      <c r="W38" s="715" t="e">
        <f t="shared" si="12"/>
        <v>#N/A</v>
      </c>
      <c r="X38" s="1541"/>
      <c r="Y38" s="3423"/>
      <c r="Z38" s="1542" t="str">
        <f t="shared" si="13"/>
        <v>宗地面积</v>
      </c>
      <c r="AA38" s="1539" t="e">
        <f t="shared" si="3"/>
        <v>#N/A</v>
      </c>
      <c r="AB38" s="1539" t="e">
        <f t="shared" si="4"/>
        <v>#N/A</v>
      </c>
      <c r="AC38" s="1539" t="e">
        <f t="shared" si="5"/>
        <v>#N/A</v>
      </c>
    </row>
    <row r="39" spans="1:29" ht="16" x14ac:dyDescent="0.2">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1"/>
      <c r="M39" s="2945"/>
      <c r="N39" s="2945"/>
      <c r="O39" s="3003"/>
      <c r="P39" s="3423"/>
      <c r="Q39" s="1538" t="str">
        <f t="shared" ref="Q39:Q45" si="14">B39</f>
        <v>宗地形状</v>
      </c>
      <c r="R39" s="714" t="s">
        <v>17</v>
      </c>
      <c r="S39" s="715">
        <f t="shared" si="10"/>
        <v>100</v>
      </c>
      <c r="T39" s="714" t="s">
        <v>17</v>
      </c>
      <c r="U39" s="715">
        <f t="shared" si="11"/>
        <v>100</v>
      </c>
      <c r="V39" s="714" t="s">
        <v>17</v>
      </c>
      <c r="W39" s="715">
        <f t="shared" si="12"/>
        <v>100</v>
      </c>
      <c r="X39" s="1541"/>
      <c r="Y39" s="3423"/>
      <c r="Z39" s="1542" t="str">
        <f t="shared" si="13"/>
        <v>宗地形状</v>
      </c>
      <c r="AA39" s="1539">
        <f t="shared" si="3"/>
        <v>1</v>
      </c>
      <c r="AB39" s="1539">
        <f t="shared" si="4"/>
        <v>1</v>
      </c>
      <c r="AC39" s="1539">
        <f t="shared" si="5"/>
        <v>1</v>
      </c>
    </row>
    <row r="40" spans="1:29" ht="16" x14ac:dyDescent="0.2">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1"/>
      <c r="M40" s="2945"/>
      <c r="N40" s="2945"/>
      <c r="O40" s="3003"/>
      <c r="P40" s="3423"/>
      <c r="Q40" s="1538" t="str">
        <f t="shared" si="14"/>
        <v>临街宽度及深度</v>
      </c>
      <c r="R40" s="714" t="s">
        <v>17</v>
      </c>
      <c r="S40" s="715">
        <f t="shared" si="10"/>
        <v>100</v>
      </c>
      <c r="T40" s="714" t="s">
        <v>17</v>
      </c>
      <c r="U40" s="715">
        <f t="shared" si="11"/>
        <v>100</v>
      </c>
      <c r="V40" s="714" t="s">
        <v>17</v>
      </c>
      <c r="W40" s="715">
        <f t="shared" si="12"/>
        <v>100</v>
      </c>
      <c r="X40" s="1541"/>
      <c r="Y40" s="3423"/>
      <c r="Z40" s="1542" t="str">
        <f t="shared" si="13"/>
        <v>临街宽度及深度</v>
      </c>
      <c r="AA40" s="1539">
        <f t="shared" si="3"/>
        <v>1</v>
      </c>
      <c r="AB40" s="1539">
        <f t="shared" si="4"/>
        <v>1</v>
      </c>
      <c r="AC40" s="1539">
        <f t="shared" si="5"/>
        <v>1</v>
      </c>
    </row>
    <row r="41" spans="1:29" s="113" customFormat="1" ht="16" x14ac:dyDescent="0.2">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6"/>
      <c r="M41" s="2947"/>
      <c r="N41" s="2947"/>
      <c r="O41" s="3001"/>
      <c r="P41" s="3423"/>
      <c r="Q41" s="1538" t="str">
        <f t="shared" si="14"/>
        <v>宗地开发程度</v>
      </c>
      <c r="R41" s="710" t="s">
        <v>17</v>
      </c>
      <c r="S41" s="711">
        <f t="shared" si="10"/>
        <v>100</v>
      </c>
      <c r="T41" s="710" t="s">
        <v>17</v>
      </c>
      <c r="U41" s="711">
        <f t="shared" si="11"/>
        <v>100</v>
      </c>
      <c r="V41" s="710" t="s">
        <v>17</v>
      </c>
      <c r="W41" s="711">
        <f t="shared" si="12"/>
        <v>100</v>
      </c>
      <c r="X41" s="712"/>
      <c r="Y41" s="3423"/>
      <c r="Z41" s="55" t="str">
        <f t="shared" si="13"/>
        <v>宗地开发程度</v>
      </c>
      <c r="AA41" s="713">
        <f t="shared" si="3"/>
        <v>1</v>
      </c>
      <c r="AB41" s="713">
        <f t="shared" si="4"/>
        <v>1</v>
      </c>
      <c r="AC41" s="713">
        <f t="shared" si="5"/>
        <v>1</v>
      </c>
    </row>
    <row r="42" spans="1:29" ht="16" x14ac:dyDescent="0.2">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1"/>
      <c r="M42" s="2945"/>
      <c r="N42" s="2945"/>
      <c r="O42" s="3003"/>
      <c r="P42" s="3423" t="s">
        <v>2386</v>
      </c>
      <c r="Q42" s="1538" t="str">
        <f t="shared" si="14"/>
        <v>工程地质条件</v>
      </c>
      <c r="R42" s="714" t="s">
        <v>17</v>
      </c>
      <c r="S42" s="715">
        <f t="shared" si="10"/>
        <v>100</v>
      </c>
      <c r="T42" s="714" t="s">
        <v>17</v>
      </c>
      <c r="U42" s="715">
        <f t="shared" si="11"/>
        <v>100</v>
      </c>
      <c r="V42" s="714" t="s">
        <v>17</v>
      </c>
      <c r="W42" s="715">
        <f t="shared" si="12"/>
        <v>100</v>
      </c>
      <c r="X42" s="1541"/>
      <c r="Y42" s="3423" t="s">
        <v>2386</v>
      </c>
      <c r="Z42" s="1542" t="str">
        <f t="shared" si="13"/>
        <v>工程地质条件</v>
      </c>
      <c r="AA42" s="1539">
        <f t="shared" si="3"/>
        <v>1</v>
      </c>
      <c r="AB42" s="1539">
        <f t="shared" si="4"/>
        <v>1</v>
      </c>
      <c r="AC42" s="1539">
        <f t="shared" si="5"/>
        <v>1</v>
      </c>
    </row>
    <row r="43" spans="1:29" ht="16" x14ac:dyDescent="0.2">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23"/>
      <c r="Q43" s="1538">
        <f t="shared" si="14"/>
        <v>111</v>
      </c>
      <c r="R43" s="714" t="s">
        <v>17</v>
      </c>
      <c r="S43" s="715">
        <f t="shared" si="10"/>
        <v>100</v>
      </c>
      <c r="T43" s="714" t="s">
        <v>17</v>
      </c>
      <c r="U43" s="715">
        <f t="shared" si="11"/>
        <v>100</v>
      </c>
      <c r="V43" s="714" t="s">
        <v>17</v>
      </c>
      <c r="W43" s="715">
        <f t="shared" si="12"/>
        <v>100</v>
      </c>
      <c r="X43" s="1541"/>
      <c r="Y43" s="3423"/>
      <c r="Z43" s="1542">
        <f t="shared" si="13"/>
        <v>111</v>
      </c>
      <c r="AA43" s="1539">
        <f t="shared" si="3"/>
        <v>1</v>
      </c>
      <c r="AB43" s="1539">
        <f t="shared" si="4"/>
        <v>1</v>
      </c>
      <c r="AC43" s="1539">
        <f t="shared" si="5"/>
        <v>1</v>
      </c>
    </row>
    <row r="44" spans="1:29" ht="16" x14ac:dyDescent="0.2">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23"/>
      <c r="Q44" s="1538">
        <f t="shared" si="14"/>
        <v>111</v>
      </c>
      <c r="R44" s="714" t="s">
        <v>17</v>
      </c>
      <c r="S44" s="715">
        <f t="shared" si="10"/>
        <v>100</v>
      </c>
      <c r="T44" s="714" t="s">
        <v>17</v>
      </c>
      <c r="U44" s="715">
        <f t="shared" si="11"/>
        <v>100</v>
      </c>
      <c r="V44" s="714" t="s">
        <v>17</v>
      </c>
      <c r="W44" s="715">
        <f t="shared" si="12"/>
        <v>100</v>
      </c>
      <c r="X44" s="1541"/>
      <c r="Y44" s="3423"/>
      <c r="Z44" s="1542">
        <f t="shared" si="13"/>
        <v>111</v>
      </c>
      <c r="AA44" s="1539">
        <f t="shared" si="3"/>
        <v>1</v>
      </c>
      <c r="AB44" s="1539">
        <f t="shared" si="4"/>
        <v>1</v>
      </c>
      <c r="AC44" s="1539">
        <f t="shared" si="5"/>
        <v>1</v>
      </c>
    </row>
    <row r="45" spans="1:29" s="430" customFormat="1" ht="17" thickBot="1" x14ac:dyDescent="0.25">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23"/>
      <c r="Q45" s="1538">
        <f t="shared" si="14"/>
        <v>111</v>
      </c>
      <c r="R45" s="717" t="s">
        <v>17</v>
      </c>
      <c r="S45" s="718">
        <f t="shared" si="10"/>
        <v>100</v>
      </c>
      <c r="T45" s="717" t="s">
        <v>17</v>
      </c>
      <c r="U45" s="718">
        <f t="shared" si="11"/>
        <v>100</v>
      </c>
      <c r="V45" s="717" t="s">
        <v>17</v>
      </c>
      <c r="W45" s="718">
        <f t="shared" si="12"/>
        <v>100</v>
      </c>
      <c r="X45" s="719"/>
      <c r="Y45" s="3423"/>
      <c r="Z45" s="720">
        <f t="shared" si="13"/>
        <v>111</v>
      </c>
      <c r="AA45" s="1539">
        <f t="shared" si="3"/>
        <v>1</v>
      </c>
      <c r="AB45" s="1539">
        <f t="shared" si="4"/>
        <v>1</v>
      </c>
      <c r="AC45" s="1539">
        <f t="shared" si="5"/>
        <v>1</v>
      </c>
    </row>
    <row r="46" spans="1:29" x14ac:dyDescent="0.2">
      <c r="A46" s="438" t="s">
        <v>2541</v>
      </c>
      <c r="B46" s="2170" t="s">
        <v>2577</v>
      </c>
      <c r="C46" s="638" t="s">
        <v>1</v>
      </c>
      <c r="D46" s="440"/>
      <c r="E46" s="441"/>
      <c r="F46" s="442"/>
      <c r="G46" s="443"/>
      <c r="H46" s="444"/>
      <c r="I46" s="441"/>
      <c r="J46" s="444"/>
      <c r="K46" s="723"/>
      <c r="L46" s="2953"/>
      <c r="M46" s="2954"/>
      <c r="N46" s="2945"/>
      <c r="O46" s="2954"/>
      <c r="P46" s="3411" t="str">
        <f>A46</f>
        <v>成交单价</v>
      </c>
      <c r="Q46" s="3411"/>
      <c r="R46" s="3446">
        <f>E46</f>
        <v>0</v>
      </c>
      <c r="S46" s="3446"/>
      <c r="T46" s="3446">
        <f>G46</f>
        <v>0</v>
      </c>
      <c r="U46" s="3446"/>
      <c r="V46" s="3446">
        <f>I46</f>
        <v>0</v>
      </c>
      <c r="W46" s="3446"/>
      <c r="X46" s="699"/>
      <c r="Y46" s="721"/>
      <c r="Z46" s="699"/>
      <c r="AA46" s="699"/>
      <c r="AB46" s="699"/>
      <c r="AC46" s="699"/>
    </row>
    <row r="47" spans="1:29" ht="15" thickBot="1" x14ac:dyDescent="0.25">
      <c r="A47" s="445" t="s">
        <v>2490</v>
      </c>
      <c r="B47" s="639"/>
      <c r="C47" s="448" t="e">
        <f>R48</f>
        <v>#DIV/0!</v>
      </c>
      <c r="D47" s="2540" t="s">
        <v>2879</v>
      </c>
      <c r="E47" s="448" t="e">
        <f>R47</f>
        <v>#DIV/0!</v>
      </c>
      <c r="F47" s="2541"/>
      <c r="G47" s="447" t="e">
        <f>T47</f>
        <v>#DIV/0!</v>
      </c>
      <c r="H47" s="2541"/>
      <c r="I47" s="448" t="e">
        <f>V47</f>
        <v>#DIV/0!</v>
      </c>
      <c r="J47" s="2541"/>
      <c r="K47" s="2543">
        <f>F47+H47+J47</f>
        <v>0</v>
      </c>
      <c r="L47" s="2953"/>
      <c r="M47" s="2954"/>
      <c r="N47" s="2954"/>
      <c r="O47" s="2954"/>
      <c r="P47" s="3411" t="str">
        <f>A47</f>
        <v>比较价值（元/平方米）</v>
      </c>
      <c r="Q47" s="3411"/>
      <c r="R47" s="3559" t="e">
        <f>ROUND(PRODUCT(R46,AA7:AA45),0)</f>
        <v>#DIV/0!</v>
      </c>
      <c r="S47" s="3559"/>
      <c r="T47" s="3559" t="e">
        <f>ROUND(PRODUCT(T46,AB7:AB45),0)</f>
        <v>#DIV/0!</v>
      </c>
      <c r="U47" s="3559"/>
      <c r="V47" s="3559" t="e">
        <f>ROUND(PRODUCT(V46,AC7:AC45),0)</f>
        <v>#DIV/0!</v>
      </c>
      <c r="W47" s="3559"/>
      <c r="X47" s="699"/>
      <c r="Y47" s="699"/>
      <c r="Z47" s="699"/>
      <c r="AA47" s="699"/>
      <c r="AB47" s="699"/>
      <c r="AC47" s="699"/>
    </row>
    <row r="48" spans="1:29" ht="15" thickBot="1" x14ac:dyDescent="0.25">
      <c r="A48" s="449" t="s">
        <v>2578</v>
      </c>
      <c r="B48" s="450"/>
      <c r="C48" s="451" t="e">
        <f>R48</f>
        <v>#DIV/0!</v>
      </c>
      <c r="D48" s="451"/>
      <c r="E48" s="451"/>
      <c r="F48" s="451"/>
      <c r="G48" s="451"/>
      <c r="H48" s="451"/>
      <c r="I48" s="451"/>
      <c r="J48" s="451"/>
      <c r="K48" s="724"/>
      <c r="L48" s="2953"/>
      <c r="M48" s="2954"/>
      <c r="N48" s="2954"/>
      <c r="O48" s="2954"/>
      <c r="P48" s="3460" t="str">
        <f>A48</f>
        <v>估价对象XX用房的比较价值（楼面单价，元/平方米）</v>
      </c>
      <c r="Q48" s="3461"/>
      <c r="R48" s="3560" t="e">
        <f>ROUND(IF(D47="简单平均",AVERAGE(R47:W47),R47*F47+T47*H47+V47*J47),0)</f>
        <v>#DIV/0!</v>
      </c>
      <c r="S48" s="3560"/>
      <c r="T48" s="3560"/>
      <c r="U48" s="3560"/>
      <c r="V48" s="3560"/>
      <c r="W48" s="3560"/>
      <c r="X48" s="699"/>
      <c r="Y48" s="699"/>
      <c r="Z48" s="699"/>
      <c r="AA48" s="699"/>
      <c r="AB48" s="699"/>
      <c r="AC48" s="699"/>
    </row>
    <row r="49" spans="1:29" x14ac:dyDescent="0.2">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x14ac:dyDescent="0.2">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x14ac:dyDescent="0.2">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x14ac:dyDescent="0.2">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x14ac:dyDescent="0.2">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x14ac:dyDescent="0.25">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x14ac:dyDescent="0.2">
      <c r="A55" s="640" t="s">
        <v>2579</v>
      </c>
      <c r="B55" s="641" t="s">
        <v>2580</v>
      </c>
      <c r="C55" s="2171" t="s">
        <v>2581</v>
      </c>
      <c r="D55" s="2172" t="s">
        <v>2582</v>
      </c>
      <c r="E55" s="642" t="s">
        <v>2583</v>
      </c>
      <c r="F55" s="1021" t="s">
        <v>2584</v>
      </c>
      <c r="G55" s="3429" t="s">
        <v>2585</v>
      </c>
      <c r="H55" s="3561"/>
      <c r="I55" s="140" t="s">
        <v>2586</v>
      </c>
      <c r="J55" s="2173">
        <f>项目基本情况!F35</f>
        <v>0</v>
      </c>
      <c r="K55" s="2174"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x14ac:dyDescent="0.15">
      <c r="A56" s="644" t="s">
        <v>2588</v>
      </c>
      <c r="B56" s="645" t="e">
        <f>C48</f>
        <v>#DIV/0!</v>
      </c>
      <c r="C56" s="646">
        <v>1</v>
      </c>
      <c r="D56" s="1075">
        <v>1</v>
      </c>
      <c r="E56" s="646">
        <f>'数据-汇总表'!E8+'数据-汇总表'!E9</f>
        <v>547.29</v>
      </c>
      <c r="F56" s="1017" t="e">
        <f t="shared" ref="F56:F65" si="15">ROUND(B56*E56/10000,0)</f>
        <v>#DIV/0!</v>
      </c>
      <c r="G56" s="3410"/>
      <c r="H56" s="3411"/>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x14ac:dyDescent="0.15">
      <c r="A57" s="649" t="s">
        <v>2589</v>
      </c>
      <c r="B57" s="224" t="e">
        <f>ROUND($C$48*C57*D57,0)</f>
        <v>#DIV/0!</v>
      </c>
      <c r="C57" s="176">
        <f t="shared" ref="C57:C65" si="16">IF($C$55="北京市系数",I57,J57)</f>
        <v>0</v>
      </c>
      <c r="D57" s="1076">
        <v>0.25</v>
      </c>
      <c r="E57" s="650"/>
      <c r="F57" s="1017" t="e">
        <f t="shared" si="15"/>
        <v>#DIV/0!</v>
      </c>
      <c r="G57" s="3562"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x14ac:dyDescent="0.15">
      <c r="A58" s="649" t="s">
        <v>2591</v>
      </c>
      <c r="B58" s="224" t="e">
        <f t="shared" ref="B58:B65" si="17">ROUND($C$48*C58*D58,0)</f>
        <v>#DIV/0!</v>
      </c>
      <c r="C58" s="176">
        <f t="shared" si="16"/>
        <v>0</v>
      </c>
      <c r="D58" s="1076">
        <v>0.25</v>
      </c>
      <c r="E58" s="650"/>
      <c r="F58" s="1017" t="e">
        <f t="shared" si="15"/>
        <v>#DIV/0!</v>
      </c>
      <c r="G58" s="3562"/>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x14ac:dyDescent="0.15">
      <c r="A59" s="649" t="s">
        <v>2592</v>
      </c>
      <c r="B59" s="224" t="e">
        <f t="shared" si="17"/>
        <v>#DIV/0!</v>
      </c>
      <c r="C59" s="176">
        <f t="shared" si="16"/>
        <v>0</v>
      </c>
      <c r="D59" s="1076">
        <v>0.25</v>
      </c>
      <c r="E59" s="650"/>
      <c r="F59" s="1017" t="e">
        <f t="shared" si="15"/>
        <v>#DIV/0!</v>
      </c>
      <c r="G59" s="3562"/>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x14ac:dyDescent="0.15">
      <c r="A60" s="649" t="s">
        <v>2593</v>
      </c>
      <c r="B60" s="224" t="e">
        <f t="shared" si="17"/>
        <v>#DIV/0!</v>
      </c>
      <c r="C60" s="176">
        <f t="shared" si="16"/>
        <v>0</v>
      </c>
      <c r="D60" s="1076">
        <v>0.25</v>
      </c>
      <c r="E60" s="650"/>
      <c r="F60" s="1017" t="e">
        <f t="shared" si="15"/>
        <v>#DIV/0!</v>
      </c>
      <c r="G60" s="3562"/>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x14ac:dyDescent="0.15">
      <c r="A61" s="649" t="s">
        <v>2594</v>
      </c>
      <c r="B61" s="224" t="e">
        <f t="shared" si="17"/>
        <v>#DIV/0!</v>
      </c>
      <c r="C61" s="176">
        <f t="shared" si="16"/>
        <v>0</v>
      </c>
      <c r="D61" s="1076">
        <v>0.25</v>
      </c>
      <c r="E61" s="223">
        <f>'数据-汇总表'!E11</f>
        <v>0</v>
      </c>
      <c r="F61" s="1017" t="e">
        <f t="shared" si="15"/>
        <v>#DIV/0!</v>
      </c>
      <c r="G61" s="2175"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x14ac:dyDescent="0.15">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x14ac:dyDescent="0.15">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x14ac:dyDescent="0.15">
      <c r="A64" s="649" t="s">
        <v>2600</v>
      </c>
      <c r="B64" s="224" t="e">
        <f t="shared" si="17"/>
        <v>#DIV/0!</v>
      </c>
      <c r="C64" s="176">
        <f t="shared" si="16"/>
        <v>0</v>
      </c>
      <c r="D64" s="1076">
        <v>0.25</v>
      </c>
      <c r="E64" s="223">
        <f>'数据-汇总表'!E14</f>
        <v>0</v>
      </c>
      <c r="F64" s="1017" t="e">
        <f t="shared" si="15"/>
        <v>#DIV/0!</v>
      </c>
      <c r="G64" s="2175"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x14ac:dyDescent="0.2">
      <c r="A65" s="649" t="s">
        <v>2601</v>
      </c>
      <c r="B65" s="224" t="e">
        <f t="shared" si="17"/>
        <v>#DIV/0!</v>
      </c>
      <c r="C65" s="176">
        <f t="shared" si="16"/>
        <v>0</v>
      </c>
      <c r="D65" s="1076">
        <v>0.25</v>
      </c>
      <c r="E65" s="223">
        <f>'数据-汇总表'!E15</f>
        <v>0</v>
      </c>
      <c r="F65" s="1017" t="e">
        <f t="shared" si="15"/>
        <v>#DIV/0!</v>
      </c>
      <c r="G65" s="2176"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5" thickBot="1" x14ac:dyDescent="0.2">
      <c r="A66" s="651" t="s">
        <v>2602</v>
      </c>
      <c r="B66" s="652" t="s">
        <v>28</v>
      </c>
      <c r="C66" s="652" t="s">
        <v>29</v>
      </c>
      <c r="D66" s="652" t="s">
        <v>997</v>
      </c>
      <c r="E66" s="652">
        <f>IF(B46="楼面地价",SUM(E56:E65),'数据-汇总表'!D3)</f>
        <v>547.29</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x14ac:dyDescent="0.2">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x14ac:dyDescent="0.2">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54"/>
      <c r="Q68" s="2954"/>
      <c r="R68" s="2954"/>
      <c r="S68" s="2954"/>
      <c r="T68" s="2954"/>
      <c r="U68" s="2954"/>
      <c r="V68" s="2954"/>
      <c r="W68" s="2954"/>
      <c r="X68" s="2954"/>
      <c r="Y68" s="2954"/>
      <c r="Z68" s="2954"/>
      <c r="AA68" s="2954"/>
      <c r="AB68" s="2954"/>
      <c r="AC68" s="2954"/>
    </row>
    <row r="69" spans="1:29" ht="21" thickBot="1" x14ac:dyDescent="0.25">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x14ac:dyDescent="0.2">
      <c r="A70" s="2177" t="s">
        <v>2603</v>
      </c>
      <c r="B70" s="1269"/>
      <c r="C70" s="1344" t="str">
        <f>YEAR(C68)&amp;"-"&amp;ROUNDUP(MONTH(C68)/3,0)</f>
        <v>2022-1</v>
      </c>
      <c r="D70" s="1344" t="str">
        <f>YEAR(D68)&amp;"-"&amp;ROUNDUP(MONTH(D68)/3,0)</f>
        <v>2021-4</v>
      </c>
      <c r="E70" s="1344" t="str">
        <f t="shared" ref="E70:O70" si="19">YEAR(E68)&amp;"-"&amp;ROUNDUP(MONTH(E68)/3,0)</f>
        <v>2021-3</v>
      </c>
      <c r="F70" s="1344" t="str">
        <f t="shared" si="19"/>
        <v>2021-2</v>
      </c>
      <c r="G70" s="1344" t="str">
        <f t="shared" si="19"/>
        <v>2021-1</v>
      </c>
      <c r="H70" s="1344" t="str">
        <f t="shared" si="19"/>
        <v>2020-4</v>
      </c>
      <c r="I70" s="1344" t="str">
        <f t="shared" si="19"/>
        <v>2020-3</v>
      </c>
      <c r="J70" s="1344" t="str">
        <f t="shared" si="19"/>
        <v>2020-2</v>
      </c>
      <c r="K70" s="1344" t="str">
        <f t="shared" si="19"/>
        <v>2020-1</v>
      </c>
      <c r="L70" s="1344" t="str">
        <f t="shared" si="19"/>
        <v>2019-4</v>
      </c>
      <c r="M70" s="1344" t="str">
        <f t="shared" si="19"/>
        <v>2019-3</v>
      </c>
      <c r="N70" s="1344" t="str">
        <f t="shared" si="19"/>
        <v>2019-2</v>
      </c>
      <c r="O70" s="1344" t="str">
        <f t="shared" si="19"/>
        <v>2019-1</v>
      </c>
      <c r="P70" s="3005"/>
      <c r="Q70" s="2970"/>
      <c r="R70" s="2970"/>
      <c r="S70" s="2970"/>
      <c r="T70" s="2970"/>
      <c r="U70" s="2970"/>
      <c r="V70" s="2970"/>
      <c r="W70" s="2970"/>
      <c r="X70" s="2970"/>
      <c r="Y70" s="2970"/>
      <c r="Z70" s="2970"/>
      <c r="AA70" s="2970"/>
      <c r="AB70" s="2970"/>
      <c r="AC70" s="2970"/>
    </row>
    <row r="71" spans="1:29" s="113" customFormat="1" ht="30" customHeight="1" x14ac:dyDescent="0.2">
      <c r="A71" s="2178"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 thickBot="1" x14ac:dyDescent="0.25">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x14ac:dyDescent="0.2">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 thickBot="1" x14ac:dyDescent="0.25">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x14ac:dyDescent="0.2">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 thickBot="1" x14ac:dyDescent="0.25">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9" thickTop="1" x14ac:dyDescent="0.2">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 thickBot="1" x14ac:dyDescent="0.25">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 thickTop="1" x14ac:dyDescent="0.2">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x14ac:dyDescent="0.2">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 thickBot="1" x14ac:dyDescent="0.25">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 thickTop="1" x14ac:dyDescent="0.2">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 thickBot="1" x14ac:dyDescent="0.25">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 thickTop="1" x14ac:dyDescent="0.2">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 thickBot="1" x14ac:dyDescent="0.25">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 thickTop="1" x14ac:dyDescent="0.2">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 thickBot="1" x14ac:dyDescent="0.25">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x14ac:dyDescent="0.2">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 thickBot="1" x14ac:dyDescent="0.25">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 thickTop="1" x14ac:dyDescent="0.2">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 thickBot="1" x14ac:dyDescent="0.25">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 thickTop="1" x14ac:dyDescent="0.2">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 thickBot="1" x14ac:dyDescent="0.25">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 thickTop="1" x14ac:dyDescent="0.2">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 thickBot="1" x14ac:dyDescent="0.25">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 thickTop="1" x14ac:dyDescent="0.2">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 thickBot="1" x14ac:dyDescent="0.25">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9" thickTop="1" x14ac:dyDescent="0.2">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 thickBot="1" x14ac:dyDescent="0.25">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 thickTop="1" x14ac:dyDescent="0.2">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 thickBot="1" x14ac:dyDescent="0.25">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 thickTop="1" x14ac:dyDescent="0.2">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 thickBot="1" x14ac:dyDescent="0.25">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 thickTop="1" x14ac:dyDescent="0.2">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 thickBot="1" x14ac:dyDescent="0.25">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9" thickTop="1" x14ac:dyDescent="0.2">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 thickBot="1" x14ac:dyDescent="0.25">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 thickTop="1" x14ac:dyDescent="0.2">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 thickBot="1" x14ac:dyDescent="0.25">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 thickTop="1" x14ac:dyDescent="0.2">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 thickBot="1" x14ac:dyDescent="0.25">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x14ac:dyDescent="0.2">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 thickBot="1" x14ac:dyDescent="0.25">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x14ac:dyDescent="0.2">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 thickBot="1" x14ac:dyDescent="0.25">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x14ac:dyDescent="0.2">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x14ac:dyDescent="0.2">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 thickBot="1" x14ac:dyDescent="0.25">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x14ac:dyDescent="0.2">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 thickBot="1" x14ac:dyDescent="0.25">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x14ac:dyDescent="0.2">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 thickBot="1" x14ac:dyDescent="0.25">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x14ac:dyDescent="0.2">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 thickBot="1" x14ac:dyDescent="0.25">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x14ac:dyDescent="0.2">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 thickBot="1" x14ac:dyDescent="0.25">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x14ac:dyDescent="0.2">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 thickBot="1" x14ac:dyDescent="0.25">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x14ac:dyDescent="0.2">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 thickBot="1" x14ac:dyDescent="0.25">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x14ac:dyDescent="0.2">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 thickBot="1" x14ac:dyDescent="0.25">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E123"/>
  <sheetViews>
    <sheetView view="pageBreakPreview" zoomScale="60" zoomScaleNormal="60" workbookViewId="0">
      <selection activeCell="F7" sqref="F7:F40"/>
    </sheetView>
  </sheetViews>
  <sheetFormatPr baseColWidth="10" defaultColWidth="9" defaultRowHeight="14" x14ac:dyDescent="0.2"/>
  <cols>
    <col min="1" max="1" width="14.3320312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358" customFormat="1" ht="28.5" customHeight="1" x14ac:dyDescent="0.2">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x14ac:dyDescent="0.2">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x14ac:dyDescent="0.25">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x14ac:dyDescent="0.2">
      <c r="A4" s="361" t="s">
        <v>2466</v>
      </c>
      <c r="B4" s="362"/>
      <c r="C4" s="3429" t="s">
        <v>2467</v>
      </c>
      <c r="D4" s="3430"/>
      <c r="E4" s="3431" t="s">
        <v>2468</v>
      </c>
      <c r="F4" s="3432"/>
      <c r="G4" s="3429" t="s">
        <v>2469</v>
      </c>
      <c r="H4" s="3430"/>
      <c r="I4" s="3429" t="s">
        <v>2470</v>
      </c>
      <c r="J4" s="3430"/>
      <c r="K4" s="567" t="s">
        <v>2471</v>
      </c>
      <c r="L4" s="2944"/>
      <c r="M4" s="2945"/>
      <c r="N4" s="2945"/>
      <c r="O4" s="2945"/>
      <c r="P4" s="3464" t="s">
        <v>2472</v>
      </c>
      <c r="Q4" s="3465"/>
      <c r="R4" s="3468" t="s">
        <v>2468</v>
      </c>
      <c r="S4" s="3469"/>
      <c r="T4" s="3468" t="s">
        <v>2469</v>
      </c>
      <c r="U4" s="3469"/>
      <c r="V4" s="3446" t="s">
        <v>2470</v>
      </c>
      <c r="W4" s="3446"/>
      <c r="X4" s="1541"/>
      <c r="Y4" s="3468" t="s">
        <v>2472</v>
      </c>
      <c r="Z4" s="3469"/>
      <c r="AA4" s="3463" t="s">
        <v>2468</v>
      </c>
      <c r="AB4" s="3458" t="s">
        <v>2469</v>
      </c>
      <c r="AC4" s="3463" t="s">
        <v>2470</v>
      </c>
    </row>
    <row r="5" spans="1:29" x14ac:dyDescent="0.2">
      <c r="A5" s="364"/>
      <c r="B5" s="365"/>
      <c r="C5" s="3554" t="s">
        <v>2363</v>
      </c>
      <c r="D5" s="3472"/>
      <c r="E5" s="3556" t="s">
        <v>2364</v>
      </c>
      <c r="F5" s="3454"/>
      <c r="G5" s="3554" t="s">
        <v>2365</v>
      </c>
      <c r="H5" s="3472"/>
      <c r="I5" s="3554" t="s">
        <v>2366</v>
      </c>
      <c r="J5" s="3472"/>
      <c r="K5" s="567"/>
      <c r="L5" s="2944"/>
      <c r="M5" s="2945"/>
      <c r="N5" s="2945"/>
      <c r="O5" s="2945"/>
      <c r="P5" s="3466"/>
      <c r="Q5" s="3436"/>
      <c r="R5" s="3441"/>
      <c r="S5" s="3442"/>
      <c r="T5" s="3441"/>
      <c r="U5" s="3442"/>
      <c r="V5" s="3446"/>
      <c r="W5" s="3446"/>
      <c r="X5" s="1541"/>
      <c r="Y5" s="3441"/>
      <c r="Z5" s="3442"/>
      <c r="AA5" s="3458"/>
      <c r="AB5" s="3458"/>
      <c r="AC5" s="3458"/>
    </row>
    <row r="6" spans="1:29" ht="15" thickBot="1" x14ac:dyDescent="0.25">
      <c r="A6" s="366"/>
      <c r="B6" s="367"/>
      <c r="C6" s="3563" t="s">
        <v>2618</v>
      </c>
      <c r="D6" s="3564"/>
      <c r="E6" s="3565" t="s">
        <v>2618</v>
      </c>
      <c r="F6" s="3566"/>
      <c r="G6" s="3563" t="s">
        <v>2618</v>
      </c>
      <c r="H6" s="3564"/>
      <c r="I6" s="3563" t="s">
        <v>2618</v>
      </c>
      <c r="J6" s="3564"/>
      <c r="K6" s="567" t="s">
        <v>2368</v>
      </c>
      <c r="L6" s="2944"/>
      <c r="M6" s="2945"/>
      <c r="N6" s="2945"/>
      <c r="O6" s="2945"/>
      <c r="P6" s="3467"/>
      <c r="Q6" s="3438"/>
      <c r="R6" s="3441"/>
      <c r="S6" s="3442"/>
      <c r="T6" s="3443"/>
      <c r="U6" s="3444"/>
      <c r="V6" s="3446"/>
      <c r="W6" s="3446"/>
      <c r="X6" s="1541"/>
      <c r="Y6" s="3443"/>
      <c r="Z6" s="3444"/>
      <c r="AA6" s="3459"/>
      <c r="AB6" s="3459"/>
      <c r="AC6" s="3459"/>
    </row>
    <row r="7" spans="1:29" s="113" customFormat="1" ht="15" thickBot="1" x14ac:dyDescent="0.25">
      <c r="A7" s="368" t="s">
        <v>2369</v>
      </c>
      <c r="B7" s="369"/>
      <c r="C7" s="370">
        <f>'数据-取费表'!B2</f>
        <v>44606</v>
      </c>
      <c r="D7" s="371">
        <v>100</v>
      </c>
      <c r="E7" s="372"/>
      <c r="F7" s="373">
        <f>SUMIF(65:65,YEAR(E7)&amp;"-"&amp;INT((MONTH(E7)+2)/3),66:66)</f>
        <v>0</v>
      </c>
      <c r="G7" s="2162"/>
      <c r="H7" s="371">
        <f>SUMIF(65:65,YEAR(G7)&amp;"-"&amp;INT((MONTH(G7)+2)/3),66:66)</f>
        <v>0</v>
      </c>
      <c r="I7" s="2162"/>
      <c r="J7" s="371">
        <f>SUMIF(65:65,YEAR(I7)&amp;"-"&amp;INT((MONTH(I7)+2)/3),66:66)</f>
        <v>0</v>
      </c>
      <c r="K7" s="568"/>
      <c r="L7" s="2946"/>
      <c r="M7" s="2947"/>
      <c r="N7" s="2947"/>
      <c r="O7" s="2947"/>
      <c r="P7" s="3451" t="s">
        <v>2370</v>
      </c>
      <c r="Q7" s="3452"/>
      <c r="R7" s="710" t="s">
        <v>17</v>
      </c>
      <c r="S7" s="711">
        <f t="shared" ref="S7:S15" si="0">F7</f>
        <v>0</v>
      </c>
      <c r="T7" s="710" t="s">
        <v>17</v>
      </c>
      <c r="U7" s="711">
        <f t="shared" ref="U7:U15" si="1">H7</f>
        <v>0</v>
      </c>
      <c r="V7" s="710" t="s">
        <v>17</v>
      </c>
      <c r="W7" s="711">
        <f t="shared" ref="W7:W15" si="2">J7</f>
        <v>0</v>
      </c>
      <c r="X7" s="712"/>
      <c r="Y7" s="3451" t="s">
        <v>2370</v>
      </c>
      <c r="Z7" s="3450"/>
      <c r="AA7" s="713" t="e">
        <f>D7/F7</f>
        <v>#DIV/0!</v>
      </c>
      <c r="AB7" s="713" t="e">
        <f>D7/H7</f>
        <v>#DIV/0!</v>
      </c>
      <c r="AC7" s="713" t="e">
        <f>D7/J7</f>
        <v>#DIV/0!</v>
      </c>
    </row>
    <row r="8" spans="1:29" s="113" customFormat="1" ht="15" thickBot="1" x14ac:dyDescent="0.25">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51" t="s">
        <v>2373</v>
      </c>
      <c r="Q8" s="3450"/>
      <c r="R8" s="710" t="s">
        <v>17</v>
      </c>
      <c r="S8" s="711">
        <f t="shared" si="0"/>
        <v>0</v>
      </c>
      <c r="T8" s="710" t="s">
        <v>17</v>
      </c>
      <c r="U8" s="711">
        <f t="shared" si="1"/>
        <v>0</v>
      </c>
      <c r="V8" s="710" t="s">
        <v>17</v>
      </c>
      <c r="W8" s="711">
        <f t="shared" si="2"/>
        <v>0</v>
      </c>
      <c r="X8" s="712"/>
      <c r="Y8" s="3451" t="s">
        <v>2373</v>
      </c>
      <c r="Z8" s="3450"/>
      <c r="AA8" s="713" t="e">
        <f t="shared" ref="AA8:AA40" si="3">D8/F8</f>
        <v>#DIV/0!</v>
      </c>
      <c r="AB8" s="713" t="e">
        <f t="shared" ref="AB8:AB40" si="4">D8/H8</f>
        <v>#DIV/0!</v>
      </c>
      <c r="AC8" s="713" t="e">
        <f t="shared" ref="AC8:AC40" si="5">D8/J8</f>
        <v>#DIV/0!</v>
      </c>
    </row>
    <row r="9" spans="1:29" s="113" customFormat="1" x14ac:dyDescent="0.2">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6"/>
      <c r="M9" s="2947"/>
      <c r="N9" s="2947"/>
      <c r="O9" s="3001"/>
      <c r="P9" s="3411" t="s">
        <v>2376</v>
      </c>
      <c r="Q9" s="1529" t="str">
        <f t="shared" ref="Q9:Q15" si="6">B9</f>
        <v>用途</v>
      </c>
      <c r="R9" s="710" t="s">
        <v>17</v>
      </c>
      <c r="S9" s="711">
        <f t="shared" si="0"/>
        <v>100</v>
      </c>
      <c r="T9" s="710" t="s">
        <v>17</v>
      </c>
      <c r="U9" s="711">
        <f t="shared" si="1"/>
        <v>100</v>
      </c>
      <c r="V9" s="710" t="s">
        <v>17</v>
      </c>
      <c r="W9" s="711">
        <f t="shared" si="2"/>
        <v>100</v>
      </c>
      <c r="X9" s="712"/>
      <c r="Y9" s="3311" t="s">
        <v>2377</v>
      </c>
      <c r="Z9" s="55" t="str">
        <f t="shared" ref="Z9:Z15" si="7">Q9</f>
        <v>用途</v>
      </c>
      <c r="AA9" s="713">
        <f t="shared" si="3"/>
        <v>1</v>
      </c>
      <c r="AB9" s="713">
        <f t="shared" si="4"/>
        <v>1</v>
      </c>
      <c r="AC9" s="713">
        <f t="shared" si="5"/>
        <v>1</v>
      </c>
    </row>
    <row r="10" spans="1:29" s="386" customFormat="1" ht="28" x14ac:dyDescent="0.2">
      <c r="A10" s="380"/>
      <c r="B10" s="381" t="s">
        <v>2378</v>
      </c>
      <c r="C10" s="391"/>
      <c r="D10" s="132">
        <v>100</v>
      </c>
      <c r="E10" s="391"/>
      <c r="F10" s="132">
        <f>ROUND(100/'数据-取费表'!G16,0)</f>
        <v>128</v>
      </c>
      <c r="G10" s="391"/>
      <c r="H10" s="132">
        <f>ROUND(100/'数据-取费表'!G16,0)</f>
        <v>128</v>
      </c>
      <c r="I10" s="391"/>
      <c r="J10" s="132">
        <f>ROUND(100/'数据-取费表'!G16,0)</f>
        <v>128</v>
      </c>
      <c r="K10" s="628"/>
      <c r="L10" s="2948"/>
      <c r="M10" s="2949"/>
      <c r="N10" s="2949"/>
      <c r="O10" s="3002"/>
      <c r="P10" s="3411"/>
      <c r="Q10" s="1529" t="str">
        <f t="shared" si="6"/>
        <v>土地使用年限（年）</v>
      </c>
      <c r="R10" s="710" t="s">
        <v>17</v>
      </c>
      <c r="S10" s="711">
        <f t="shared" si="0"/>
        <v>128</v>
      </c>
      <c r="T10" s="710" t="s">
        <v>17</v>
      </c>
      <c r="U10" s="711">
        <f t="shared" si="1"/>
        <v>128</v>
      </c>
      <c r="V10" s="710" t="s">
        <v>17</v>
      </c>
      <c r="W10" s="711">
        <f t="shared" si="2"/>
        <v>128</v>
      </c>
      <c r="X10" s="712"/>
      <c r="Y10" s="3311"/>
      <c r="Z10" s="55" t="str">
        <f t="shared" si="7"/>
        <v>土地使用年限（年）</v>
      </c>
      <c r="AA10" s="713">
        <f t="shared" si="3"/>
        <v>0.78125</v>
      </c>
      <c r="AB10" s="713">
        <f t="shared" si="4"/>
        <v>0.78125</v>
      </c>
      <c r="AC10" s="713">
        <f t="shared" si="5"/>
        <v>0.78125</v>
      </c>
    </row>
    <row r="11" spans="1:29" ht="16" x14ac:dyDescent="0.2">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11"/>
      <c r="Q11" s="1529"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29" s="113" customFormat="1" ht="16" x14ac:dyDescent="0.2">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11"/>
      <c r="Q12" s="1529">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6" x14ac:dyDescent="0.2">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11"/>
      <c r="Q13" s="1529">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7" thickBot="1" x14ac:dyDescent="0.25">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11"/>
      <c r="Q14" s="1529">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56" x14ac:dyDescent="0.2">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18" t="s">
        <v>2381</v>
      </c>
      <c r="Q15" s="1538" t="str">
        <f t="shared" si="6"/>
        <v>产业集聚程度</v>
      </c>
      <c r="R15" s="714" t="s">
        <v>17</v>
      </c>
      <c r="S15" s="715">
        <f t="shared" si="0"/>
        <v>100</v>
      </c>
      <c r="T15" s="714" t="s">
        <v>17</v>
      </c>
      <c r="U15" s="715">
        <f t="shared" si="1"/>
        <v>100</v>
      </c>
      <c r="V15" s="714" t="s">
        <v>17</v>
      </c>
      <c r="W15" s="715">
        <f t="shared" si="2"/>
        <v>100</v>
      </c>
      <c r="X15" s="1541"/>
      <c r="Y15" s="3418" t="s">
        <v>2381</v>
      </c>
      <c r="Z15" s="1542" t="str">
        <f t="shared" si="7"/>
        <v>产业集聚程度</v>
      </c>
      <c r="AA15" s="1539">
        <f t="shared" si="3"/>
        <v>1</v>
      </c>
      <c r="AB15" s="1539">
        <f t="shared" si="4"/>
        <v>1</v>
      </c>
      <c r="AC15" s="1539">
        <f t="shared" si="5"/>
        <v>1</v>
      </c>
    </row>
    <row r="16" spans="1:29" ht="16" x14ac:dyDescent="0.2">
      <c r="A16" s="387"/>
      <c r="B16" s="586"/>
      <c r="C16" s="406"/>
      <c r="D16" s="407"/>
      <c r="E16" s="2092"/>
      <c r="F16" s="407"/>
      <c r="G16" s="2092"/>
      <c r="H16" s="409"/>
      <c r="I16" s="2092"/>
      <c r="J16" s="407"/>
      <c r="K16" s="628"/>
      <c r="L16" s="2951"/>
      <c r="M16" s="2945"/>
      <c r="N16" s="2945"/>
      <c r="O16" s="3003"/>
      <c r="P16" s="3419"/>
      <c r="Q16" s="1538"/>
      <c r="R16" s="714"/>
      <c r="S16" s="715"/>
      <c r="T16" s="714"/>
      <c r="U16" s="715"/>
      <c r="V16" s="714"/>
      <c r="W16" s="715"/>
      <c r="X16" s="1541"/>
      <c r="Y16" s="3419"/>
      <c r="Z16" s="1542"/>
      <c r="AA16" s="1539">
        <v>1</v>
      </c>
      <c r="AB16" s="1539">
        <v>1</v>
      </c>
      <c r="AC16" s="1539">
        <v>1</v>
      </c>
    </row>
    <row r="17" spans="1:29" ht="84" x14ac:dyDescent="0.2">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19"/>
      <c r="Q17" s="1538" t="str">
        <f>B17</f>
        <v>交通便捷度</v>
      </c>
      <c r="R17" s="714" t="s">
        <v>17</v>
      </c>
      <c r="S17" s="715">
        <f>F17</f>
        <v>100</v>
      </c>
      <c r="T17" s="714" t="s">
        <v>17</v>
      </c>
      <c r="U17" s="715">
        <f>H17</f>
        <v>100</v>
      </c>
      <c r="V17" s="714" t="s">
        <v>17</v>
      </c>
      <c r="W17" s="715">
        <f>J17</f>
        <v>100</v>
      </c>
      <c r="X17" s="1541"/>
      <c r="Y17" s="3419"/>
      <c r="Z17" s="1542" t="str">
        <f>Q17</f>
        <v>交通便捷度</v>
      </c>
      <c r="AA17" s="1539">
        <f t="shared" si="3"/>
        <v>1</v>
      </c>
      <c r="AB17" s="1539">
        <f t="shared" si="4"/>
        <v>1</v>
      </c>
      <c r="AC17" s="1539">
        <f t="shared" si="5"/>
        <v>1</v>
      </c>
    </row>
    <row r="18" spans="1:29" ht="16" x14ac:dyDescent="0.2">
      <c r="A18" s="387"/>
      <c r="B18" s="588"/>
      <c r="C18" s="406"/>
      <c r="D18" s="407"/>
      <c r="E18" s="2086"/>
      <c r="F18" s="407"/>
      <c r="G18" s="2086"/>
      <c r="H18" s="407"/>
      <c r="I18" s="2085"/>
      <c r="J18" s="407"/>
      <c r="K18" s="628"/>
      <c r="L18" s="2951"/>
      <c r="M18" s="2945"/>
      <c r="N18" s="2945"/>
      <c r="O18" s="3003"/>
      <c r="P18" s="3419"/>
      <c r="Q18" s="1538"/>
      <c r="R18" s="714"/>
      <c r="S18" s="715"/>
      <c r="T18" s="714"/>
      <c r="U18" s="715"/>
      <c r="V18" s="714"/>
      <c r="W18" s="715"/>
      <c r="X18" s="1541"/>
      <c r="Y18" s="3419"/>
      <c r="Z18" s="1542"/>
      <c r="AA18" s="1539">
        <v>1</v>
      </c>
      <c r="AB18" s="1539">
        <v>1</v>
      </c>
      <c r="AC18" s="1539">
        <v>1</v>
      </c>
    </row>
    <row r="19" spans="1:29" ht="16" x14ac:dyDescent="0.2">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19"/>
      <c r="Q19" s="1538" t="str">
        <f t="shared" ref="Q19:Q33" si="8">B19</f>
        <v>区域土地利用方向</v>
      </c>
      <c r="R19" s="714" t="s">
        <v>17</v>
      </c>
      <c r="S19" s="715">
        <f>F19</f>
        <v>100</v>
      </c>
      <c r="T19" s="714" t="s">
        <v>17</v>
      </c>
      <c r="U19" s="715">
        <f>H19</f>
        <v>100</v>
      </c>
      <c r="V19" s="714" t="s">
        <v>17</v>
      </c>
      <c r="W19" s="715">
        <f>J19</f>
        <v>100</v>
      </c>
      <c r="X19" s="1541"/>
      <c r="Y19" s="3419"/>
      <c r="Z19" s="1542" t="str">
        <f>Q19</f>
        <v>区域土地利用方向</v>
      </c>
      <c r="AA19" s="1539">
        <f t="shared" si="3"/>
        <v>1</v>
      </c>
      <c r="AB19" s="1539">
        <f t="shared" si="4"/>
        <v>1</v>
      </c>
      <c r="AC19" s="1539">
        <f t="shared" si="5"/>
        <v>1</v>
      </c>
    </row>
    <row r="20" spans="1:29" ht="16" x14ac:dyDescent="0.2">
      <c r="A20" s="364"/>
      <c r="B20" s="588"/>
      <c r="C20" s="406"/>
      <c r="D20" s="407"/>
      <c r="E20" s="2086"/>
      <c r="F20" s="407"/>
      <c r="G20" s="2086"/>
      <c r="H20" s="407"/>
      <c r="I20" s="2086"/>
      <c r="J20" s="407"/>
      <c r="K20" s="751"/>
      <c r="L20" s="2951"/>
      <c r="M20" s="2945"/>
      <c r="N20" s="2945"/>
      <c r="O20" s="3003"/>
      <c r="P20" s="3419"/>
      <c r="Q20" s="1538"/>
      <c r="R20" s="714"/>
      <c r="S20" s="715"/>
      <c r="T20" s="714"/>
      <c r="U20" s="715"/>
      <c r="V20" s="714"/>
      <c r="W20" s="715"/>
      <c r="X20" s="1541"/>
      <c r="Y20" s="3419"/>
      <c r="Z20" s="1542"/>
      <c r="AA20" s="1539"/>
      <c r="AB20" s="1539"/>
      <c r="AC20" s="1539"/>
    </row>
    <row r="21" spans="1:29" ht="70" x14ac:dyDescent="0.2">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19"/>
      <c r="Q21" s="1538" t="str">
        <f t="shared" si="8"/>
        <v>环境状况</v>
      </c>
      <c r="R21" s="714" t="s">
        <v>17</v>
      </c>
      <c r="S21" s="715">
        <f>F21</f>
        <v>100</v>
      </c>
      <c r="T21" s="714" t="s">
        <v>17</v>
      </c>
      <c r="U21" s="715">
        <f>H21</f>
        <v>100</v>
      </c>
      <c r="V21" s="714" t="s">
        <v>17</v>
      </c>
      <c r="W21" s="715">
        <f>J21</f>
        <v>100</v>
      </c>
      <c r="X21" s="1541"/>
      <c r="Y21" s="3419"/>
      <c r="Z21" s="1542" t="str">
        <f>Q21</f>
        <v>环境状况</v>
      </c>
      <c r="AA21" s="1539">
        <f t="shared" si="3"/>
        <v>1</v>
      </c>
      <c r="AB21" s="1539">
        <f t="shared" si="4"/>
        <v>1</v>
      </c>
      <c r="AC21" s="1539">
        <f t="shared" si="5"/>
        <v>1</v>
      </c>
    </row>
    <row r="22" spans="1:29" ht="16" x14ac:dyDescent="0.2">
      <c r="A22" s="364"/>
      <c r="B22" s="588"/>
      <c r="C22" s="406"/>
      <c r="D22" s="407"/>
      <c r="E22" s="2092"/>
      <c r="F22" s="407"/>
      <c r="G22" s="2092"/>
      <c r="H22" s="407"/>
      <c r="I22" s="406"/>
      <c r="J22" s="407"/>
      <c r="K22" s="628"/>
      <c r="L22" s="2951"/>
      <c r="M22" s="2945"/>
      <c r="N22" s="2945"/>
      <c r="O22" s="3003"/>
      <c r="P22" s="3419"/>
      <c r="Q22" s="1538"/>
      <c r="R22" s="714"/>
      <c r="S22" s="715"/>
      <c r="T22" s="714"/>
      <c r="U22" s="715"/>
      <c r="V22" s="714"/>
      <c r="W22" s="715"/>
      <c r="X22" s="1541"/>
      <c r="Y22" s="3419"/>
      <c r="Z22" s="1542"/>
      <c r="AA22" s="1539">
        <v>1</v>
      </c>
      <c r="AB22" s="1539">
        <v>1</v>
      </c>
      <c r="AC22" s="1539">
        <v>1</v>
      </c>
    </row>
    <row r="23" spans="1:29" s="113" customFormat="1" ht="42" x14ac:dyDescent="0.2">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19"/>
      <c r="Q23" s="1529" t="str">
        <f t="shared" si="8"/>
        <v>公共配套设施</v>
      </c>
      <c r="R23" s="710" t="s">
        <v>17</v>
      </c>
      <c r="S23" s="711">
        <f>F23</f>
        <v>100</v>
      </c>
      <c r="T23" s="710" t="s">
        <v>17</v>
      </c>
      <c r="U23" s="711">
        <f>H23</f>
        <v>100</v>
      </c>
      <c r="V23" s="710" t="s">
        <v>17</v>
      </c>
      <c r="W23" s="711">
        <f>J23</f>
        <v>100</v>
      </c>
      <c r="X23" s="712"/>
      <c r="Y23" s="3419"/>
      <c r="Z23" s="55" t="str">
        <f>Q23</f>
        <v>公共配套设施</v>
      </c>
      <c r="AA23" s="1539">
        <f>D23/F23</f>
        <v>1</v>
      </c>
      <c r="AB23" s="1539">
        <f>D23/H23</f>
        <v>1</v>
      </c>
      <c r="AC23" s="1539">
        <f>D23/J23</f>
        <v>1</v>
      </c>
    </row>
    <row r="24" spans="1:29" s="113" customFormat="1" ht="16" x14ac:dyDescent="0.2">
      <c r="A24" s="605"/>
      <c r="B24" s="588"/>
      <c r="C24" s="2166"/>
      <c r="D24" s="407"/>
      <c r="E24" s="2092"/>
      <c r="F24" s="407"/>
      <c r="G24" s="2092"/>
      <c r="H24" s="407"/>
      <c r="I24" s="406"/>
      <c r="J24" s="407"/>
      <c r="K24" s="628"/>
      <c r="L24" s="2946"/>
      <c r="M24" s="2947"/>
      <c r="N24" s="2947"/>
      <c r="O24" s="3001"/>
      <c r="P24" s="3419"/>
      <c r="Q24" s="1529"/>
      <c r="R24" s="710"/>
      <c r="S24" s="711"/>
      <c r="T24" s="710"/>
      <c r="U24" s="711"/>
      <c r="V24" s="710"/>
      <c r="W24" s="711"/>
      <c r="X24" s="712"/>
      <c r="Y24" s="3419"/>
      <c r="Z24" s="55"/>
      <c r="AA24" s="713">
        <v>1</v>
      </c>
      <c r="AB24" s="713">
        <v>1</v>
      </c>
      <c r="AC24" s="713">
        <v>1</v>
      </c>
    </row>
    <row r="25" spans="1:29" s="113" customFormat="1" ht="28" x14ac:dyDescent="0.2">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19"/>
      <c r="Q25" s="1529" t="str">
        <f t="shared" ref="Q25" si="9">B25</f>
        <v>基础设施水平</v>
      </c>
      <c r="R25" s="710" t="s">
        <v>17</v>
      </c>
      <c r="S25" s="711">
        <f>F25</f>
        <v>100</v>
      </c>
      <c r="T25" s="710" t="s">
        <v>17</v>
      </c>
      <c r="U25" s="711">
        <f>H25</f>
        <v>100</v>
      </c>
      <c r="V25" s="710" t="s">
        <v>17</v>
      </c>
      <c r="W25" s="711">
        <f>J25</f>
        <v>100</v>
      </c>
      <c r="X25" s="712"/>
      <c r="Y25" s="3419"/>
      <c r="Z25" s="55" t="str">
        <f>Q25</f>
        <v>基础设施水平</v>
      </c>
      <c r="AA25" s="1539">
        <f>D25/F25</f>
        <v>1</v>
      </c>
      <c r="AB25" s="1539">
        <f>D25/H25</f>
        <v>1</v>
      </c>
      <c r="AC25" s="1539">
        <f>D25/J25</f>
        <v>1</v>
      </c>
    </row>
    <row r="26" spans="1:29" s="113" customFormat="1" ht="16" x14ac:dyDescent="0.2">
      <c r="A26" s="605"/>
      <c r="B26" s="588"/>
      <c r="C26" s="2166"/>
      <c r="D26" s="407"/>
      <c r="E26" s="2167"/>
      <c r="F26" s="407"/>
      <c r="G26" s="2167"/>
      <c r="H26" s="407"/>
      <c r="I26" s="2167"/>
      <c r="J26" s="407"/>
      <c r="K26" s="628"/>
      <c r="L26" s="2946"/>
      <c r="M26" s="2947"/>
      <c r="N26" s="2947"/>
      <c r="O26" s="3001"/>
      <c r="P26" s="3419"/>
      <c r="Q26" s="1529"/>
      <c r="R26" s="710"/>
      <c r="S26" s="711"/>
      <c r="T26" s="710"/>
      <c r="U26" s="711"/>
      <c r="V26" s="710"/>
      <c r="W26" s="711"/>
      <c r="X26" s="712"/>
      <c r="Y26" s="3419"/>
      <c r="Z26" s="55"/>
      <c r="AA26" s="713">
        <v>1</v>
      </c>
      <c r="AB26" s="713">
        <v>1</v>
      </c>
      <c r="AC26" s="713">
        <v>1</v>
      </c>
    </row>
    <row r="27" spans="1:29" ht="16" x14ac:dyDescent="0.2">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1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419"/>
      <c r="Z27" s="1542" t="str">
        <f t="shared" ref="Z27:Z40" si="13">Q27</f>
        <v>临街状况</v>
      </c>
      <c r="AA27" s="1539">
        <f t="shared" si="3"/>
        <v>1</v>
      </c>
      <c r="AB27" s="1539">
        <f t="shared" si="4"/>
        <v>1</v>
      </c>
      <c r="AC27" s="1539">
        <f t="shared" si="5"/>
        <v>1</v>
      </c>
    </row>
    <row r="28" spans="1:29" ht="28" x14ac:dyDescent="0.2">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19"/>
      <c r="Q28" s="1538" t="str">
        <f t="shared" si="8"/>
        <v>毗邻道路的类型与等级</v>
      </c>
      <c r="R28" s="714" t="s">
        <v>17</v>
      </c>
      <c r="S28" s="715">
        <f t="shared" si="10"/>
        <v>100</v>
      </c>
      <c r="T28" s="714" t="s">
        <v>17</v>
      </c>
      <c r="U28" s="715">
        <f t="shared" si="11"/>
        <v>100</v>
      </c>
      <c r="V28" s="714" t="s">
        <v>17</v>
      </c>
      <c r="W28" s="715">
        <f t="shared" si="12"/>
        <v>100</v>
      </c>
      <c r="X28" s="1541"/>
      <c r="Y28" s="3419"/>
      <c r="Z28" s="1542" t="str">
        <f t="shared" si="13"/>
        <v>毗邻道路的类型与等级</v>
      </c>
      <c r="AA28" s="1539">
        <f t="shared" si="3"/>
        <v>1</v>
      </c>
      <c r="AB28" s="1539">
        <f t="shared" si="4"/>
        <v>1</v>
      </c>
      <c r="AC28" s="1539">
        <f t="shared" si="5"/>
        <v>1</v>
      </c>
    </row>
    <row r="29" spans="1:29" ht="16" x14ac:dyDescent="0.2">
      <c r="A29" s="387"/>
      <c r="B29" s="588"/>
      <c r="C29" s="406"/>
      <c r="D29" s="407"/>
      <c r="E29" s="2092"/>
      <c r="F29" s="407"/>
      <c r="G29" s="2092"/>
      <c r="H29" s="407"/>
      <c r="I29" s="2092"/>
      <c r="J29" s="407"/>
      <c r="K29" s="570"/>
      <c r="L29" s="2951"/>
      <c r="M29" s="2945"/>
      <c r="N29" s="2945"/>
      <c r="O29" s="3003"/>
      <c r="P29" s="3419"/>
      <c r="Q29" s="1538"/>
      <c r="R29" s="714"/>
      <c r="S29" s="715"/>
      <c r="T29" s="714"/>
      <c r="U29" s="715"/>
      <c r="V29" s="714"/>
      <c r="W29" s="715"/>
      <c r="X29" s="1541"/>
      <c r="Y29" s="3419"/>
      <c r="Z29" s="1542"/>
      <c r="AA29" s="1539">
        <v>1</v>
      </c>
      <c r="AB29" s="1539">
        <v>1</v>
      </c>
      <c r="AC29" s="1539">
        <v>1</v>
      </c>
    </row>
    <row r="30" spans="1:29" ht="16" x14ac:dyDescent="0.2">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19"/>
      <c r="Q30" s="1538" t="str">
        <f t="shared" si="8"/>
        <v>土地级别</v>
      </c>
      <c r="R30" s="714" t="s">
        <v>17</v>
      </c>
      <c r="S30" s="715">
        <f t="shared" si="10"/>
        <v>100</v>
      </c>
      <c r="T30" s="714" t="s">
        <v>17</v>
      </c>
      <c r="U30" s="715">
        <f t="shared" si="11"/>
        <v>100</v>
      </c>
      <c r="V30" s="714" t="s">
        <v>17</v>
      </c>
      <c r="W30" s="715">
        <f t="shared" si="12"/>
        <v>100</v>
      </c>
      <c r="X30" s="1541"/>
      <c r="Y30" s="3419"/>
      <c r="Z30" s="1542" t="str">
        <f t="shared" si="13"/>
        <v>土地级别</v>
      </c>
      <c r="AA30" s="1539">
        <f t="shared" si="3"/>
        <v>1</v>
      </c>
      <c r="AB30" s="1539">
        <f t="shared" si="4"/>
        <v>1</v>
      </c>
      <c r="AC30" s="1539">
        <f t="shared" si="5"/>
        <v>1</v>
      </c>
    </row>
    <row r="31" spans="1:29" ht="16" x14ac:dyDescent="0.2">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19"/>
      <c r="Q31" s="1538">
        <f t="shared" si="8"/>
        <v>111</v>
      </c>
      <c r="R31" s="714" t="s">
        <v>17</v>
      </c>
      <c r="S31" s="715">
        <f t="shared" si="10"/>
        <v>100</v>
      </c>
      <c r="T31" s="714" t="s">
        <v>17</v>
      </c>
      <c r="U31" s="715">
        <f t="shared" si="11"/>
        <v>100</v>
      </c>
      <c r="V31" s="714" t="s">
        <v>17</v>
      </c>
      <c r="W31" s="715">
        <f t="shared" si="12"/>
        <v>100</v>
      </c>
      <c r="X31" s="1541"/>
      <c r="Y31" s="3419"/>
      <c r="Z31" s="1542">
        <f t="shared" si="13"/>
        <v>111</v>
      </c>
      <c r="AA31" s="1539">
        <f t="shared" si="3"/>
        <v>1</v>
      </c>
      <c r="AB31" s="1539">
        <f t="shared" si="4"/>
        <v>1</v>
      </c>
      <c r="AC31" s="1539">
        <f t="shared" si="5"/>
        <v>1</v>
      </c>
    </row>
    <row r="32" spans="1:29" ht="16" x14ac:dyDescent="0.2">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557" t="s">
        <v>2386</v>
      </c>
      <c r="Q32" s="1538">
        <f t="shared" si="8"/>
        <v>111</v>
      </c>
      <c r="R32" s="714" t="s">
        <v>17</v>
      </c>
      <c r="S32" s="715">
        <f t="shared" si="10"/>
        <v>100</v>
      </c>
      <c r="T32" s="714" t="s">
        <v>17</v>
      </c>
      <c r="U32" s="715">
        <f t="shared" si="11"/>
        <v>100</v>
      </c>
      <c r="V32" s="714" t="s">
        <v>17</v>
      </c>
      <c r="W32" s="715">
        <f t="shared" si="12"/>
        <v>100</v>
      </c>
      <c r="X32" s="1541"/>
      <c r="Y32" s="3423" t="s">
        <v>2386</v>
      </c>
      <c r="Z32" s="1542">
        <f t="shared" si="13"/>
        <v>111</v>
      </c>
      <c r="AA32" s="1539">
        <f t="shared" si="3"/>
        <v>1</v>
      </c>
      <c r="AB32" s="1539">
        <f t="shared" si="4"/>
        <v>1</v>
      </c>
      <c r="AC32" s="1539">
        <f t="shared" si="5"/>
        <v>1</v>
      </c>
    </row>
    <row r="33" spans="1:31" s="430" customFormat="1" ht="17" thickBot="1" x14ac:dyDescent="0.25">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23"/>
      <c r="Q33" s="1538">
        <f t="shared" si="8"/>
        <v>111</v>
      </c>
      <c r="R33" s="717" t="s">
        <v>17</v>
      </c>
      <c r="S33" s="718">
        <f t="shared" si="10"/>
        <v>100</v>
      </c>
      <c r="T33" s="717" t="s">
        <v>17</v>
      </c>
      <c r="U33" s="718">
        <f t="shared" si="11"/>
        <v>100</v>
      </c>
      <c r="V33" s="717" t="s">
        <v>17</v>
      </c>
      <c r="W33" s="718">
        <f t="shared" si="12"/>
        <v>100</v>
      </c>
      <c r="X33" s="719"/>
      <c r="Y33" s="3423"/>
      <c r="Z33" s="720">
        <f t="shared" si="13"/>
        <v>111</v>
      </c>
      <c r="AA33" s="1539">
        <f t="shared" si="3"/>
        <v>1</v>
      </c>
      <c r="AB33" s="1539">
        <f t="shared" si="4"/>
        <v>1</v>
      </c>
      <c r="AC33" s="1539">
        <f t="shared" si="5"/>
        <v>1</v>
      </c>
    </row>
    <row r="34" spans="1:31" ht="16" x14ac:dyDescent="0.2">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23"/>
      <c r="Q34" s="1538" t="str">
        <f>B34</f>
        <v>宗地面积</v>
      </c>
      <c r="R34" s="714" t="s">
        <v>17</v>
      </c>
      <c r="S34" s="715" t="e">
        <f t="shared" si="10"/>
        <v>#N/A</v>
      </c>
      <c r="T34" s="714" t="s">
        <v>17</v>
      </c>
      <c r="U34" s="715" t="e">
        <f t="shared" si="11"/>
        <v>#N/A</v>
      </c>
      <c r="V34" s="714" t="s">
        <v>17</v>
      </c>
      <c r="W34" s="715" t="e">
        <f t="shared" si="12"/>
        <v>#N/A</v>
      </c>
      <c r="X34" s="1541"/>
      <c r="Y34" s="3423"/>
      <c r="Z34" s="1542" t="str">
        <f t="shared" si="13"/>
        <v>宗地面积</v>
      </c>
      <c r="AA34" s="1539" t="e">
        <f t="shared" si="3"/>
        <v>#N/A</v>
      </c>
      <c r="AB34" s="1539" t="e">
        <f t="shared" si="4"/>
        <v>#N/A</v>
      </c>
      <c r="AC34" s="1539" t="e">
        <f t="shared" si="5"/>
        <v>#N/A</v>
      </c>
    </row>
    <row r="35" spans="1:31" ht="16" x14ac:dyDescent="0.2">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1"/>
      <c r="M35" s="2945"/>
      <c r="N35" s="2945"/>
      <c r="O35" s="3003"/>
      <c r="P35" s="3423"/>
      <c r="Q35" s="1538" t="str">
        <f t="shared" ref="Q35:Q40" si="14">B35</f>
        <v>宗地形状</v>
      </c>
      <c r="R35" s="714" t="s">
        <v>17</v>
      </c>
      <c r="S35" s="715">
        <f t="shared" si="10"/>
        <v>100</v>
      </c>
      <c r="T35" s="714" t="s">
        <v>17</v>
      </c>
      <c r="U35" s="715">
        <f t="shared" si="11"/>
        <v>100</v>
      </c>
      <c r="V35" s="714" t="s">
        <v>17</v>
      </c>
      <c r="W35" s="715">
        <f t="shared" si="12"/>
        <v>100</v>
      </c>
      <c r="X35" s="1541"/>
      <c r="Y35" s="3423"/>
      <c r="Z35" s="1542" t="str">
        <f t="shared" si="13"/>
        <v>宗地形状</v>
      </c>
      <c r="AA35" s="1539">
        <f t="shared" si="3"/>
        <v>1</v>
      </c>
      <c r="AB35" s="1539">
        <f t="shared" si="4"/>
        <v>1</v>
      </c>
      <c r="AC35" s="1539">
        <f t="shared" si="5"/>
        <v>1</v>
      </c>
    </row>
    <row r="36" spans="1:31" s="113" customFormat="1" ht="16" x14ac:dyDescent="0.2">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6"/>
      <c r="M36" s="2947"/>
      <c r="N36" s="2947"/>
      <c r="O36" s="3001"/>
      <c r="P36" s="3423"/>
      <c r="Q36" s="1538" t="str">
        <f t="shared" si="14"/>
        <v>宗地开发程度</v>
      </c>
      <c r="R36" s="710" t="s">
        <v>17</v>
      </c>
      <c r="S36" s="711">
        <f t="shared" si="10"/>
        <v>100</v>
      </c>
      <c r="T36" s="710" t="s">
        <v>17</v>
      </c>
      <c r="U36" s="711">
        <f t="shared" si="11"/>
        <v>100</v>
      </c>
      <c r="V36" s="710" t="s">
        <v>17</v>
      </c>
      <c r="W36" s="711">
        <f t="shared" si="12"/>
        <v>100</v>
      </c>
      <c r="X36" s="712"/>
      <c r="Y36" s="3423"/>
      <c r="Z36" s="55" t="str">
        <f t="shared" si="13"/>
        <v>宗地开发程度</v>
      </c>
      <c r="AA36" s="713">
        <f t="shared" si="3"/>
        <v>1</v>
      </c>
      <c r="AB36" s="713">
        <f t="shared" si="4"/>
        <v>1</v>
      </c>
      <c r="AC36" s="713">
        <f t="shared" si="5"/>
        <v>1</v>
      </c>
    </row>
    <row r="37" spans="1:31" ht="16" x14ac:dyDescent="0.2">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1"/>
      <c r="M37" s="2945"/>
      <c r="N37" s="2945"/>
      <c r="O37" s="3003"/>
      <c r="P37" s="3423" t="s">
        <v>2386</v>
      </c>
      <c r="Q37" s="1538" t="str">
        <f t="shared" si="14"/>
        <v>工程地质条件</v>
      </c>
      <c r="R37" s="714" t="s">
        <v>17</v>
      </c>
      <c r="S37" s="715">
        <f t="shared" si="10"/>
        <v>100</v>
      </c>
      <c r="T37" s="714" t="s">
        <v>17</v>
      </c>
      <c r="U37" s="715">
        <f t="shared" si="11"/>
        <v>100</v>
      </c>
      <c r="V37" s="714" t="s">
        <v>17</v>
      </c>
      <c r="W37" s="715">
        <f t="shared" si="12"/>
        <v>100</v>
      </c>
      <c r="X37" s="1541"/>
      <c r="Y37" s="3423" t="s">
        <v>2386</v>
      </c>
      <c r="Z37" s="1542" t="str">
        <f t="shared" si="13"/>
        <v>工程地质条件</v>
      </c>
      <c r="AA37" s="1539">
        <f t="shared" si="3"/>
        <v>1</v>
      </c>
      <c r="AB37" s="1539">
        <f t="shared" si="4"/>
        <v>1</v>
      </c>
      <c r="AC37" s="1539">
        <f t="shared" si="5"/>
        <v>1</v>
      </c>
    </row>
    <row r="38" spans="1:31" ht="16" x14ac:dyDescent="0.2">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23"/>
      <c r="Q38" s="1538">
        <f t="shared" si="14"/>
        <v>111</v>
      </c>
      <c r="R38" s="714" t="s">
        <v>17</v>
      </c>
      <c r="S38" s="715">
        <f t="shared" si="10"/>
        <v>100</v>
      </c>
      <c r="T38" s="714" t="s">
        <v>17</v>
      </c>
      <c r="U38" s="715">
        <f t="shared" si="11"/>
        <v>100</v>
      </c>
      <c r="V38" s="714" t="s">
        <v>17</v>
      </c>
      <c r="W38" s="715">
        <f t="shared" si="12"/>
        <v>100</v>
      </c>
      <c r="X38" s="1541"/>
      <c r="Y38" s="3423"/>
      <c r="Z38" s="1542">
        <f t="shared" si="13"/>
        <v>111</v>
      </c>
      <c r="AA38" s="1539">
        <f t="shared" si="3"/>
        <v>1</v>
      </c>
      <c r="AB38" s="1539">
        <f t="shared" si="4"/>
        <v>1</v>
      </c>
      <c r="AC38" s="1539">
        <f t="shared" si="5"/>
        <v>1</v>
      </c>
    </row>
    <row r="39" spans="1:31" ht="16" x14ac:dyDescent="0.2">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23"/>
      <c r="Q39" s="1538">
        <f t="shared" si="14"/>
        <v>111</v>
      </c>
      <c r="R39" s="714" t="s">
        <v>17</v>
      </c>
      <c r="S39" s="715">
        <f t="shared" si="10"/>
        <v>100</v>
      </c>
      <c r="T39" s="714" t="s">
        <v>17</v>
      </c>
      <c r="U39" s="715">
        <f t="shared" si="11"/>
        <v>100</v>
      </c>
      <c r="V39" s="714" t="s">
        <v>17</v>
      </c>
      <c r="W39" s="715">
        <f t="shared" si="12"/>
        <v>100</v>
      </c>
      <c r="X39" s="1541"/>
      <c r="Y39" s="3423"/>
      <c r="Z39" s="1542">
        <f t="shared" si="13"/>
        <v>111</v>
      </c>
      <c r="AA39" s="1539">
        <f t="shared" si="3"/>
        <v>1</v>
      </c>
      <c r="AB39" s="1539">
        <f t="shared" si="4"/>
        <v>1</v>
      </c>
      <c r="AC39" s="1539">
        <f t="shared" si="5"/>
        <v>1</v>
      </c>
    </row>
    <row r="40" spans="1:31" s="430" customFormat="1" ht="17" thickBot="1" x14ac:dyDescent="0.25">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23"/>
      <c r="Q40" s="1538">
        <f t="shared" si="14"/>
        <v>111</v>
      </c>
      <c r="R40" s="717" t="s">
        <v>17</v>
      </c>
      <c r="S40" s="718">
        <f t="shared" si="10"/>
        <v>100</v>
      </c>
      <c r="T40" s="717" t="s">
        <v>17</v>
      </c>
      <c r="U40" s="718">
        <f t="shared" si="11"/>
        <v>100</v>
      </c>
      <c r="V40" s="717" t="s">
        <v>17</v>
      </c>
      <c r="W40" s="718">
        <f t="shared" si="12"/>
        <v>100</v>
      </c>
      <c r="X40" s="719"/>
      <c r="Y40" s="3423"/>
      <c r="Z40" s="720">
        <f t="shared" si="13"/>
        <v>111</v>
      </c>
      <c r="AA40" s="1539">
        <f t="shared" si="3"/>
        <v>1</v>
      </c>
      <c r="AB40" s="1539">
        <f t="shared" si="4"/>
        <v>1</v>
      </c>
      <c r="AC40" s="1539">
        <f t="shared" si="5"/>
        <v>1</v>
      </c>
    </row>
    <row r="41" spans="1:31" x14ac:dyDescent="0.2">
      <c r="A41" s="438" t="s">
        <v>2541</v>
      </c>
      <c r="B41" s="2170" t="s">
        <v>2621</v>
      </c>
      <c r="C41" s="638" t="s">
        <v>1</v>
      </c>
      <c r="D41" s="440"/>
      <c r="E41" s="441"/>
      <c r="F41" s="442"/>
      <c r="G41" s="443"/>
      <c r="H41" s="444"/>
      <c r="I41" s="441"/>
      <c r="J41" s="444"/>
      <c r="K41" s="723"/>
      <c r="L41" s="2953"/>
      <c r="M41" s="2945"/>
      <c r="N41" s="2945"/>
      <c r="O41" s="2954"/>
      <c r="P41" s="3411" t="str">
        <f>A41</f>
        <v>成交单价</v>
      </c>
      <c r="Q41" s="3411"/>
      <c r="R41" s="3446">
        <f>E41</f>
        <v>0</v>
      </c>
      <c r="S41" s="3446"/>
      <c r="T41" s="3446">
        <f>G41</f>
        <v>0</v>
      </c>
      <c r="U41" s="3446"/>
      <c r="V41" s="3446">
        <f>I41</f>
        <v>0</v>
      </c>
      <c r="W41" s="3446"/>
      <c r="X41" s="699"/>
      <c r="Y41" s="721"/>
      <c r="Z41" s="699"/>
      <c r="AA41" s="699"/>
      <c r="AB41" s="699"/>
      <c r="AC41" s="699"/>
    </row>
    <row r="42" spans="1:31" ht="15" thickBot="1" x14ac:dyDescent="0.25">
      <c r="A42" s="445" t="s">
        <v>2490</v>
      </c>
      <c r="B42" s="639"/>
      <c r="C42" s="448" t="e">
        <f>R43</f>
        <v>#DIV/0!</v>
      </c>
      <c r="D42" s="2540" t="s">
        <v>2879</v>
      </c>
      <c r="E42" s="448" t="e">
        <f>R42</f>
        <v>#DIV/0!</v>
      </c>
      <c r="F42" s="2541"/>
      <c r="G42" s="447" t="e">
        <f>T42</f>
        <v>#DIV/0!</v>
      </c>
      <c r="H42" s="2541"/>
      <c r="I42" s="448" t="e">
        <f>V42</f>
        <v>#DIV/0!</v>
      </c>
      <c r="J42" s="2541"/>
      <c r="K42" s="2543">
        <f>F42+H42+J42</f>
        <v>0</v>
      </c>
      <c r="L42" s="2953"/>
      <c r="M42" s="2945"/>
      <c r="N42" s="2945"/>
      <c r="O42" s="2954"/>
      <c r="P42" s="3411" t="str">
        <f>A42</f>
        <v>比较价值（元/平方米）</v>
      </c>
      <c r="Q42" s="3411"/>
      <c r="R42" s="3559" t="e">
        <f>ROUND(PRODUCT(R41,AA7:AA40),0)</f>
        <v>#DIV/0!</v>
      </c>
      <c r="S42" s="3559"/>
      <c r="T42" s="3559" t="e">
        <f>ROUND(PRODUCT(T41,AB7:AB40),0)</f>
        <v>#DIV/0!</v>
      </c>
      <c r="U42" s="3559"/>
      <c r="V42" s="3559" t="e">
        <f>ROUND(PRODUCT(V41,AC7:AC40),0)</f>
        <v>#DIV/0!</v>
      </c>
      <c r="W42" s="3559"/>
      <c r="X42" s="699"/>
      <c r="Y42" s="699"/>
      <c r="Z42" s="699"/>
      <c r="AA42" s="699"/>
      <c r="AB42" s="699"/>
      <c r="AC42" s="699"/>
    </row>
    <row r="43" spans="1:31" ht="15" thickBot="1" x14ac:dyDescent="0.25">
      <c r="A43" s="449" t="s">
        <v>2491</v>
      </c>
      <c r="B43" s="450"/>
      <c r="C43" s="451" t="e">
        <f>R43</f>
        <v>#DIV/0!</v>
      </c>
      <c r="D43" s="451"/>
      <c r="E43" s="451"/>
      <c r="F43" s="451"/>
      <c r="G43" s="451"/>
      <c r="H43" s="451"/>
      <c r="I43" s="451"/>
      <c r="J43" s="451"/>
      <c r="K43" s="724"/>
      <c r="L43" s="2953"/>
      <c r="M43" s="2945"/>
      <c r="N43" s="2945"/>
      <c r="O43" s="2954"/>
      <c r="P43" s="3460" t="str">
        <f>A43</f>
        <v>估价对象XX用房的比较价值（楼面单价，元/平方米）</v>
      </c>
      <c r="Q43" s="3461"/>
      <c r="R43" s="3560" t="e">
        <f>ROUND(IF(D42="简单平均",AVERAGE(R42:W42),R42*F42+T42*H42+V42*J42),0)</f>
        <v>#DIV/0!</v>
      </c>
      <c r="S43" s="3560"/>
      <c r="T43" s="3560"/>
      <c r="U43" s="3560"/>
      <c r="V43" s="3560"/>
      <c r="W43" s="3560"/>
      <c r="X43" s="699"/>
      <c r="Y43" s="699"/>
      <c r="Z43" s="699"/>
      <c r="AA43" s="699"/>
      <c r="AB43" s="699"/>
      <c r="AC43" s="699"/>
    </row>
    <row r="44" spans="1:31" x14ac:dyDescent="0.2">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x14ac:dyDescent="0.2">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x14ac:dyDescent="0.2">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x14ac:dyDescent="0.2">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x14ac:dyDescent="0.2">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x14ac:dyDescent="0.25">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8" x14ac:dyDescent="0.2">
      <c r="A50" s="640" t="s">
        <v>2579</v>
      </c>
      <c r="B50" s="641" t="s">
        <v>2580</v>
      </c>
      <c r="C50" s="2171" t="s">
        <v>2581</v>
      </c>
      <c r="D50" s="2172" t="s">
        <v>2582</v>
      </c>
      <c r="E50" s="642" t="s">
        <v>2583</v>
      </c>
      <c r="F50" s="643" t="s">
        <v>2584</v>
      </c>
      <c r="G50" s="3429" t="s">
        <v>2585</v>
      </c>
      <c r="H50" s="3561"/>
      <c r="I50" s="1542" t="s">
        <v>2622</v>
      </c>
      <c r="J50" s="1542">
        <f>项目基本情况!F35</f>
        <v>0</v>
      </c>
      <c r="K50" s="2174"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x14ac:dyDescent="0.15">
      <c r="A51" s="644" t="s">
        <v>2588</v>
      </c>
      <c r="B51" s="645" t="e">
        <f>C43</f>
        <v>#DIV/0!</v>
      </c>
      <c r="C51" s="646">
        <v>1</v>
      </c>
      <c r="D51" s="1075">
        <v>1</v>
      </c>
      <c r="E51" s="646">
        <f>'数据-汇总表'!E8+'数据-汇总表'!E9</f>
        <v>547.29</v>
      </c>
      <c r="F51" s="647" t="e">
        <f t="shared" ref="F51:F60" si="15">ROUND(B51*E51/10000,0)</f>
        <v>#DIV/0!</v>
      </c>
      <c r="G51" s="3410"/>
      <c r="H51" s="3411"/>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x14ac:dyDescent="0.15">
      <c r="A52" s="649" t="s">
        <v>2589</v>
      </c>
      <c r="B52" s="224" t="e">
        <f>ROUND($C$43*C52*D52,0)</f>
        <v>#DIV/0!</v>
      </c>
      <c r="C52" s="176">
        <f t="shared" ref="C52:C60" si="16">IF($C$50="北京市系数",I52,J52)</f>
        <v>0</v>
      </c>
      <c r="D52" s="1076">
        <v>0.25</v>
      </c>
      <c r="E52" s="650"/>
      <c r="F52" s="647" t="e">
        <f t="shared" si="15"/>
        <v>#DIV/0!</v>
      </c>
      <c r="G52" s="3562"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x14ac:dyDescent="0.15">
      <c r="A53" s="649" t="s">
        <v>2591</v>
      </c>
      <c r="B53" s="224" t="e">
        <f t="shared" ref="B53:B60" si="17">ROUND($C$43*C53*D53,0)</f>
        <v>#DIV/0!</v>
      </c>
      <c r="C53" s="176">
        <f t="shared" si="16"/>
        <v>0</v>
      </c>
      <c r="D53" s="1076">
        <v>0.25</v>
      </c>
      <c r="E53" s="650"/>
      <c r="F53" s="647" t="e">
        <f t="shared" si="15"/>
        <v>#DIV/0!</v>
      </c>
      <c r="G53" s="3562"/>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x14ac:dyDescent="0.15">
      <c r="A54" s="649" t="s">
        <v>2592</v>
      </c>
      <c r="B54" s="224" t="e">
        <f t="shared" si="17"/>
        <v>#DIV/0!</v>
      </c>
      <c r="C54" s="176">
        <f t="shared" si="16"/>
        <v>0</v>
      </c>
      <c r="D54" s="1076">
        <v>0.25</v>
      </c>
      <c r="E54" s="650"/>
      <c r="F54" s="647" t="e">
        <f t="shared" si="15"/>
        <v>#DIV/0!</v>
      </c>
      <c r="G54" s="3562"/>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x14ac:dyDescent="0.15">
      <c r="A55" s="649" t="s">
        <v>2593</v>
      </c>
      <c r="B55" s="224" t="e">
        <f t="shared" si="17"/>
        <v>#DIV/0!</v>
      </c>
      <c r="C55" s="176">
        <f t="shared" si="16"/>
        <v>0</v>
      </c>
      <c r="D55" s="1076">
        <v>0.25</v>
      </c>
      <c r="E55" s="650"/>
      <c r="F55" s="647" t="e">
        <f t="shared" si="15"/>
        <v>#DIV/0!</v>
      </c>
      <c r="G55" s="3562"/>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x14ac:dyDescent="0.15">
      <c r="A56" s="649" t="s">
        <v>2594</v>
      </c>
      <c r="B56" s="224" t="e">
        <f t="shared" si="17"/>
        <v>#DIV/0!</v>
      </c>
      <c r="C56" s="176">
        <f t="shared" si="16"/>
        <v>0</v>
      </c>
      <c r="D56" s="1076">
        <v>0.25</v>
      </c>
      <c r="E56" s="223">
        <f>'数据-汇总表'!E11</f>
        <v>0</v>
      </c>
      <c r="F56" s="647" t="e">
        <f t="shared" si="15"/>
        <v>#DIV/0!</v>
      </c>
      <c r="G56" s="2175"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x14ac:dyDescent="0.15">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x14ac:dyDescent="0.15">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x14ac:dyDescent="0.15">
      <c r="A59" s="649" t="s">
        <v>2600</v>
      </c>
      <c r="B59" s="224" t="e">
        <f t="shared" si="17"/>
        <v>#DIV/0!</v>
      </c>
      <c r="C59" s="176">
        <f t="shared" si="16"/>
        <v>0</v>
      </c>
      <c r="D59" s="1076">
        <v>0.25</v>
      </c>
      <c r="E59" s="223">
        <f>'数据-汇总表'!E14</f>
        <v>0</v>
      </c>
      <c r="F59" s="647" t="e">
        <f t="shared" si="15"/>
        <v>#DIV/0!</v>
      </c>
      <c r="G59" s="2175"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x14ac:dyDescent="0.2">
      <c r="A60" s="649" t="s">
        <v>2601</v>
      </c>
      <c r="B60" s="224" t="e">
        <f t="shared" si="17"/>
        <v>#DIV/0!</v>
      </c>
      <c r="C60" s="176">
        <f t="shared" si="16"/>
        <v>0</v>
      </c>
      <c r="D60" s="1076">
        <v>0.25</v>
      </c>
      <c r="E60" s="223">
        <f>'数据-汇总表'!E15</f>
        <v>0</v>
      </c>
      <c r="F60" s="647" t="e">
        <f t="shared" si="15"/>
        <v>#DIV/0!</v>
      </c>
      <c r="G60" s="2176"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x14ac:dyDescent="0.2">
      <c r="A61" s="651" t="s">
        <v>2602</v>
      </c>
      <c r="B61" s="652" t="s">
        <v>28</v>
      </c>
      <c r="C61" s="652" t="s">
        <v>29</v>
      </c>
      <c r="D61" s="652" t="s">
        <v>997</v>
      </c>
      <c r="E61" s="652" t="e">
        <f>IF(B41="楼面地价",SUM(E51:E60),'数据-汇总表'!D3)</f>
        <v>#DIV/0!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x14ac:dyDescent="0.2">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x14ac:dyDescent="0.2">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54"/>
      <c r="Q63" s="2954"/>
      <c r="R63" s="2954"/>
      <c r="S63" s="2954"/>
      <c r="T63" s="2954"/>
      <c r="U63" s="2954"/>
      <c r="V63" s="2954"/>
      <c r="W63" s="2954"/>
      <c r="X63" s="2954"/>
      <c r="Y63" s="2954"/>
      <c r="Z63" s="2954"/>
      <c r="AA63" s="2954"/>
      <c r="AB63" s="2954"/>
      <c r="AC63" s="2954"/>
      <c r="AD63" s="2954"/>
      <c r="AE63" s="2954"/>
    </row>
    <row r="64" spans="1:31" ht="21" thickBot="1" x14ac:dyDescent="0.25">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x14ac:dyDescent="0.2">
      <c r="A65" s="2177" t="s">
        <v>2603</v>
      </c>
      <c r="B65" s="1269"/>
      <c r="C65" s="1344" t="str">
        <f>YEAR(C63)&amp;"-"&amp;ROUNDUP(MONTH(C63)/3,0)</f>
        <v>2022-1</v>
      </c>
      <c r="D65" s="1344" t="str">
        <f t="shared" ref="D65:O65" si="19">YEAR(D63)&amp;"-"&amp;ROUNDUP(MONTH(D63)/3,0)</f>
        <v>2021-4</v>
      </c>
      <c r="E65" s="1344" t="str">
        <f t="shared" si="19"/>
        <v>2021-3</v>
      </c>
      <c r="F65" s="1344" t="str">
        <f t="shared" si="19"/>
        <v>2021-2</v>
      </c>
      <c r="G65" s="1344" t="str">
        <f t="shared" si="19"/>
        <v>2021-1</v>
      </c>
      <c r="H65" s="1344" t="str">
        <f t="shared" si="19"/>
        <v>2020-4</v>
      </c>
      <c r="I65" s="1344" t="str">
        <f t="shared" si="19"/>
        <v>2020-3</v>
      </c>
      <c r="J65" s="1344" t="str">
        <f t="shared" si="19"/>
        <v>2020-2</v>
      </c>
      <c r="K65" s="1344" t="str">
        <f t="shared" si="19"/>
        <v>2020-1</v>
      </c>
      <c r="L65" s="1344" t="str">
        <f t="shared" si="19"/>
        <v>2019-4</v>
      </c>
      <c r="M65" s="1344" t="str">
        <f t="shared" si="19"/>
        <v>2019-3</v>
      </c>
      <c r="N65" s="1344" t="str">
        <f t="shared" si="19"/>
        <v>2019-2</v>
      </c>
      <c r="O65" s="1344" t="str">
        <f t="shared" si="19"/>
        <v>2019-1</v>
      </c>
      <c r="P65" s="3005"/>
      <c r="Q65" s="2970"/>
      <c r="R65" s="2970"/>
      <c r="S65" s="2970"/>
      <c r="T65" s="2970"/>
      <c r="U65" s="2970"/>
      <c r="V65" s="2970"/>
      <c r="W65" s="2970"/>
      <c r="X65" s="2970"/>
      <c r="Y65" s="2970"/>
      <c r="Z65" s="2970"/>
      <c r="AA65" s="2970"/>
      <c r="AB65" s="2970"/>
      <c r="AC65" s="2970"/>
      <c r="AD65" s="2970"/>
      <c r="AE65" s="2970"/>
    </row>
    <row r="66" spans="1:31" s="113" customFormat="1" ht="30.75" customHeight="1" x14ac:dyDescent="0.2">
      <c r="A66" s="2182"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 thickBot="1" x14ac:dyDescent="0.25">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x14ac:dyDescent="0.2">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 thickBot="1" x14ac:dyDescent="0.25">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x14ac:dyDescent="0.2">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 thickBot="1" x14ac:dyDescent="0.25">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9" thickTop="1" x14ac:dyDescent="0.2">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 thickBot="1" x14ac:dyDescent="0.25">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 thickTop="1" x14ac:dyDescent="0.2">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x14ac:dyDescent="0.2">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 thickBot="1" x14ac:dyDescent="0.25">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 thickTop="1" x14ac:dyDescent="0.2">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 thickBot="1" x14ac:dyDescent="0.25">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 thickTop="1" x14ac:dyDescent="0.2">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 thickBot="1" x14ac:dyDescent="0.25">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 thickTop="1" x14ac:dyDescent="0.2">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 thickBot="1" x14ac:dyDescent="0.25">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x14ac:dyDescent="0.2">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 thickBot="1" x14ac:dyDescent="0.25">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 thickTop="1" x14ac:dyDescent="0.2">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 thickBot="1" x14ac:dyDescent="0.25">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 thickTop="1" x14ac:dyDescent="0.2">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 thickBot="1" x14ac:dyDescent="0.25">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9" thickTop="1" x14ac:dyDescent="0.2">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 thickBot="1" x14ac:dyDescent="0.25">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 thickTop="1" x14ac:dyDescent="0.2">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 thickBot="1" x14ac:dyDescent="0.25">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 thickTop="1" x14ac:dyDescent="0.2">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 thickBot="1" x14ac:dyDescent="0.25">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 thickTop="1" x14ac:dyDescent="0.2">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 thickBot="1" x14ac:dyDescent="0.25">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9" thickTop="1" x14ac:dyDescent="0.2">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 thickBot="1" x14ac:dyDescent="0.25">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 thickTop="1" x14ac:dyDescent="0.2">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 thickBot="1" x14ac:dyDescent="0.25">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 thickTop="1" x14ac:dyDescent="0.2">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 thickBot="1" x14ac:dyDescent="0.25">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x14ac:dyDescent="0.2">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 thickBot="1" x14ac:dyDescent="0.25">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x14ac:dyDescent="0.2">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 thickBot="1" x14ac:dyDescent="0.25">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x14ac:dyDescent="0.2">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x14ac:dyDescent="0.2">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 thickBot="1" x14ac:dyDescent="0.25">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x14ac:dyDescent="0.2">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 thickBot="1" x14ac:dyDescent="0.25">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x14ac:dyDescent="0.2">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 thickBot="1" x14ac:dyDescent="0.25">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x14ac:dyDescent="0.2">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 thickBot="1" x14ac:dyDescent="0.25">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x14ac:dyDescent="0.2">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 thickBot="1" x14ac:dyDescent="0.25">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x14ac:dyDescent="0.2">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 thickBot="1" x14ac:dyDescent="0.25">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x14ac:dyDescent="0.2">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 thickBot="1" x14ac:dyDescent="0.25">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x14ac:dyDescent="0.2">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x14ac:dyDescent="0.2">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enableFormatConditionsCalculation="0">
    <tabColor rgb="FF92D050"/>
    <pageSetUpPr fitToPage="1"/>
  </sheetPr>
  <dimension ref="A1:I57"/>
  <sheetViews>
    <sheetView view="pageBreakPreview" zoomScale="90" zoomScaleNormal="70" zoomScaleSheetLayoutView="90" workbookViewId="0">
      <selection activeCell="D29" sqref="D29"/>
    </sheetView>
  </sheetViews>
  <sheetFormatPr baseColWidth="10" defaultColWidth="8.33203125" defaultRowHeight="13" x14ac:dyDescent="0.2"/>
  <cols>
    <col min="1" max="1" width="10.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9" s="206" customFormat="1" ht="20" x14ac:dyDescent="0.2">
      <c r="A1" s="202" t="s">
        <v>2147</v>
      </c>
      <c r="B1" s="1656" t="s">
        <v>3274</v>
      </c>
      <c r="C1" s="204"/>
      <c r="D1" s="204"/>
      <c r="E1" s="204"/>
      <c r="F1" s="204"/>
      <c r="G1" s="1288">
        <f>MATCH(B1,'数据-取费表'!A6:A16,0)+5</f>
        <v>6</v>
      </c>
    </row>
    <row r="2" spans="1:9" s="206" customFormat="1" ht="18" customHeight="1" x14ac:dyDescent="0.2">
      <c r="A2" s="207" t="s">
        <v>2148</v>
      </c>
      <c r="B2" s="208" t="e">
        <f ca="1">IF(D2="——",C52,C52-E2)</f>
        <v>#DIV/0!</v>
      </c>
      <c r="C2" s="205" t="s">
        <v>2149</v>
      </c>
      <c r="D2" s="2041" t="s">
        <v>70</v>
      </c>
      <c r="E2" s="1331" t="e">
        <f ca="1">SUMIF(INDIRECT("'"&amp;G2&amp;"'"&amp;"!A:A"),"承租人权益价值",INDIRECT("'"&amp;G2&amp;"'"&amp;"!c:c"))</f>
        <v>#DIV/0!</v>
      </c>
      <c r="F2" s="2042" t="s">
        <v>2149</v>
      </c>
      <c r="G2" s="2043" t="s">
        <v>3177</v>
      </c>
    </row>
    <row r="3" spans="1:9" s="206" customFormat="1" ht="18" customHeight="1" thickBot="1" x14ac:dyDescent="0.25">
      <c r="A3" s="209" t="s">
        <v>2150</v>
      </c>
      <c r="B3" s="210" t="e">
        <f ca="1">ROUND(B2*10000/(IF(B1="",'数据-汇总表'!E3,INDIRECT("'数据-取费表'!k"&amp;$G$1))),0)</f>
        <v>#DIV/0!</v>
      </c>
      <c r="C3" s="205" t="s">
        <v>2151</v>
      </c>
      <c r="D3" s="205"/>
      <c r="E3" s="205"/>
      <c r="F3" s="205"/>
      <c r="G3" s="205"/>
    </row>
    <row r="4" spans="1:9" s="214" customFormat="1" ht="16" x14ac:dyDescent="0.2">
      <c r="A4" s="211" t="s">
        <v>2152</v>
      </c>
      <c r="B4" s="212"/>
      <c r="C4" s="212"/>
      <c r="D4" s="212"/>
      <c r="E4" s="212"/>
      <c r="F4" s="212"/>
      <c r="G4" s="213"/>
    </row>
    <row r="5" spans="1:9" s="220" customFormat="1" ht="13.5" customHeight="1" x14ac:dyDescent="0.15">
      <c r="A5" s="261" t="s">
        <v>2153</v>
      </c>
      <c r="B5" s="216" t="s">
        <v>2154</v>
      </c>
      <c r="C5" s="217" t="e">
        <f ca="1">C6+C7+C8</f>
        <v>#DIV/0!</v>
      </c>
      <c r="D5" s="217" t="s">
        <v>2155</v>
      </c>
      <c r="E5" s="218" t="s">
        <v>2156</v>
      </c>
      <c r="F5" s="218" t="s">
        <v>2157</v>
      </c>
      <c r="G5" s="219"/>
    </row>
    <row r="6" spans="1:9" s="220" customFormat="1" ht="13.5" customHeight="1" x14ac:dyDescent="0.15">
      <c r="A6" s="886" t="s">
        <v>2158</v>
      </c>
      <c r="B6" s="221" t="s">
        <v>2159</v>
      </c>
      <c r="C6" s="222" t="e">
        <f ca="1">基准地价修正!B2</f>
        <v>#DIV/0!</v>
      </c>
      <c r="D6" s="223"/>
      <c r="E6" s="224"/>
      <c r="F6" s="224"/>
      <c r="G6" s="225"/>
    </row>
    <row r="7" spans="1:9" s="220" customFormat="1" ht="13.5" customHeight="1" x14ac:dyDescent="0.15">
      <c r="A7" s="886" t="s">
        <v>2160</v>
      </c>
      <c r="B7" s="221" t="s">
        <v>2161</v>
      </c>
      <c r="C7" s="226" t="e">
        <f ca="1">ROUND(C6*F7,0)</f>
        <v>#DIV/0!</v>
      </c>
      <c r="D7" s="226"/>
      <c r="E7" s="224"/>
      <c r="F7" s="227">
        <f>IF(项目基本情况!B8="出让",0,'数据-取费表'!B48+'数据-取费表'!B49)</f>
        <v>3.0499999999999999E-2</v>
      </c>
      <c r="G7" s="225"/>
    </row>
    <row r="8" spans="1:9" s="229" customFormat="1" ht="14" x14ac:dyDescent="0.15">
      <c r="A8" s="886" t="s">
        <v>2162</v>
      </c>
      <c r="B8" s="221" t="s">
        <v>2163</v>
      </c>
      <c r="C8" s="226">
        <f ca="1">IF(G8="已包含在土地购买价格中","0",IF(B1="",'数据-取费表'!B29,IF(G9="全部缴纳",C9+C10,H9)))</f>
        <v>11</v>
      </c>
      <c r="D8" s="228"/>
      <c r="E8" s="226"/>
      <c r="F8" s="227"/>
      <c r="G8" s="2044" t="s">
        <v>3210</v>
      </c>
    </row>
    <row r="9" spans="1:9" s="220" customFormat="1" ht="13.5" customHeight="1" x14ac:dyDescent="0.15">
      <c r="A9" s="887" t="s">
        <v>800</v>
      </c>
      <c r="B9" s="230" t="s">
        <v>2164</v>
      </c>
      <c r="C9" s="231">
        <f ca="1">ROUND(D9*E9/10000,0)</f>
        <v>0</v>
      </c>
      <c r="D9" s="954">
        <f ca="1">IF(B1="",'数据-汇总表'!E5,IF(INDIRECT("'数据-取费表'!c"&amp;$G$1)="住宅",INDIRECT("'数据-取费表'!k"&amp;$G$1),0))</f>
        <v>0</v>
      </c>
      <c r="E9" s="231">
        <f>'数据-取费表'!B27</f>
        <v>160</v>
      </c>
      <c r="F9" s="227"/>
      <c r="G9" s="2045" t="s">
        <v>3248</v>
      </c>
      <c r="H9" s="1299"/>
      <c r="I9" s="2046" t="s">
        <v>2165</v>
      </c>
    </row>
    <row r="10" spans="1:9" s="220" customFormat="1" ht="13.5" customHeight="1" x14ac:dyDescent="0.15">
      <c r="A10" s="887" t="s">
        <v>801</v>
      </c>
      <c r="B10" s="230" t="s">
        <v>2166</v>
      </c>
      <c r="C10" s="231">
        <f ca="1">ROUND(D10*E10/10000,0)</f>
        <v>11</v>
      </c>
      <c r="D10" s="954">
        <f ca="1">IF(B1="",'数据-汇总表'!E6,IF(INDIRECT("'数据-取费表'!c"&amp;$G$1)="住宅",INDIRECT("'数据-取费表'!s"&amp;$G$1),INDIRECT("'数据-取费表'!k"&amp;$G$1)+INDIRECT("'数据-取费表'!s"&amp;$G$1)))</f>
        <v>547.29</v>
      </c>
      <c r="E10" s="231">
        <f>'数据-取费表'!B28</f>
        <v>200</v>
      </c>
      <c r="F10" s="227"/>
      <c r="G10" s="232"/>
    </row>
    <row r="11" spans="1:9" s="220" customFormat="1" ht="13.5" hidden="1" customHeight="1" x14ac:dyDescent="0.15">
      <c r="A11" s="233" t="s">
        <v>7</v>
      </c>
      <c r="B11" s="221" t="s">
        <v>2167</v>
      </c>
      <c r="C11" s="217"/>
      <c r="D11" s="956"/>
      <c r="E11" s="224"/>
      <c r="F11" s="224"/>
      <c r="G11" s="225"/>
    </row>
    <row r="12" spans="1:9" s="220" customFormat="1" ht="13.5" hidden="1" customHeight="1" x14ac:dyDescent="0.15">
      <c r="A12" s="233" t="s">
        <v>8</v>
      </c>
      <c r="B12" s="221" t="s">
        <v>2168</v>
      </c>
      <c r="C12" s="217">
        <v>0</v>
      </c>
      <c r="D12" s="956"/>
      <c r="E12" s="234"/>
      <c r="F12" s="227">
        <v>3.0499999999999999E-2</v>
      </c>
      <c r="G12" s="225"/>
    </row>
    <row r="13" spans="1:9" s="220" customFormat="1" ht="13.5" hidden="1" customHeight="1" x14ac:dyDescent="0.15">
      <c r="A13" s="233" t="s">
        <v>9</v>
      </c>
      <c r="B13" s="221" t="s">
        <v>2169</v>
      </c>
      <c r="C13" s="217"/>
      <c r="D13" s="956"/>
      <c r="E13" s="224"/>
      <c r="F13" s="224"/>
      <c r="G13" s="225"/>
    </row>
    <row r="14" spans="1:9" s="220" customFormat="1" ht="13.5" hidden="1" customHeight="1" x14ac:dyDescent="0.15">
      <c r="A14" s="233" t="s">
        <v>10</v>
      </c>
      <c r="B14" s="221" t="s">
        <v>2170</v>
      </c>
      <c r="C14" s="217"/>
      <c r="D14" s="956"/>
      <c r="E14" s="224"/>
      <c r="F14" s="224"/>
      <c r="G14" s="225" t="s">
        <v>2171</v>
      </c>
    </row>
    <row r="15" spans="1:9" s="220" customFormat="1" ht="13.5" hidden="1" customHeight="1" x14ac:dyDescent="0.15">
      <c r="A15" s="233" t="s">
        <v>11</v>
      </c>
      <c r="B15" s="221" t="s">
        <v>2172</v>
      </c>
      <c r="C15" s="226"/>
      <c r="D15" s="956"/>
      <c r="E15" s="224"/>
      <c r="F15" s="224"/>
      <c r="G15" s="225" t="s">
        <v>2173</v>
      </c>
    </row>
    <row r="16" spans="1:9" s="220" customFormat="1" ht="13.5" hidden="1" customHeight="1" x14ac:dyDescent="0.15">
      <c r="A16" s="233" t="s">
        <v>12</v>
      </c>
      <c r="B16" s="221" t="s">
        <v>2170</v>
      </c>
      <c r="C16" s="226"/>
      <c r="D16" s="956"/>
      <c r="E16" s="224"/>
      <c r="F16" s="224"/>
      <c r="G16" s="225"/>
    </row>
    <row r="17" spans="1:7" s="220" customFormat="1" ht="13.5" hidden="1" customHeight="1" x14ac:dyDescent="0.15">
      <c r="A17" s="233" t="s">
        <v>13</v>
      </c>
      <c r="B17" s="221" t="s">
        <v>2174</v>
      </c>
      <c r="C17" s="235"/>
      <c r="D17" s="957"/>
      <c r="E17" s="235"/>
      <c r="F17" s="235"/>
      <c r="G17" s="225" t="s">
        <v>2173</v>
      </c>
    </row>
    <row r="18" spans="1:7" s="220" customFormat="1" ht="13.5" hidden="1" customHeight="1" x14ac:dyDescent="0.15">
      <c r="A18" s="233" t="s">
        <v>14</v>
      </c>
      <c r="B18" s="221" t="s">
        <v>2175</v>
      </c>
      <c r="C18" s="226">
        <v>0</v>
      </c>
      <c r="D18" s="956"/>
      <c r="E18" s="224"/>
      <c r="F18" s="227">
        <v>3.0499999999999999E-2</v>
      </c>
      <c r="G18" s="225" t="s">
        <v>2176</v>
      </c>
    </row>
    <row r="19" spans="1:7" s="229" customFormat="1" ht="13.5" customHeight="1" x14ac:dyDescent="0.15">
      <c r="A19" s="261" t="s">
        <v>2177</v>
      </c>
      <c r="B19" s="216" t="s">
        <v>2178</v>
      </c>
      <c r="C19" s="217" t="str">
        <f>IF(G19="已包含在土地取得成本中","0",ROUND(D19*E19/10000,0))</f>
        <v>0</v>
      </c>
      <c r="D19" s="958">
        <f ca="1">D9+D10</f>
        <v>547.29</v>
      </c>
      <c r="E19" s="217">
        <f>'数据-取费表'!B31</f>
        <v>200</v>
      </c>
      <c r="F19" s="237"/>
      <c r="G19" s="2044" t="s">
        <v>3211</v>
      </c>
    </row>
    <row r="20" spans="1:7" s="220" customFormat="1" ht="13.5" customHeight="1" x14ac:dyDescent="0.15">
      <c r="A20" s="261" t="s">
        <v>2179</v>
      </c>
      <c r="B20" s="216" t="s">
        <v>2180</v>
      </c>
      <c r="C20" s="238" t="e">
        <f ca="1">ROUND((C5+C19)*F20,0)</f>
        <v>#DIV/0!</v>
      </c>
      <c r="D20" s="238"/>
      <c r="E20" s="238"/>
      <c r="F20" s="239">
        <f>'数据-取费表'!B37</f>
        <v>0.02</v>
      </c>
      <c r="G20" s="240" t="s">
        <v>2181</v>
      </c>
    </row>
    <row r="21" spans="1:7" s="220" customFormat="1" ht="13.5" customHeight="1" x14ac:dyDescent="0.15">
      <c r="A21" s="261" t="s">
        <v>2182</v>
      </c>
      <c r="B21" s="216" t="s">
        <v>2183</v>
      </c>
      <c r="C21" s="241">
        <f>F21</f>
        <v>0.02</v>
      </c>
      <c r="D21" s="242" t="s">
        <v>2184</v>
      </c>
      <c r="E21" s="238"/>
      <c r="F21" s="239">
        <f>'数据-取费表'!B38</f>
        <v>0.02</v>
      </c>
      <c r="G21" s="240" t="s">
        <v>2185</v>
      </c>
    </row>
    <row r="22" spans="1:7" s="220" customFormat="1" ht="13.5" customHeight="1" x14ac:dyDescent="0.15">
      <c r="A22" s="261" t="s">
        <v>2186</v>
      </c>
      <c r="B22" s="216" t="s">
        <v>2187</v>
      </c>
      <c r="C22" s="1264" t="e">
        <f ca="1">ROUND(SUM(C23:C25),0)</f>
        <v>#DIV/0!</v>
      </c>
      <c r="D22" s="241">
        <f ca="1">C26</f>
        <v>1E-3</v>
      </c>
      <c r="E22" s="242" t="s">
        <v>2184</v>
      </c>
      <c r="F22" s="243">
        <f ca="1">'数据-取费表'!B40</f>
        <v>4.7500000000000001E-2</v>
      </c>
      <c r="G22" s="240" t="str">
        <f>IF('数据-取费表'!B22&lt;=1,"单利计息","复利计息")</f>
        <v>复利计息</v>
      </c>
    </row>
    <row r="23" spans="1:7" s="220" customFormat="1" ht="13.5" customHeight="1" x14ac:dyDescent="0.15">
      <c r="A23" s="888" t="s">
        <v>2188</v>
      </c>
      <c r="B23" s="221" t="s">
        <v>2189</v>
      </c>
      <c r="C23" s="1265" t="e">
        <f ca="1">ROUND(IF('数据-取费表'!B22&lt;=1,C5*F22*'数据-取费表'!B23,C5*(POWER((1+F22),'数据-取费表'!B23)-1)),0)</f>
        <v>#DIV/0!</v>
      </c>
      <c r="D23" s="244"/>
      <c r="E23" s="244"/>
      <c r="F23" s="245"/>
      <c r="G23" s="246" t="s">
        <v>2190</v>
      </c>
    </row>
    <row r="24" spans="1:7" s="220" customFormat="1" ht="13.5" customHeight="1" x14ac:dyDescent="0.15">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8" x14ac:dyDescent="0.15">
      <c r="A25" s="888" t="s">
        <v>2194</v>
      </c>
      <c r="B25" s="221" t="s">
        <v>2195</v>
      </c>
      <c r="C25" s="1265" t="e">
        <f ca="1">ROUND(IF('数据-取费表'!B22&lt;=1,C20*F22*'数据-取费表'!B23/2,C20*(POWER((1+F22),'数据-取费表'!B23/2)-1)),0)</f>
        <v>#DIV/0!</v>
      </c>
      <c r="D25" s="244"/>
      <c r="E25" s="247"/>
      <c r="F25" s="245"/>
      <c r="G25" s="248" t="s">
        <v>2196</v>
      </c>
    </row>
    <row r="26" spans="1:7" s="220" customFormat="1" ht="14" x14ac:dyDescent="0.15">
      <c r="A26" s="888" t="s">
        <v>795</v>
      </c>
      <c r="B26" s="221" t="s">
        <v>2197</v>
      </c>
      <c r="C26" s="244">
        <f ca="1">ROUND(IF('数据-取费表'!B22&lt;=1,F21*F22*'数据-取费表'!B23/2,F21*(POWER((1+F22),'数据-取费表'!B23/2)-1)),4)</f>
        <v>1E-3</v>
      </c>
      <c r="D26" s="244"/>
      <c r="E26" s="247"/>
      <c r="F26" s="245"/>
      <c r="G26" s="249"/>
    </row>
    <row r="27" spans="1:7" s="220" customFormat="1" ht="28" x14ac:dyDescent="0.15">
      <c r="A27" s="261" t="s">
        <v>2198</v>
      </c>
      <c r="B27" s="250" t="s">
        <v>2199</v>
      </c>
      <c r="C27" s="251" t="e">
        <f ca="1">C28</f>
        <v>#DIV/0!</v>
      </c>
      <c r="D27" s="241">
        <f ca="1">C29</f>
        <v>5.0000000000000001E-3</v>
      </c>
      <c r="E27" s="242" t="s">
        <v>2200</v>
      </c>
      <c r="F27" s="252">
        <f ca="1">IF(B1="",'数据-取费表'!Q16,INDIRECT("'数据-取费表'!q"&amp;$G$1))</f>
        <v>0.25</v>
      </c>
      <c r="G27" s="253" t="s">
        <v>2201</v>
      </c>
    </row>
    <row r="28" spans="1:7" s="220" customFormat="1" ht="13.5" customHeight="1" x14ac:dyDescent="0.15">
      <c r="A28" s="888" t="s">
        <v>791</v>
      </c>
      <c r="B28" s="254" t="s">
        <v>2202</v>
      </c>
      <c r="C28" s="255" t="e">
        <f ca="1">ROUND((C5+C19+C20)*F27*'数据-取费表'!B21/'数据-取费表'!B20,0)</f>
        <v>#DIV/0!</v>
      </c>
      <c r="D28" s="241"/>
      <c r="E28" s="242"/>
      <c r="F28" s="252"/>
      <c r="G28" s="253"/>
    </row>
    <row r="29" spans="1:7" s="220" customFormat="1" ht="13.5" customHeight="1" x14ac:dyDescent="0.15">
      <c r="A29" s="888" t="s">
        <v>792</v>
      </c>
      <c r="B29" s="254" t="s">
        <v>2203</v>
      </c>
      <c r="C29" s="244">
        <f ca="1">ROUND(C21*F27*'数据-取费表'!B21/'数据-取费表'!B20,4)</f>
        <v>5.0000000000000001E-3</v>
      </c>
      <c r="D29" s="241"/>
      <c r="E29" s="242"/>
      <c r="F29" s="252"/>
      <c r="G29" s="253"/>
    </row>
    <row r="30" spans="1:7" s="220" customFormat="1" ht="13.5" customHeight="1" x14ac:dyDescent="0.15">
      <c r="A30" s="261" t="s">
        <v>2204</v>
      </c>
      <c r="B30" s="216" t="s">
        <v>2205</v>
      </c>
      <c r="C30" s="241">
        <f>ROUND(F30/(1+'数据-取费表'!C42),4)</f>
        <v>5.33E-2</v>
      </c>
      <c r="D30" s="242" t="s">
        <v>2200</v>
      </c>
      <c r="E30" s="247"/>
      <c r="F30" s="243">
        <f>'数据-取费表'!B41</f>
        <v>5.6000000000000001E-2</v>
      </c>
      <c r="G30" s="240" t="s">
        <v>2206</v>
      </c>
    </row>
    <row r="31" spans="1:7" ht="16.5" customHeight="1" x14ac:dyDescent="0.2">
      <c r="A31" s="215">
        <v>1</v>
      </c>
      <c r="B31" s="216" t="s">
        <v>2207</v>
      </c>
      <c r="C31" s="217" t="e">
        <f ca="1">ROUND((C5+C19+C20+C22+C27)/(1-C21-D22-D27-C30),0)</f>
        <v>#DIV/0!</v>
      </c>
      <c r="D31" s="236"/>
      <c r="E31" s="217"/>
      <c r="F31" s="256"/>
      <c r="G31" s="240" t="s">
        <v>2208</v>
      </c>
    </row>
    <row r="32" spans="1:7" s="214" customFormat="1" ht="16" x14ac:dyDescent="0.2">
      <c r="A32" s="258" t="s">
        <v>2209</v>
      </c>
      <c r="B32" s="259"/>
      <c r="C32" s="259"/>
      <c r="D32" s="259"/>
      <c r="E32" s="259"/>
      <c r="F32" s="259"/>
      <c r="G32" s="260"/>
    </row>
    <row r="33" spans="1:7" s="220" customFormat="1" ht="13.5" customHeight="1" x14ac:dyDescent="0.15">
      <c r="A33" s="261" t="s">
        <v>782</v>
      </c>
      <c r="B33" s="216" t="s">
        <v>2210</v>
      </c>
      <c r="C33" s="262">
        <f ca="1">SUM(C34:C38)</f>
        <v>297</v>
      </c>
      <c r="D33" s="238"/>
      <c r="E33" s="218"/>
      <c r="F33" s="247"/>
      <c r="G33" s="240"/>
    </row>
    <row r="34" spans="1:7" s="264" customFormat="1" ht="13.5" customHeight="1" x14ac:dyDescent="0.15">
      <c r="A34" s="888" t="s">
        <v>791</v>
      </c>
      <c r="B34" s="221" t="s">
        <v>2211</v>
      </c>
      <c r="C34" s="226">
        <f ca="1">IF(B1="",IF(F34=100%,'数据-取费表'!M16,'数据-取费表'!O16),IF(F34=100%,INDIRECT("'数据-取费表'!m"&amp;$G$1)+INDIRECT("'数据-取费表'!t"&amp;$G$1),INDIRECT("'数据-取费表'!o"&amp;$G$1)+INDIRECT("'数据-取费表'!aq"&amp;$G$1)))</f>
        <v>274</v>
      </c>
      <c r="D34" s="223"/>
      <c r="E34" s="226"/>
      <c r="F34" s="263">
        <f ca="1">IF('数据-取费表'!B24=0,1,IF(B1="",'数据-取费表'!N16,INDIRECT("'数据-取费表'!n"&amp;$G$1)))</f>
        <v>1</v>
      </c>
      <c r="G34" s="225" t="s">
        <v>2212</v>
      </c>
    </row>
    <row r="35" spans="1:7" ht="13.5" customHeight="1" x14ac:dyDescent="0.15">
      <c r="A35" s="888" t="s">
        <v>796</v>
      </c>
      <c r="B35" s="221" t="s">
        <v>2213</v>
      </c>
      <c r="C35" s="226">
        <f ca="1">ROUND(C34*F35,0)</f>
        <v>8</v>
      </c>
      <c r="D35" s="226"/>
      <c r="E35" s="226"/>
      <c r="F35" s="265">
        <f>'数据-取费表'!B33</f>
        <v>0.03</v>
      </c>
      <c r="G35" s="225" t="s">
        <v>2214</v>
      </c>
    </row>
    <row r="36" spans="1:7" ht="28" x14ac:dyDescent="0.15">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0.1</v>
      </c>
      <c r="G36" s="266" t="s">
        <v>2216</v>
      </c>
    </row>
    <row r="37" spans="1:7" s="264" customFormat="1" ht="13.5" customHeight="1" x14ac:dyDescent="0.15">
      <c r="A37" s="888" t="s">
        <v>798</v>
      </c>
      <c r="B37" s="221" t="s">
        <v>2217</v>
      </c>
      <c r="C37" s="255">
        <f ca="1">ROUND(E37*D37*F34/10000,0)</f>
        <v>11</v>
      </c>
      <c r="D37" s="223">
        <f ca="1">D19</f>
        <v>547.29</v>
      </c>
      <c r="E37" s="255">
        <f>'数据-取费表'!B35</f>
        <v>200</v>
      </c>
      <c r="F37" s="265"/>
      <c r="G37" s="267" t="s">
        <v>2218</v>
      </c>
    </row>
    <row r="38" spans="1:7" ht="13.5" customHeight="1" x14ac:dyDescent="0.15">
      <c r="A38" s="888" t="s">
        <v>799</v>
      </c>
      <c r="B38" s="221" t="s">
        <v>2219</v>
      </c>
      <c r="C38" s="226">
        <f ca="1">ROUND(C34*F38,0)</f>
        <v>4</v>
      </c>
      <c r="D38" s="226"/>
      <c r="E38" s="226"/>
      <c r="F38" s="265">
        <f>'数据-取费表'!B36</f>
        <v>1.4999999999999999E-2</v>
      </c>
      <c r="G38" s="225" t="s">
        <v>2214</v>
      </c>
    </row>
    <row r="39" spans="1:7" s="220" customFormat="1" ht="13.5" customHeight="1" x14ac:dyDescent="0.15">
      <c r="A39" s="261" t="s">
        <v>2220</v>
      </c>
      <c r="B39" s="216" t="s">
        <v>2221</v>
      </c>
      <c r="C39" s="238">
        <f ca="1">ROUND(C33*F20,0)</f>
        <v>6</v>
      </c>
      <c r="D39" s="238"/>
      <c r="E39" s="238"/>
      <c r="F39" s="2537">
        <f>F20</f>
        <v>0.02</v>
      </c>
      <c r="G39" s="240" t="s">
        <v>2222</v>
      </c>
    </row>
    <row r="40" spans="1:7" s="220" customFormat="1" ht="13.5" customHeight="1" x14ac:dyDescent="0.15">
      <c r="A40" s="261" t="s">
        <v>2223</v>
      </c>
      <c r="B40" s="216" t="s">
        <v>2224</v>
      </c>
      <c r="C40" s="1497">
        <f>F21</f>
        <v>0.02</v>
      </c>
      <c r="D40" s="242" t="s">
        <v>2225</v>
      </c>
      <c r="E40" s="238"/>
      <c r="F40" s="2537">
        <f>F21</f>
        <v>0.02</v>
      </c>
      <c r="G40" s="240" t="s">
        <v>2226</v>
      </c>
    </row>
    <row r="41" spans="1:7" s="220" customFormat="1" ht="13.5" customHeight="1" x14ac:dyDescent="0.15">
      <c r="A41" s="261" t="s">
        <v>2227</v>
      </c>
      <c r="B41" s="216" t="s">
        <v>2228</v>
      </c>
      <c r="C41" s="238">
        <f ca="1">ROUND(SUM(C42:C43),0)</f>
        <v>14</v>
      </c>
      <c r="D41" s="241">
        <f ca="1">C44</f>
        <v>1E-3</v>
      </c>
      <c r="E41" s="242" t="s">
        <v>2225</v>
      </c>
      <c r="F41" s="2538">
        <f ca="1">F22</f>
        <v>4.7500000000000001E-2</v>
      </c>
      <c r="G41" s="240" t="str">
        <f>IF('数据-取费表'!B22&lt;=1,"单利计息","复利计息")</f>
        <v>复利计息</v>
      </c>
    </row>
    <row r="42" spans="1:7" ht="13.5" customHeight="1" x14ac:dyDescent="0.15">
      <c r="A42" s="888" t="s">
        <v>791</v>
      </c>
      <c r="B42" s="221" t="s">
        <v>2229</v>
      </c>
      <c r="C42" s="244">
        <f ca="1">ROUND(IF('数据-取费表'!B22&lt;=1,C33*F22*'数据-取费表'!B21/2,C33*(POWER((1+F22),'数据-取费表'!B21/2)-1)),0)</f>
        <v>14</v>
      </c>
      <c r="D42" s="244"/>
      <c r="E42" s="244"/>
      <c r="F42" s="245"/>
      <c r="G42" s="3407" t="s">
        <v>2230</v>
      </c>
    </row>
    <row r="43" spans="1:7" ht="13.5" customHeight="1" x14ac:dyDescent="0.15">
      <c r="A43" s="888" t="s">
        <v>792</v>
      </c>
      <c r="B43" s="221" t="s">
        <v>2231</v>
      </c>
      <c r="C43" s="244">
        <f ca="1">ROUND(IF('数据-取费表'!B22&lt;=1,C39*F22*'数据-取费表'!B21/2,C39*(POWER((1+F22),'数据-取费表'!B21/2)-1)),0)</f>
        <v>0</v>
      </c>
      <c r="D43" s="244"/>
      <c r="E43" s="244"/>
      <c r="F43" s="245"/>
      <c r="G43" s="3408"/>
    </row>
    <row r="44" spans="1:7" ht="13.5" customHeight="1" x14ac:dyDescent="0.15">
      <c r="A44" s="888" t="s">
        <v>793</v>
      </c>
      <c r="B44" s="221" t="s">
        <v>2232</v>
      </c>
      <c r="C44" s="244">
        <f ca="1">ROUND(IF('数据-取费表'!B22&lt;=1,C40*F22*'数据-取费表'!B21/2,C40*(POWER((1+F22),'数据-取费表'!B21/2)-1)),4)</f>
        <v>1E-3</v>
      </c>
      <c r="D44" s="244"/>
      <c r="E44" s="244"/>
      <c r="F44" s="245"/>
      <c r="G44" s="3409"/>
    </row>
    <row r="45" spans="1:7" s="220" customFormat="1" ht="13.5" customHeight="1" x14ac:dyDescent="0.15">
      <c r="A45" s="261" t="s">
        <v>2233</v>
      </c>
      <c r="B45" s="250" t="s">
        <v>2199</v>
      </c>
      <c r="C45" s="251">
        <f ca="1">C46</f>
        <v>76</v>
      </c>
      <c r="D45" s="241">
        <f ca="1">C47</f>
        <v>5.0000000000000001E-3</v>
      </c>
      <c r="E45" s="242" t="s">
        <v>2225</v>
      </c>
      <c r="F45" s="2539">
        <f ca="1">F27</f>
        <v>0.25</v>
      </c>
      <c r="G45" s="253" t="s">
        <v>2234</v>
      </c>
    </row>
    <row r="46" spans="1:7" s="220" customFormat="1" ht="13.5" customHeight="1" x14ac:dyDescent="0.15">
      <c r="A46" s="888" t="s">
        <v>791</v>
      </c>
      <c r="B46" s="254" t="s">
        <v>2235</v>
      </c>
      <c r="C46" s="255">
        <f ca="1">ROUND((C33+C39)*F27,0)</f>
        <v>76</v>
      </c>
      <c r="D46" s="269"/>
      <c r="E46" s="242"/>
      <c r="F46" s="252"/>
      <c r="G46" s="253"/>
    </row>
    <row r="47" spans="1:7" s="220" customFormat="1" ht="13.5" customHeight="1" x14ac:dyDescent="0.15">
      <c r="A47" s="888" t="s">
        <v>792</v>
      </c>
      <c r="B47" s="254" t="s">
        <v>2236</v>
      </c>
      <c r="C47" s="244">
        <f ca="1">ROUND(C40*F27,4)</f>
        <v>5.0000000000000001E-3</v>
      </c>
      <c r="D47" s="269"/>
      <c r="E47" s="242"/>
      <c r="F47" s="252"/>
      <c r="G47" s="253"/>
    </row>
    <row r="48" spans="1:7" s="220" customFormat="1" ht="13.5" customHeight="1" x14ac:dyDescent="0.15">
      <c r="A48" s="261" t="s">
        <v>2198</v>
      </c>
      <c r="B48" s="216" t="s">
        <v>2237</v>
      </c>
      <c r="C48" s="1497">
        <f>ROUND(F30/(1+'数据-取费表'!C42),4)</f>
        <v>5.33E-2</v>
      </c>
      <c r="D48" s="242" t="s">
        <v>2225</v>
      </c>
      <c r="E48" s="238"/>
      <c r="F48" s="2538">
        <f>F30</f>
        <v>5.6000000000000001E-2</v>
      </c>
      <c r="G48" s="240" t="s">
        <v>2238</v>
      </c>
    </row>
    <row r="49" spans="1:7" ht="16.5" customHeight="1" x14ac:dyDescent="0.2">
      <c r="A49" s="261" t="s">
        <v>2204</v>
      </c>
      <c r="B49" s="216" t="s">
        <v>2239</v>
      </c>
      <c r="C49" s="238">
        <f ca="1">ROUND((C33+C39+C41+C45)/(1-C40-D41-D45-C48),0)</f>
        <v>427</v>
      </c>
      <c r="D49" s="238"/>
      <c r="E49" s="238"/>
      <c r="F49" s="270"/>
      <c r="G49" s="240" t="s">
        <v>2240</v>
      </c>
    </row>
    <row r="50" spans="1:7" s="264" customFormat="1" ht="28" x14ac:dyDescent="0.15">
      <c r="A50" s="261" t="s">
        <v>2241</v>
      </c>
      <c r="B50" s="216" t="s">
        <v>2242</v>
      </c>
      <c r="C50" s="238"/>
      <c r="D50" s="238"/>
      <c r="E50" s="238"/>
      <c r="F50" s="270">
        <f>IF('数据-取费表'!B24=0,'数据-取费表'!N16,1)</f>
        <v>0.8</v>
      </c>
      <c r="G50" s="253" t="s">
        <v>2243</v>
      </c>
    </row>
    <row r="51" spans="1:7" ht="16.5" customHeight="1" x14ac:dyDescent="0.2">
      <c r="A51" s="261" t="s">
        <v>2244</v>
      </c>
      <c r="B51" s="216" t="s">
        <v>2245</v>
      </c>
      <c r="C51" s="238">
        <f ca="1">ROUND(C49*F50,0)</f>
        <v>342</v>
      </c>
      <c r="D51" s="238"/>
      <c r="E51" s="238"/>
      <c r="F51" s="270"/>
      <c r="G51" s="240" t="s">
        <v>2246</v>
      </c>
    </row>
    <row r="52" spans="1:7" s="214" customFormat="1" ht="17" thickBot="1" x14ac:dyDescent="0.25">
      <c r="A52" s="271" t="s">
        <v>2247</v>
      </c>
      <c r="B52" s="272"/>
      <c r="C52" s="273" t="e">
        <f ca="1">C31+C51</f>
        <v>#DIV/0!</v>
      </c>
      <c r="D52" s="272"/>
      <c r="E52" s="272"/>
      <c r="F52" s="272"/>
      <c r="G52" s="274"/>
    </row>
    <row r="55" spans="1:7" ht="16" x14ac:dyDescent="0.15">
      <c r="B55" s="276" t="s">
        <v>2248</v>
      </c>
      <c r="C55" s="277"/>
    </row>
    <row r="56" spans="1:7" ht="14" x14ac:dyDescent="0.15">
      <c r="B56" s="279" t="s">
        <v>1478</v>
      </c>
      <c r="C56" s="281" t="e">
        <f ca="1">1-C57</f>
        <v>#DIV/0!</v>
      </c>
    </row>
    <row r="57" spans="1:7" ht="14" x14ac:dyDescent="0.15">
      <c r="B57" s="279" t="s">
        <v>1479</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enableFormatConditionsCalculation="0">
    <tabColor rgb="FF92D050"/>
  </sheetPr>
  <dimension ref="A1:AK118"/>
  <sheetViews>
    <sheetView view="pageBreakPreview" topLeftCell="A16" zoomScale="90" zoomScaleNormal="80" zoomScaleSheetLayoutView="90" workbookViewId="0">
      <selection activeCell="I12" sqref="I12"/>
    </sheetView>
  </sheetViews>
  <sheetFormatPr baseColWidth="10" defaultColWidth="12" defaultRowHeight="13" x14ac:dyDescent="0.2"/>
  <cols>
    <col min="1" max="1" width="9.6640625" style="2252" customWidth="1"/>
    <col min="2" max="2" width="19.1640625" style="2355" customWidth="1"/>
    <col min="3" max="4" width="12" style="2186"/>
    <col min="5" max="5" width="14.6640625" style="2186" customWidth="1"/>
    <col min="6" max="8" width="12" style="2186"/>
    <col min="9" max="9" width="12.1640625" style="2186" bestFit="1" customWidth="1"/>
    <col min="10" max="10" width="12" style="2186"/>
    <col min="11" max="11" width="8.1640625" style="2247" customWidth="1"/>
    <col min="12" max="12" width="12" style="2186"/>
    <col min="13" max="13" width="8.5" style="2186" customWidth="1"/>
    <col min="14" max="14" width="9.6640625" style="2186" customWidth="1"/>
    <col min="15" max="25" width="12" style="2186"/>
    <col min="26" max="26" width="9.33203125" style="2252" customWidth="1"/>
    <col min="27" max="32" width="9.33203125" style="1282" customWidth="1"/>
    <col min="33" max="36" width="9.33203125" style="2252" customWidth="1"/>
    <col min="37" max="38" width="9.33203125" style="2186" customWidth="1"/>
    <col min="39" max="16384" width="12" style="2186"/>
  </cols>
  <sheetData>
    <row r="1" spans="1:36" ht="30" x14ac:dyDescent="0.2">
      <c r="A1" s="202" t="s">
        <v>2625</v>
      </c>
      <c r="B1" s="203"/>
      <c r="C1" s="207" t="s">
        <v>2626</v>
      </c>
      <c r="D1" s="348">
        <f>SUM(D29:D30,D33:D39)</f>
        <v>547.29</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6" x14ac:dyDescent="0.2">
      <c r="A2" s="207" t="s">
        <v>2633</v>
      </c>
      <c r="B2" s="210" t="e">
        <f ca="1">C26</f>
        <v>#DIV/0!</v>
      </c>
      <c r="C2" s="2187" t="s">
        <v>2634</v>
      </c>
      <c r="D2" s="2188" t="s">
        <v>2635</v>
      </c>
      <c r="E2" s="2189" t="s">
        <v>1343</v>
      </c>
      <c r="F2" s="2188" t="s">
        <v>2636</v>
      </c>
      <c r="G2" s="2190">
        <f>IF(E2="商业",项目基本情况!B37,IF(E2="办公",项目基本情况!C37,IF(E2="住宅",项目基本情况!D37,项目基本情况!E37)))</f>
        <v>0</v>
      </c>
      <c r="H2" s="2188" t="s">
        <v>2637</v>
      </c>
      <c r="I2" s="2190">
        <f>IF(E2="商业",项目基本情况!B38,IF(E2="办公",项目基本情况!C38,IF(E2="住宅",项目基本情况!D38,项目基本情况!E38)))</f>
        <v>0</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 ca="1">ROUND($C$5*$C$18*$C$19*$C$20*S2*$C$24,0)</f>
        <v>#DIV/0!</v>
      </c>
      <c r="U2" s="1375"/>
      <c r="V2" s="1374" t="e">
        <f ca="1">ROUND(T2*U2/10000,0)</f>
        <v>#DIV/0!</v>
      </c>
      <c r="W2" s="1378"/>
      <c r="X2" s="1378"/>
      <c r="Y2" s="1378"/>
      <c r="Z2" s="1378"/>
      <c r="AA2" s="1378"/>
      <c r="AB2" s="1378"/>
      <c r="AC2" s="1379"/>
      <c r="AD2" s="1380"/>
      <c r="AE2" s="1380"/>
      <c r="AF2" s="1380"/>
      <c r="AG2" s="1380"/>
      <c r="AH2" s="1380"/>
      <c r="AI2" s="1380"/>
      <c r="AJ2" s="1381"/>
    </row>
    <row r="3" spans="1:36" ht="26" x14ac:dyDescent="0.2">
      <c r="A3" s="209" t="s">
        <v>2639</v>
      </c>
      <c r="B3" s="210" t="e">
        <f ca="1">ROUND(B2*10000/D1,0)</f>
        <v>#DIV/0!</v>
      </c>
      <c r="C3" s="2187" t="s">
        <v>2640</v>
      </c>
      <c r="D3" s="2188" t="s">
        <v>2641</v>
      </c>
      <c r="E3" s="2193" t="s">
        <v>3250</v>
      </c>
      <c r="F3" s="2194" t="s">
        <v>3276</v>
      </c>
      <c r="G3" s="855" t="e">
        <f>IF(F3="宗地容积率",'数据-汇总表'!I4,IF(F3="估价对象容积率",'数据-汇总表'!I6,'数据-汇总表'!I7))</f>
        <v>#DIV/0!</v>
      </c>
      <c r="H3" s="175" t="s">
        <v>2642</v>
      </c>
      <c r="I3" s="881">
        <v>2</v>
      </c>
      <c r="J3" s="2191" t="s">
        <v>2643</v>
      </c>
      <c r="K3" s="1280"/>
      <c r="L3" s="2192"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ca="1" si="0">ROUND($C$5*$C$18*$C$19*$C$20*S3*$C$24,0)</f>
        <v>#DIV/0!</v>
      </c>
      <c r="U3" s="1375">
        <f>D29</f>
        <v>547.29</v>
      </c>
      <c r="V3" s="1374" t="e">
        <f t="shared" ref="V3:V16" ca="1" si="1">ROUND(T3*U3/10000,0)</f>
        <v>#DIV/0!</v>
      </c>
      <c r="W3" s="1378"/>
      <c r="X3" s="1378"/>
      <c r="Y3" s="1378"/>
      <c r="Z3" s="1378"/>
      <c r="AA3" s="1378"/>
      <c r="AB3" s="1378"/>
      <c r="AC3" s="1379"/>
      <c r="AD3" s="1380"/>
      <c r="AE3" s="1380"/>
      <c r="AF3" s="1380"/>
      <c r="AG3" s="1380"/>
      <c r="AH3" s="1380"/>
      <c r="AI3" s="1380"/>
      <c r="AJ3" s="1381"/>
    </row>
    <row r="4" spans="1:36" ht="16" x14ac:dyDescent="0.2">
      <c r="A4" s="3570"/>
      <c r="B4" s="3571"/>
      <c r="C4" s="3571"/>
      <c r="D4" s="3572"/>
      <c r="E4" s="3572"/>
      <c r="F4" s="3572"/>
      <c r="G4" s="3572"/>
      <c r="H4" s="3572"/>
      <c r="I4" s="3572"/>
      <c r="J4" s="3573"/>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ca="1" si="0"/>
        <v>#DIV/0!</v>
      </c>
      <c r="U4" s="1375"/>
      <c r="V4" s="1374" t="e">
        <f t="shared" ca="1" si="1"/>
        <v>#DIV/0!</v>
      </c>
      <c r="W4" s="1378"/>
      <c r="X4" s="1378"/>
      <c r="Y4" s="1378"/>
      <c r="Z4" s="1378"/>
      <c r="AA4" s="1378"/>
      <c r="AB4" s="1378"/>
      <c r="AC4" s="1379"/>
      <c r="AD4" s="1380"/>
      <c r="AE4" s="1380"/>
      <c r="AF4" s="1380"/>
      <c r="AG4" s="1380"/>
      <c r="AH4" s="1380"/>
      <c r="AI4" s="1380"/>
      <c r="AJ4" s="1381"/>
    </row>
    <row r="5" spans="1:36" s="2204" customFormat="1" ht="17" thickBot="1" x14ac:dyDescent="0.25">
      <c r="A5" s="2195" t="s">
        <v>807</v>
      </c>
      <c r="B5" s="2196" t="s">
        <v>2646</v>
      </c>
      <c r="C5" s="856" t="e">
        <f>ROUND(IF(E2="商业",C6*C7+C16,(IF(E2="住宅",C6*C12+C16,C6+C16))),0)</f>
        <v>#DIV/0!</v>
      </c>
      <c r="D5" s="1525" t="e">
        <f>ROUND(C6+C16,0)</f>
        <v>#DIV/0!</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ca="1" si="0"/>
        <v>#DIV/0!</v>
      </c>
      <c r="U5" s="1375"/>
      <c r="V5" s="1374" t="e">
        <f t="shared" ca="1" si="1"/>
        <v>#DIV/0!</v>
      </c>
      <c r="W5" s="1378"/>
      <c r="X5" s="1378"/>
      <c r="Y5" s="1378"/>
      <c r="Z5" s="1378"/>
      <c r="AA5" s="1378"/>
      <c r="AB5" s="1378"/>
      <c r="AC5" s="2201"/>
      <c r="AD5" s="2202"/>
      <c r="AE5" s="2202"/>
      <c r="AF5" s="2202"/>
      <c r="AG5" s="2202"/>
      <c r="AH5" s="2202"/>
      <c r="AI5" s="2202"/>
      <c r="AJ5" s="2203"/>
    </row>
    <row r="6" spans="1:36" ht="17" thickBot="1" x14ac:dyDescent="0.25">
      <c r="A6" s="2205" t="s">
        <v>2648</v>
      </c>
      <c r="B6" s="2206" t="s">
        <v>2649</v>
      </c>
      <c r="C6" s="857">
        <f>SUMIF(L1:L12,G2,M1:M12)</f>
        <v>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ca="1" si="0"/>
        <v>#DIV/0!</v>
      </c>
      <c r="U6" s="1375"/>
      <c r="V6" s="1374" t="e">
        <f t="shared" ca="1" si="1"/>
        <v>#DIV/0!</v>
      </c>
      <c r="W6" s="1378"/>
      <c r="X6" s="1378"/>
      <c r="Y6" s="1378"/>
      <c r="Z6" s="1378"/>
      <c r="AA6" s="1378"/>
      <c r="AB6" s="1378"/>
      <c r="AC6" s="2201"/>
      <c r="AD6" s="2202"/>
      <c r="AE6" s="2202"/>
      <c r="AF6" s="2202"/>
      <c r="AG6" s="2202"/>
      <c r="AH6" s="2202"/>
      <c r="AI6" s="2202"/>
      <c r="AJ6" s="2203"/>
    </row>
    <row r="7" spans="1:36" ht="28" x14ac:dyDescent="0.2">
      <c r="A7" s="3574" t="str">
        <f>IF(E2="商业",IF(C8="不临58条商业街","",2),"")</f>
        <v/>
      </c>
      <c r="B7" s="2211" t="s">
        <v>2652</v>
      </c>
      <c r="C7" s="858">
        <f>IF(C8="不临58条商业街",1,ROUND(1+(1.6*E8+1.2*E9+0.8*E10+0.4*E11)*C9,4))</f>
        <v>1</v>
      </c>
      <c r="D7" s="2212" t="s">
        <v>2653</v>
      </c>
      <c r="E7" s="882">
        <v>6</v>
      </c>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ca="1" si="0"/>
        <v>#DIV/0!</v>
      </c>
      <c r="U7" s="1375"/>
      <c r="V7" s="1374" t="e">
        <f t="shared" ca="1" si="1"/>
        <v>#DIV/0!</v>
      </c>
      <c r="W7" s="1544" t="s">
        <v>2655</v>
      </c>
      <c r="X7" s="1376">
        <f>G2</f>
        <v>0</v>
      </c>
      <c r="Y7" s="1376" t="s">
        <v>2656</v>
      </c>
      <c r="Z7" s="1377" t="e">
        <f>G3</f>
        <v>#DIV/0!</v>
      </c>
      <c r="AA7" s="1378"/>
      <c r="AB7" s="1378"/>
      <c r="AC7" s="1379"/>
      <c r="AD7" s="1380"/>
      <c r="AE7" s="1380"/>
      <c r="AF7" s="1380"/>
      <c r="AG7" s="1380"/>
      <c r="AH7" s="1380"/>
      <c r="AI7" s="1380"/>
      <c r="AJ7" s="1381"/>
    </row>
    <row r="8" spans="1:36" ht="26" x14ac:dyDescent="0.2">
      <c r="A8" s="3575"/>
      <c r="B8" s="175" t="s">
        <v>2657</v>
      </c>
      <c r="C8" s="2216" t="s">
        <v>3251</v>
      </c>
      <c r="D8" s="859" t="s">
        <v>139</v>
      </c>
      <c r="E8" s="860">
        <f>ROUND(C11/E7,4)</f>
        <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ca="1" si="0"/>
        <v>#DIV/0!</v>
      </c>
      <c r="U8" s="1375"/>
      <c r="V8" s="1374" t="e">
        <f t="shared" ca="1" si="1"/>
        <v>#DIV/0!</v>
      </c>
      <c r="W8" s="3567" t="s">
        <v>2660</v>
      </c>
      <c r="X8" s="3568"/>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6" x14ac:dyDescent="0.2">
      <c r="A9" s="3575"/>
      <c r="B9" s="175" t="s">
        <v>2673</v>
      </c>
      <c r="C9" s="861">
        <f>SUMIF(修正!C59:C119,C8,修正!E59:E119)</f>
        <v>0</v>
      </c>
      <c r="D9" s="176" t="s">
        <v>140</v>
      </c>
      <c r="E9" s="176">
        <f>ROUND(C11/E7,4)</f>
        <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ca="1" si="0"/>
        <v>#DIV/0!</v>
      </c>
      <c r="U9" s="1375"/>
      <c r="V9" s="1374" t="e">
        <f t="shared" ca="1" si="1"/>
        <v>#DIV/0!</v>
      </c>
      <c r="W9" s="3569"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6" x14ac:dyDescent="0.2">
      <c r="A10" s="3575"/>
      <c r="B10" s="175" t="s">
        <v>2678</v>
      </c>
      <c r="C10" s="176">
        <f>SUMIF(修正!C59:C119,C8,修正!F59:F119)</f>
        <v>0</v>
      </c>
      <c r="D10" s="176" t="s">
        <v>141</v>
      </c>
      <c r="E10" s="176">
        <f>ROUND(C11/E7,4)</f>
        <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ca="1" si="0"/>
        <v>#DIV/0!</v>
      </c>
      <c r="U10" s="1375"/>
      <c r="V10" s="1374" t="e">
        <f t="shared" ca="1" si="1"/>
        <v>#DIV/0!</v>
      </c>
      <c r="W10" s="356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7" thickBot="1" x14ac:dyDescent="0.25">
      <c r="A11" s="3575"/>
      <c r="B11" s="2220" t="s">
        <v>2681</v>
      </c>
      <c r="C11" s="862">
        <f>C10/4</f>
        <v>0</v>
      </c>
      <c r="D11" s="862" t="s">
        <v>142</v>
      </c>
      <c r="E11" s="862">
        <f>ROUND(C11/E7,4)</f>
        <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ca="1" si="0"/>
        <v>#DIV/0!</v>
      </c>
      <c r="U11" s="1375"/>
      <c r="V11" s="1374" t="e">
        <f t="shared" ca="1" si="1"/>
        <v>#DIV/0!</v>
      </c>
      <c r="W11" s="3569"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9" thickBot="1" x14ac:dyDescent="0.25">
      <c r="A12" s="3574"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ca="1" si="0"/>
        <v>#DIV/0!</v>
      </c>
      <c r="U12" s="1375"/>
      <c r="V12" s="1374" t="e">
        <f t="shared" ca="1" si="1"/>
        <v>#DIV/0!</v>
      </c>
      <c r="W12" s="3569"/>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8" x14ac:dyDescent="0.2">
      <c r="A13" s="3576"/>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t="e">
        <f t="shared" ca="1" si="0"/>
        <v>#DIV/0!</v>
      </c>
      <c r="U13" s="1375"/>
      <c r="V13" s="1374" t="e">
        <f t="shared" ca="1" si="1"/>
        <v>#DIV/0!</v>
      </c>
      <c r="W13" s="3569"/>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6" x14ac:dyDescent="0.2">
      <c r="A14" s="3576"/>
      <c r="B14" s="2234"/>
      <c r="C14" s="2235"/>
      <c r="D14" s="2236"/>
      <c r="E14" s="2236"/>
      <c r="F14" s="2237"/>
      <c r="G14" s="2238" t="s">
        <v>2697</v>
      </c>
      <c r="H14" s="2239"/>
      <c r="I14" s="2240"/>
      <c r="J14" s="2241"/>
      <c r="K14" s="1280"/>
      <c r="L14" s="1280"/>
      <c r="M14" s="1280"/>
      <c r="N14" s="1280"/>
      <c r="O14" s="1280"/>
      <c r="P14" s="1280"/>
      <c r="Q14" s="1280"/>
      <c r="R14" s="1374">
        <v>13</v>
      </c>
      <c r="S14" s="1375"/>
      <c r="T14" s="1374" t="e">
        <f t="shared" ca="1" si="0"/>
        <v>#DIV/0!</v>
      </c>
      <c r="U14" s="1375"/>
      <c r="V14" s="1374" t="e">
        <f t="shared" ca="1" si="1"/>
        <v>#DIV/0!</v>
      </c>
      <c r="W14" s="1378"/>
      <c r="X14" s="1378"/>
      <c r="Y14" s="1378"/>
      <c r="Z14" s="1378"/>
      <c r="AA14" s="1378"/>
      <c r="AB14" s="1378"/>
      <c r="AC14" s="1379"/>
      <c r="AD14" s="3020"/>
      <c r="AE14" s="3020"/>
      <c r="AF14" s="3020"/>
      <c r="AG14" s="3020"/>
      <c r="AH14" s="3020"/>
      <c r="AI14" s="3020"/>
      <c r="AJ14" s="3021"/>
    </row>
    <row r="15" spans="1:36" ht="17" thickBot="1" x14ac:dyDescent="0.25">
      <c r="A15" s="3577"/>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ca="1" si="0"/>
        <v>#DIV/0!</v>
      </c>
      <c r="U15" s="1375"/>
      <c r="V15" s="1374" t="e">
        <f t="shared" ca="1" si="1"/>
        <v>#DIV/0!</v>
      </c>
      <c r="W15" s="1378"/>
      <c r="X15" s="1378"/>
      <c r="Y15" s="1378"/>
      <c r="Z15" s="1378"/>
      <c r="AA15" s="1378"/>
      <c r="AB15" s="1378"/>
      <c r="AC15" s="1379"/>
      <c r="AD15" s="3020"/>
      <c r="AE15" s="3020"/>
      <c r="AF15" s="3020"/>
      <c r="AG15" s="3020"/>
      <c r="AH15" s="3020"/>
      <c r="AI15" s="3020"/>
      <c r="AJ15" s="3021"/>
    </row>
    <row r="16" spans="1:36" ht="24.5" customHeight="1" x14ac:dyDescent="0.2">
      <c r="A16" s="3574" t="s">
        <v>2703</v>
      </c>
      <c r="B16" s="2211" t="s">
        <v>2704</v>
      </c>
      <c r="C16" s="2373" t="e">
        <f>ROUND(IF(F17="与级别开发程度一致",0,(G17-E17)/C17),0)</f>
        <v>#DIV/0!</v>
      </c>
      <c r="D16" s="3590" t="s">
        <v>2708</v>
      </c>
      <c r="E16" s="3591"/>
      <c r="F16" s="3590" t="s">
        <v>2705</v>
      </c>
      <c r="G16" s="3591"/>
      <c r="H16" s="2243" t="s">
        <v>3192</v>
      </c>
      <c r="I16" s="2243" t="s">
        <v>3193</v>
      </c>
      <c r="J16" s="2377" t="s">
        <v>3194</v>
      </c>
      <c r="K16" s="2243" t="s">
        <v>3195</v>
      </c>
      <c r="L16" s="2243" t="s">
        <v>3196</v>
      </c>
      <c r="M16" s="2243" t="s">
        <v>3197</v>
      </c>
      <c r="N16" s="2243"/>
      <c r="O16" s="2244"/>
      <c r="P16" s="2185"/>
      <c r="Q16" s="1280"/>
      <c r="R16" s="1374">
        <v>15</v>
      </c>
      <c r="S16" s="1375"/>
      <c r="T16" s="1374" t="e">
        <f t="shared" ca="1" si="0"/>
        <v>#DIV/0!</v>
      </c>
      <c r="U16" s="1375"/>
      <c r="V16" s="1374" t="e">
        <f t="shared" ca="1" si="1"/>
        <v>#DIV/0!</v>
      </c>
      <c r="W16" s="1378"/>
      <c r="X16" s="1378"/>
      <c r="Y16" s="1378"/>
      <c r="Z16" s="1378"/>
      <c r="AA16" s="1378"/>
      <c r="AB16" s="1378"/>
      <c r="AC16" s="1379"/>
      <c r="AD16" s="3020"/>
      <c r="AE16" s="3020"/>
      <c r="AF16" s="3020"/>
      <c r="AG16" s="3020"/>
      <c r="AH16" s="3020"/>
      <c r="AI16" s="3020"/>
      <c r="AJ16" s="3021"/>
    </row>
    <row r="17" spans="1:37" ht="27" thickBot="1" x14ac:dyDescent="0.25">
      <c r="A17" s="3578"/>
      <c r="B17" s="2384" t="s">
        <v>2707</v>
      </c>
      <c r="C17" s="2385">
        <f>SUMPRODUCT((修正!A2:A5=E2)*(修正!B1:M1=G2)*(修正!B2:M5))</f>
        <v>0</v>
      </c>
      <c r="D17" s="193" t="str">
        <f>IF(OR(G2="八级",G2="九级",G2="十级",G2="十一级",G2="十二级"),"五通一平","七通一平")</f>
        <v>七通一平</v>
      </c>
      <c r="E17" s="2374">
        <f>SUMPRODUCT((修正!B1:M1=G2)*(修正!B15:M15))</f>
        <v>0</v>
      </c>
      <c r="F17" s="2375" t="s">
        <v>3205</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 thickBot="1" x14ac:dyDescent="0.25">
      <c r="A18" s="2378" t="s">
        <v>808</v>
      </c>
      <c r="B18" s="2379" t="s">
        <v>2710</v>
      </c>
      <c r="C18" s="2380">
        <f>SUMIF(修正!C18:C39,E3,修正!E18:E39)</f>
        <v>1.1000000000000001</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9" thickBot="1" x14ac:dyDescent="0.25">
      <c r="A19" s="2248" t="s">
        <v>809</v>
      </c>
      <c r="B19" s="2249" t="s">
        <v>2711</v>
      </c>
      <c r="C19" s="863">
        <v>1.3785000000000001</v>
      </c>
      <c r="D19" s="2253" t="s">
        <v>2712</v>
      </c>
      <c r="E19" s="864">
        <v>41640</v>
      </c>
      <c r="F19" s="2253" t="s">
        <v>2713</v>
      </c>
      <c r="G19" s="865">
        <f>'数据-取费表'!B2</f>
        <v>44606</v>
      </c>
      <c r="H19" s="2254" t="s">
        <v>3206</v>
      </c>
      <c r="I19" s="866" t="str">
        <f>IF(H19="季度增幅（自定义）",SUMIF(N21:N24,E2,O21:O24),"")</f>
        <v/>
      </c>
      <c r="J19" s="2251"/>
      <c r="K19" s="1287"/>
      <c r="L19" s="2255" t="s">
        <v>2714</v>
      </c>
      <c r="M19" s="1498">
        <f>ROUND(SUMIF(地价!B2:F2,E2,地价!B32:F32),0)</f>
        <v>258</v>
      </c>
      <c r="N19" s="2256" t="s">
        <v>2715</v>
      </c>
      <c r="O19" s="867">
        <f>ROUNDDOWN(DATEDIF(E19,G19,"M")/3,0)</f>
        <v>32</v>
      </c>
      <c r="P19" s="1284"/>
      <c r="Q19" s="1286"/>
      <c r="R19" s="1286"/>
      <c r="S19" s="1286"/>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9" thickBot="1" x14ac:dyDescent="0.25">
      <c r="A20" s="2258" t="s">
        <v>810</v>
      </c>
      <c r="B20" s="2259" t="s">
        <v>2716</v>
      </c>
      <c r="C20" s="868" t="e">
        <f ca="1">ROUND(POWER(1+G20,J20-I20)*(POWER(1+G20,I20)-1)/(POWER(1+G20,J20)-1),4)</f>
        <v>#DIV/0!</v>
      </c>
      <c r="D20" s="2260" t="s">
        <v>2717</v>
      </c>
      <c r="E20" s="1507">
        <f ca="1">存贷款利率!D4/100</f>
        <v>4.3499999999999997E-2</v>
      </c>
      <c r="F20" s="2260" t="s">
        <v>2709</v>
      </c>
      <c r="G20" s="873">
        <f ca="1">SUMIF(M26:P26,E2,M28:P28)</f>
        <v>5.3999999999999999E-2</v>
      </c>
      <c r="H20" s="2260" t="s">
        <v>2718</v>
      </c>
      <c r="I20" s="874" t="e">
        <f>SUMIF('数据-取费表'!C6:C15,E2,'数据-取费表'!F6:F15)/COUNTIF('数据-取费表'!C6:C15,E2)</f>
        <v>#DIV/0!</v>
      </c>
      <c r="J20" s="875">
        <f>IF(E2="住宅",70,IF(E2="商业",40,50))</f>
        <v>40</v>
      </c>
      <c r="K20" s="1287"/>
      <c r="L20" s="2261" t="s">
        <v>2719</v>
      </c>
      <c r="M20" s="1499">
        <f>ROUND(SUMPRODUCT((地价!A4:A32=YEAR(G19)&amp;"-"&amp;ROUNDUP(MONTH(G19)/3,0))*(地价!B2:F2=E2)*(地价!B4:F32)),0)</f>
        <v>0</v>
      </c>
      <c r="N20" s="2262" t="s">
        <v>2720</v>
      </c>
      <c r="O20" s="2263" t="s">
        <v>2721</v>
      </c>
      <c r="P20" s="2264"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4" customFormat="1" ht="14" x14ac:dyDescent="0.2">
      <c r="A21" s="2265" t="s">
        <v>811</v>
      </c>
      <c r="B21" s="2266" t="s">
        <v>3277</v>
      </c>
      <c r="C21" s="876" t="e">
        <f>IF(B21="容积率修正",IF(G3&lt;=10,D22,J22),C23)</f>
        <v>#DIV/0!</v>
      </c>
      <c r="D21" s="2267"/>
      <c r="E21" s="2267"/>
      <c r="F21" s="2267"/>
      <c r="G21" s="2267"/>
      <c r="H21" s="2267"/>
      <c r="I21" s="2267"/>
      <c r="J21" s="2268"/>
      <c r="K21" s="1287"/>
      <c r="L21" s="3019"/>
      <c r="M21" s="3019"/>
      <c r="N21" s="2269" t="s">
        <v>2723</v>
      </c>
      <c r="O21" s="1335"/>
      <c r="P21" s="1336">
        <f>SUMPRODUCT((地价!A3:A32=YEAR(G19)&amp;"-"&amp;ROUNDUP(MONTH(G19)/3,0))*(地价!AD2:AH2=N21)*(地价!AD3:AH32))</f>
        <v>0</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 x14ac:dyDescent="0.2">
      <c r="A22" s="2143" t="s">
        <v>2724</v>
      </c>
      <c r="B22" s="2270" t="s">
        <v>2725</v>
      </c>
      <c r="C22" s="1538" t="s">
        <v>2726</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9"/>
      <c r="M22" s="3019"/>
      <c r="N22" s="2269" t="s">
        <v>2727</v>
      </c>
      <c r="O22" s="1335"/>
      <c r="P22" s="1336">
        <f>SUMPRODUCT((地价!A3:A32=YEAR(G19)&amp;"-"&amp;ROUNDUP(MONTH(G19)/3,0))*(地价!AD2:AH2=N22)*(地价!AD3:AH32))</f>
        <v>0</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15" thickBot="1" x14ac:dyDescent="0.25">
      <c r="A23" s="2143" t="s">
        <v>2728</v>
      </c>
      <c r="B23" s="2271" t="s">
        <v>2729</v>
      </c>
      <c r="C23" s="950" t="e">
        <f>ROUND(IF(G3&gt;1,IF(I3&lt;7,SUMPRODUCT((B93:B98=I3)*(C92:N92=G2)*(C93:N98)),SUMIF(C92:N92,G2,C100:N100)),IF(I3&lt;7,SUMPRODUCT((B102:B107=I3)*(C92:N92=G2)*(C102:N107)),SUMIF(C92:N92,G2,C109:N109))),4)</f>
        <v>#DIV/0!</v>
      </c>
      <c r="D23" s="2239"/>
      <c r="E23" s="2239"/>
      <c r="F23" s="2272"/>
      <c r="G23" s="2273"/>
      <c r="H23" s="2274"/>
      <c r="I23" s="2275"/>
      <c r="J23" s="2276"/>
      <c r="K23" s="1280"/>
      <c r="L23" s="2185"/>
      <c r="M23" s="2185"/>
      <c r="N23" s="2269" t="s">
        <v>2730</v>
      </c>
      <c r="O23" s="1335"/>
      <c r="P23" s="1336">
        <f>SUMPRODUCT((地价!A3:A32=YEAR(G19)&amp;"-"&amp;ROUNDUP(MONTH(G19)/3,0))*(地价!AD2:AH2=N23)*(地价!AD3:AH32))</f>
        <v>0</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 thickBot="1" x14ac:dyDescent="0.25">
      <c r="A24" s="2258" t="s">
        <v>812</v>
      </c>
      <c r="B24" s="2249" t="s">
        <v>2731</v>
      </c>
      <c r="C24" s="863">
        <f>SUMIF(A45:A88,E2,B45:B88)</f>
        <v>1</v>
      </c>
      <c r="D24" s="2250"/>
      <c r="E24" s="2277"/>
      <c r="F24" s="2277"/>
      <c r="G24" s="2277"/>
      <c r="H24" s="2277"/>
      <c r="I24" s="2277"/>
      <c r="J24" s="2278"/>
      <c r="K24" s="1287"/>
      <c r="L24" s="3019"/>
      <c r="M24" s="3019"/>
      <c r="N24" s="2279" t="s">
        <v>2732</v>
      </c>
      <c r="O24" s="1337"/>
      <c r="P24" s="1338">
        <f>SUMPRODUCT((地价!A3:A32=YEAR(G19)&amp;"-"&amp;ROUNDUP(MONTH(G19)/3,0))*(地价!AD2:AH2=N24)*(地价!AD3:AH32))</f>
        <v>0</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 thickBot="1" x14ac:dyDescent="0.25">
      <c r="A25" s="2258" t="s">
        <v>813</v>
      </c>
      <c r="B25" s="2280" t="s">
        <v>2733</v>
      </c>
      <c r="C25" s="869"/>
      <c r="D25" s="2214"/>
      <c r="E25" s="2214"/>
      <c r="F25" s="2281"/>
      <c r="G25" s="2214"/>
      <c r="H25" s="2214"/>
      <c r="I25" s="2214"/>
      <c r="J25" s="2215"/>
      <c r="K25" s="1280"/>
      <c r="L25" s="2185"/>
      <c r="M25" s="2185"/>
      <c r="N25" s="3014" t="s">
        <v>2734</v>
      </c>
      <c r="O25" s="3015"/>
      <c r="P25" s="3016">
        <f>SUMPRODUCT((地价!A3:A32=YEAR(G19)&amp;"-"&amp;ROUNDUP(MONTH(G19)/3,0))*(地价!AD2:AH2=N25)*(地价!AD3:AH32))</f>
        <v>0</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4" x14ac:dyDescent="0.2">
      <c r="A26" s="2282"/>
      <c r="B26" s="2270" t="s">
        <v>2735</v>
      </c>
      <c r="C26" s="2544" t="e">
        <f ca="1">IF(B21="容积率修正",E29+SUM(E33:E39),SUM(V2:V16)+SUM(E33:E39))</f>
        <v>#DIV/0!</v>
      </c>
      <c r="D26" s="2283"/>
      <c r="E26" s="2239"/>
      <c r="F26" s="2284"/>
      <c r="G26" s="2239"/>
      <c r="H26" s="2239"/>
      <c r="I26" s="2239"/>
      <c r="J26" s="2285"/>
      <c r="K26" s="1280"/>
      <c r="L26" s="3017" t="s">
        <v>2635</v>
      </c>
      <c r="M26" s="2212" t="s">
        <v>2699</v>
      </c>
      <c r="N26" s="2212" t="s">
        <v>2700</v>
      </c>
      <c r="O26" s="2212" t="s">
        <v>2701</v>
      </c>
      <c r="P26" s="3018"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 thickBot="1" x14ac:dyDescent="0.25">
      <c r="A27" s="2282"/>
      <c r="B27" s="2286" t="s">
        <v>2736</v>
      </c>
      <c r="C27" s="870" t="e">
        <f ca="1">E30+SUM(I33:I39)</f>
        <v>#DIV/0!</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 thickBot="1" x14ac:dyDescent="0.25">
      <c r="A28" s="2291"/>
      <c r="B28" s="2292" t="s">
        <v>2737</v>
      </c>
      <c r="C28" s="2293" t="s">
        <v>2738</v>
      </c>
      <c r="D28" s="2293" t="s">
        <v>2739</v>
      </c>
      <c r="E28" s="2294" t="s">
        <v>2740</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x14ac:dyDescent="0.2">
      <c r="A29" s="2296"/>
      <c r="B29" s="2297" t="s">
        <v>2741</v>
      </c>
      <c r="C29" s="180" t="e">
        <f ca="1">ROUND(C5*C18*C19*C20*C21*C24,0)</f>
        <v>#DIV/0!</v>
      </c>
      <c r="D29" s="2298">
        <f>'数据-汇总表'!F19</f>
        <v>547.29</v>
      </c>
      <c r="E29" s="879" t="e">
        <f ca="1">ROUND(C29*D29/10000,0)</f>
        <v>#DIV/0!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9" thickBot="1" x14ac:dyDescent="0.25">
      <c r="A30" s="2302"/>
      <c r="B30" s="2303" t="s">
        <v>2743</v>
      </c>
      <c r="C30" s="193" t="e">
        <f ca="1">ROUND(IF(E2="工业",C29*M39,C29*M38),0)</f>
        <v>#DIV/0!</v>
      </c>
      <c r="D30" s="2304"/>
      <c r="E30" s="879" t="e">
        <f ca="1">ROUND(C30*D30/10000,0)</f>
        <v>#DIV/0!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 x14ac:dyDescent="0.2">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8" x14ac:dyDescent="0.2">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x14ac:dyDescent="0.2">
      <c r="A33" s="3587"/>
      <c r="B33" s="2314" t="s">
        <v>2749</v>
      </c>
      <c r="C33" s="180" t="e">
        <f ca="1">ROUND(D5*C19*C20*C24*F33,0)</f>
        <v>#DIV/0!</v>
      </c>
      <c r="D33" s="2298"/>
      <c r="E33" s="176" t="e">
        <f ca="1">ROUND(C33*D33/10000,0)</f>
        <v>#DIV/0!</v>
      </c>
      <c r="F33" s="176">
        <f>SUMIF(修正!A45:A56,G2,修正!B45:B56)</f>
        <v>0</v>
      </c>
      <c r="G33" s="176" t="e">
        <f t="shared" ref="G33" ca="1" si="6">ROUND(IF(E2="工业",C33*$M$39,C33*$M$38),0)</f>
        <v>#DIV/0!</v>
      </c>
      <c r="H33" s="176">
        <f>D33</f>
        <v>0</v>
      </c>
      <c r="I33" s="176" t="e">
        <f ca="1">ROUND(G33*H33/10000,0)</f>
        <v>#DIV/0!</v>
      </c>
      <c r="J33" s="3592"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 x14ac:dyDescent="0.2">
      <c r="A34" s="3588"/>
      <c r="B34" s="2231" t="s">
        <v>2750</v>
      </c>
      <c r="C34" s="180" t="e">
        <f ca="1">ROUND(D5*C19*C20*C24*F34,0)</f>
        <v>#DIV/0!</v>
      </c>
      <c r="D34" s="2298"/>
      <c r="E34" s="176" t="e">
        <f t="shared" ref="E34:E39" ca="1" si="7">ROUND(C34*D34/10000,0)</f>
        <v>#DIV/0!</v>
      </c>
      <c r="F34" s="176">
        <f>SUMIF(修正!A45:A56,G2,修正!C45:C56)</f>
        <v>0</v>
      </c>
      <c r="G34" s="176" t="e">
        <f ca="1">ROUND(IF(E2="工业",C34*$M$39,C34*$M$38),0)</f>
        <v>#DIV/0!</v>
      </c>
      <c r="H34" s="176">
        <f t="shared" ref="H34:H39" si="8">D34</f>
        <v>0</v>
      </c>
      <c r="I34" s="176" t="e">
        <f t="shared" ref="I34:I39" ca="1" si="9">ROUND(G34*H34/10000,0)</f>
        <v>#DIV/0!</v>
      </c>
      <c r="J34" s="358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ht="14" x14ac:dyDescent="0.2">
      <c r="A35" s="3588"/>
      <c r="B35" s="2231" t="s">
        <v>2751</v>
      </c>
      <c r="C35" s="180" t="e">
        <f ca="1">ROUND(D5*C19*C20*C24*F35,0)</f>
        <v>#DIV/0!</v>
      </c>
      <c r="D35" s="2298"/>
      <c r="E35" s="176" t="e">
        <f t="shared" ca="1" si="7"/>
        <v>#DIV/0!</v>
      </c>
      <c r="F35" s="176">
        <f>SUMIF(修正!A45:A56,G2,修正!D45:D56)</f>
        <v>0</v>
      </c>
      <c r="G35" s="176" t="e">
        <f ca="1">ROUND(IF(E2="工业",C35*$M$39,C35*$M$38),0)</f>
        <v>#DIV/0!</v>
      </c>
      <c r="H35" s="176">
        <f t="shared" si="8"/>
        <v>0</v>
      </c>
      <c r="I35" s="176" t="e">
        <f t="shared" ca="1" si="9"/>
        <v>#DIV/0!</v>
      </c>
      <c r="J35" s="358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5" thickBot="1" x14ac:dyDescent="0.25">
      <c r="A36" s="3589"/>
      <c r="B36" s="2231" t="s">
        <v>2752</v>
      </c>
      <c r="C36" s="180" t="e">
        <f ca="1">ROUND(D5*C19*C20*C24*F36,0)</f>
        <v>#DIV/0!</v>
      </c>
      <c r="D36" s="2298"/>
      <c r="E36" s="176" t="e">
        <f t="shared" ca="1" si="7"/>
        <v>#DIV/0!</v>
      </c>
      <c r="F36" s="176">
        <f>SUMIF(修正!A45:A56,G2,修正!E45:E56)</f>
        <v>0</v>
      </c>
      <c r="G36" s="176" t="e">
        <f ca="1">ROUND(IF(E2="工业",C36*$M$39,C36*$M$38),0)</f>
        <v>#DIV/0!</v>
      </c>
      <c r="H36" s="176">
        <f t="shared" si="8"/>
        <v>0</v>
      </c>
      <c r="I36" s="176" t="e">
        <f t="shared" ca="1" si="9"/>
        <v>#DIV/0!</v>
      </c>
      <c r="J36" s="358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ht="14" x14ac:dyDescent="0.2">
      <c r="A37" s="2316"/>
      <c r="B37" s="2231" t="s">
        <v>2753</v>
      </c>
      <c r="C37" s="176" t="e">
        <f ca="1">ROUND(D5*C19*C20*C24*F37,0)</f>
        <v>#DIV/0!</v>
      </c>
      <c r="D37" s="2298"/>
      <c r="E37" s="176" t="e">
        <f t="shared" ca="1" si="7"/>
        <v>#DIV/0!</v>
      </c>
      <c r="F37" s="180">
        <f>SUMIF(修正!A45:A56,G2,修正!F45:F56)</f>
        <v>0</v>
      </c>
      <c r="G37" s="176" t="e">
        <f ca="1">ROUND(IF(E2="工业",C37*$M$39,C37*$M$38),0)</f>
        <v>#DIV/0!</v>
      </c>
      <c r="H37" s="176">
        <f t="shared" si="8"/>
        <v>0</v>
      </c>
      <c r="I37" s="176" t="e">
        <f t="shared" ca="1" si="9"/>
        <v>#DIV/0!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ht="14" x14ac:dyDescent="0.2">
      <c r="A38" s="2316"/>
      <c r="B38" s="2231" t="s">
        <v>2755</v>
      </c>
      <c r="C38" s="176" t="e">
        <f ca="1">ROUND(D5*C19*C41*C24*F38,0)</f>
        <v>#DIV/0!</v>
      </c>
      <c r="D38" s="2298"/>
      <c r="E38" s="176" t="e">
        <f t="shared" ca="1" si="7"/>
        <v>#DIV/0!</v>
      </c>
      <c r="F38" s="180">
        <f>SUMIF(修正!A45:A56,G2,修正!G45:G56)</f>
        <v>0</v>
      </c>
      <c r="G38" s="176" t="e">
        <f ca="1">ROUND(IF(E2="工业",C38*$M$39,C38*$M$38),0)</f>
        <v>#DIV/0!</v>
      </c>
      <c r="H38" s="176">
        <f t="shared" si="8"/>
        <v>0</v>
      </c>
      <c r="I38" s="176" t="e">
        <f t="shared" ca="1" si="9"/>
        <v>#DIV/0!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5" thickBot="1" x14ac:dyDescent="0.25">
      <c r="A39" s="2302"/>
      <c r="B39" s="2320" t="s">
        <v>2757</v>
      </c>
      <c r="C39" s="193" t="e">
        <f ca="1">ROUND(D5*C19*C41*C24*F39,0)</f>
        <v>#DIV/0!</v>
      </c>
      <c r="D39" s="2304"/>
      <c r="E39" s="193" t="e">
        <f t="shared" ca="1" si="7"/>
        <v>#DIV/0!</v>
      </c>
      <c r="F39" s="871">
        <f>SUMIF(修正!A45:A56,G2,修正!H45:H56)</f>
        <v>0</v>
      </c>
      <c r="G39" s="193" t="e">
        <f ca="1">ROUND(IF(E2="工业",C39*$M$39,C39*$M$38),0)</f>
        <v>#DIV/0!</v>
      </c>
      <c r="H39" s="193">
        <f t="shared" si="8"/>
        <v>0</v>
      </c>
      <c r="I39" s="193" t="e">
        <f t="shared" ca="1" si="9"/>
        <v>#DIV/0!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x14ac:dyDescent="0.2">
      <c r="Z40" s="1281"/>
      <c r="AA40" s="1281"/>
      <c r="AB40" s="1281"/>
      <c r="AC40" s="1281"/>
      <c r="AD40" s="1281"/>
      <c r="AE40" s="1281"/>
      <c r="AF40" s="1281"/>
      <c r="AG40" s="1281"/>
      <c r="AH40" s="1281"/>
      <c r="AI40" s="1281"/>
      <c r="AJ40" s="1281"/>
    </row>
    <row r="41" spans="1:37" s="1280" customFormat="1" ht="14" x14ac:dyDescent="0.2">
      <c r="A41" s="1281"/>
      <c r="B41" s="2372" t="s">
        <v>2862</v>
      </c>
      <c r="C41" s="348">
        <f ca="1">ROUND(POWER(1+E41,H41-G41)*(POWER(1+E41,G41)-1)/(POWER(1+E41,H41)-1),4)</f>
        <v>0</v>
      </c>
      <c r="D41" s="176" t="s">
        <v>2709</v>
      </c>
      <c r="E41" s="2371">
        <f ca="1">G20</f>
        <v>5.3999999999999999E-2</v>
      </c>
      <c r="F41" s="176" t="s">
        <v>2718</v>
      </c>
      <c r="G41" s="189"/>
      <c r="H41" s="176">
        <v>50</v>
      </c>
      <c r="Z41" s="1281"/>
      <c r="AA41" s="1281"/>
      <c r="AB41" s="1281"/>
      <c r="AC41" s="1281"/>
      <c r="AD41" s="1281"/>
      <c r="AE41" s="1281"/>
      <c r="AF41" s="1281"/>
      <c r="AG41" s="1281"/>
      <c r="AH41" s="1281"/>
      <c r="AI41" s="1281"/>
      <c r="AJ41" s="1281"/>
    </row>
    <row r="42" spans="1:37" s="1280" customFormat="1" x14ac:dyDescent="0.2">
      <c r="A42" s="1281"/>
      <c r="B42" s="2324"/>
      <c r="Z42" s="1281"/>
      <c r="AA42" s="1281"/>
      <c r="AB42" s="1281"/>
      <c r="AC42" s="1281"/>
      <c r="AD42" s="1281"/>
      <c r="AE42" s="1281"/>
      <c r="AF42" s="1281"/>
      <c r="AG42" s="1281"/>
      <c r="AH42" s="1281"/>
      <c r="AI42" s="1281"/>
      <c r="AJ42" s="1281"/>
    </row>
    <row r="43" spans="1:37" s="1280" customFormat="1" x14ac:dyDescent="0.2">
      <c r="A43" s="1281"/>
      <c r="B43" s="2324"/>
      <c r="Z43" s="1281"/>
      <c r="AA43" s="1281"/>
      <c r="AB43" s="1281"/>
      <c r="AC43" s="1281"/>
      <c r="AD43" s="1281"/>
      <c r="AE43" s="1281"/>
      <c r="AF43" s="1281"/>
      <c r="AG43" s="1281"/>
      <c r="AH43" s="1281"/>
      <c r="AI43" s="1281"/>
      <c r="AJ43" s="1281"/>
    </row>
    <row r="44" spans="1:37" s="1280" customFormat="1" x14ac:dyDescent="0.2">
      <c r="A44" s="1281"/>
      <c r="B44" s="2324"/>
      <c r="Z44" s="1281"/>
      <c r="AA44" s="1281"/>
      <c r="AB44" s="1281"/>
      <c r="AC44" s="1281"/>
      <c r="AD44" s="1281"/>
      <c r="AE44" s="1281"/>
      <c r="AF44" s="1281"/>
      <c r="AG44" s="1281"/>
      <c r="AH44" s="1281"/>
      <c r="AI44" s="1281"/>
      <c r="AJ44" s="1281"/>
    </row>
    <row r="45" spans="1:37" s="1280" customFormat="1" ht="15" thickBot="1" x14ac:dyDescent="0.25">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4" x14ac:dyDescent="0.2">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8" x14ac:dyDescent="0.2">
      <c r="A47" s="2331" t="s">
        <v>2760</v>
      </c>
      <c r="B47" s="1537" t="s">
        <v>2761</v>
      </c>
      <c r="C47" s="1537" t="s">
        <v>2762</v>
      </c>
      <c r="D47" s="1537" t="s">
        <v>2763</v>
      </c>
      <c r="E47" s="758" t="s">
        <v>2764</v>
      </c>
      <c r="F47" s="2332" t="s">
        <v>2765</v>
      </c>
      <c r="G47" s="1537" t="s">
        <v>754</v>
      </c>
      <c r="H47" s="2333" t="s">
        <v>2766</v>
      </c>
      <c r="I47" s="1537"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9" x14ac:dyDescent="0.2">
      <c r="A48" s="2331" t="s">
        <v>2768</v>
      </c>
      <c r="B48" s="2334" t="str">
        <f>估价对象房地状况!C4</f>
        <v>估价对象位于XX商圈，周边商业氛围成熟，人流量大，商业繁华度好</v>
      </c>
      <c r="C48" s="2236" t="s">
        <v>3207</v>
      </c>
      <c r="D48" s="1196">
        <f t="shared" ref="D48:D56" si="10">SUMIF($J$47:$N$47,C48,J48:N48)</f>
        <v>0</v>
      </c>
      <c r="E48" s="760">
        <f>ROUND(SUM(D48:D56),4)</f>
        <v>0</v>
      </c>
      <c r="F48" s="2002">
        <f>IF(E2="商业",SUMIF(L1:L12,G2,N1:N12),"——")</f>
        <v>0</v>
      </c>
      <c r="G48" s="1194">
        <f>H48</f>
        <v>0</v>
      </c>
      <c r="H48" s="1198">
        <f t="shared" ref="H48:H56" si="11">IFERROR(ROUNDDOWN($F$48*I48/2,4),"——")</f>
        <v>0</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2" x14ac:dyDescent="0.2">
      <c r="A49" s="2331" t="s">
        <v>2769</v>
      </c>
      <c r="B49" s="2335" t="str">
        <f>估价对象房地状况!C18</f>
        <v>估价对象周边道路状况、公共交通通达情况、停车便捷程度，综合评价交通便捷度较好</v>
      </c>
      <c r="C49" s="2236" t="s">
        <v>3207</v>
      </c>
      <c r="D49" s="1196">
        <f t="shared" si="10"/>
        <v>0</v>
      </c>
      <c r="E49" s="761"/>
      <c r="F49" s="2002"/>
      <c r="G49" s="1194">
        <f t="shared" ref="G49:G56" si="15">H49</f>
        <v>0</v>
      </c>
      <c r="H49" s="1198">
        <f t="shared" si="11"/>
        <v>0</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8" x14ac:dyDescent="0.2">
      <c r="A50" s="2331" t="s">
        <v>2770</v>
      </c>
      <c r="B50" s="2335">
        <f>估价对象房地状况!C19</f>
        <v>0</v>
      </c>
      <c r="C50" s="2236" t="s">
        <v>3209</v>
      </c>
      <c r="D50" s="1196">
        <f t="shared" si="10"/>
        <v>0</v>
      </c>
      <c r="E50" s="761"/>
      <c r="F50" s="2002"/>
      <c r="G50" s="1194">
        <f t="shared" si="15"/>
        <v>0</v>
      </c>
      <c r="H50" s="1198">
        <f t="shared" si="11"/>
        <v>0</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42" x14ac:dyDescent="0.2">
      <c r="A51" s="2331" t="s">
        <v>2771</v>
      </c>
      <c r="B51" s="2336" t="s">
        <v>2772</v>
      </c>
      <c r="C51" s="2236" t="s">
        <v>3209</v>
      </c>
      <c r="D51" s="1196">
        <f t="shared" si="10"/>
        <v>0</v>
      </c>
      <c r="E51" s="761"/>
      <c r="F51" s="2002"/>
      <c r="G51" s="1194">
        <f t="shared" si="15"/>
        <v>0</v>
      </c>
      <c r="H51" s="1198">
        <f t="shared" si="11"/>
        <v>0</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8" x14ac:dyDescent="0.2">
      <c r="A52" s="2331" t="s">
        <v>2773</v>
      </c>
      <c r="B52" s="2335">
        <f>估价对象房地状况!C24</f>
        <v>0</v>
      </c>
      <c r="C52" s="2236" t="s">
        <v>3207</v>
      </c>
      <c r="D52" s="1196">
        <f t="shared" si="10"/>
        <v>0</v>
      </c>
      <c r="E52" s="761"/>
      <c r="F52" s="2002"/>
      <c r="G52" s="1194">
        <f t="shared" si="15"/>
        <v>0</v>
      </c>
      <c r="H52" s="1198">
        <f t="shared" si="11"/>
        <v>0</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8" x14ac:dyDescent="0.2">
      <c r="A53" s="2331" t="s">
        <v>2774</v>
      </c>
      <c r="B53" s="2337" t="s">
        <v>2775</v>
      </c>
      <c r="C53" s="2236" t="s">
        <v>3209</v>
      </c>
      <c r="D53" s="1196">
        <f t="shared" si="10"/>
        <v>0</v>
      </c>
      <c r="E53" s="761"/>
      <c r="F53" s="2002"/>
      <c r="G53" s="1194">
        <f t="shared" si="15"/>
        <v>0</v>
      </c>
      <c r="H53" s="1198">
        <f t="shared" si="11"/>
        <v>0</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8" x14ac:dyDescent="0.2">
      <c r="A54" s="2338" t="s">
        <v>2776</v>
      </c>
      <c r="B54" s="1496" t="str">
        <f>估价对象房地状况!C21</f>
        <v>估价对象所在区域公共配套设施齐备情况</v>
      </c>
      <c r="C54" s="2236" t="s">
        <v>3207</v>
      </c>
      <c r="D54" s="1196">
        <f t="shared" si="10"/>
        <v>0</v>
      </c>
      <c r="E54" s="761"/>
      <c r="F54" s="2002"/>
      <c r="G54" s="1194">
        <f t="shared" si="15"/>
        <v>0</v>
      </c>
      <c r="H54" s="1198">
        <f t="shared" si="11"/>
        <v>0</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8" x14ac:dyDescent="0.2">
      <c r="A55" s="2338" t="s">
        <v>2777</v>
      </c>
      <c r="B55" s="2335" t="str">
        <f>估价对象房地状况!C22</f>
        <v>估价对象所在区域基础设施水平</v>
      </c>
      <c r="C55" s="2236" t="s">
        <v>3207</v>
      </c>
      <c r="D55" s="1196">
        <f t="shared" si="10"/>
        <v>0</v>
      </c>
      <c r="E55" s="761"/>
      <c r="F55" s="2002"/>
      <c r="G55" s="1194">
        <f t="shared" si="15"/>
        <v>0</v>
      </c>
      <c r="H55" s="1198">
        <f t="shared" si="11"/>
        <v>0</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 thickBot="1" x14ac:dyDescent="0.25">
      <c r="A56" s="2339" t="s">
        <v>2778</v>
      </c>
      <c r="B56" s="2340" t="str">
        <f>估价对象房地状况!C20</f>
        <v>区域自然环境：；人文环境；综合评价环境状况一般</v>
      </c>
      <c r="C56" s="2236" t="s">
        <v>3209</v>
      </c>
      <c r="D56" s="1196">
        <f t="shared" si="10"/>
        <v>0</v>
      </c>
      <c r="E56" s="764"/>
      <c r="F56" s="2002"/>
      <c r="G56" s="1194">
        <f t="shared" si="15"/>
        <v>0</v>
      </c>
      <c r="H56" s="1198">
        <f t="shared" si="11"/>
        <v>0</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 x14ac:dyDescent="0.2">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8" x14ac:dyDescent="0.2">
      <c r="A58" s="2331" t="s">
        <v>2760</v>
      </c>
      <c r="B58" s="1537"/>
      <c r="C58" s="1537" t="s">
        <v>2762</v>
      </c>
      <c r="D58" s="1537" t="s">
        <v>2763</v>
      </c>
      <c r="E58" s="758" t="s">
        <v>2764</v>
      </c>
      <c r="F58" s="2332" t="s">
        <v>2780</v>
      </c>
      <c r="G58" s="1537" t="s">
        <v>754</v>
      </c>
      <c r="H58" s="2333" t="s">
        <v>2766</v>
      </c>
      <c r="I58" s="1537"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52" x14ac:dyDescent="0.2">
      <c r="A59" s="2331" t="s">
        <v>2781</v>
      </c>
      <c r="B59" s="2334" t="str">
        <f>估价对象房地状况!C17</f>
        <v>估价对象位于XX商圈，周边办公楼项目较多，入驻率高，办公集聚程度较好</v>
      </c>
      <c r="C59" s="2236"/>
      <c r="D59" s="1196">
        <f t="shared" ref="D59:D67" si="16">SUMIF($J$58:$N$58,C59,J59:N59)</f>
        <v>0</v>
      </c>
      <c r="E59" s="760">
        <f>ROUND(SUM(D59:D67),4)</f>
        <v>0</v>
      </c>
      <c r="F59" s="2002" t="str">
        <f>IF(E2="办公",SUMIF(L1:L12,G2,N1:N12),"——")</f>
        <v>——</v>
      </c>
      <c r="G59" s="1194" t="str">
        <f>H59</f>
        <v>——</v>
      </c>
      <c r="H59" s="1198" t="str">
        <f t="shared" ref="H59:H67" si="17">IFERROR(ROUNDDOWN($F$59*I59/2,4),"——")</f>
        <v>——</v>
      </c>
      <c r="I59" s="759">
        <v>0.24</v>
      </c>
      <c r="J59" s="1195" t="e">
        <f t="shared" ref="J59:J67" si="18">K59+$G59</f>
        <v>#VALUE!</v>
      </c>
      <c r="K59" s="1195" t="e">
        <f t="shared" ref="K59:K67" si="19">$L59+$G59</f>
        <v>#VALUE!</v>
      </c>
      <c r="L59" s="1195">
        <v>0</v>
      </c>
      <c r="M59" s="1195" t="e">
        <f t="shared" ref="M59:N67" si="20">L59-$G59</f>
        <v>#VALUE!</v>
      </c>
      <c r="N59" s="1195" t="e">
        <f t="shared" si="20"/>
        <v>#VALUE!</v>
      </c>
      <c r="AA59" s="1281"/>
      <c r="AB59" s="1281"/>
      <c r="AC59" s="1281"/>
      <c r="AD59" s="1281"/>
      <c r="AE59" s="1281"/>
      <c r="AF59" s="1281"/>
      <c r="AG59" s="1281"/>
      <c r="AH59" s="1281"/>
      <c r="AI59" s="1281"/>
      <c r="AJ59" s="1281"/>
      <c r="AK59" s="1281"/>
    </row>
    <row r="60" spans="1:37" s="1280" customFormat="1" ht="52" x14ac:dyDescent="0.2">
      <c r="A60" s="2331" t="s">
        <v>2769</v>
      </c>
      <c r="B60" s="2335" t="str">
        <f>估价对象房地状况!C18</f>
        <v>估价对象周边道路状况、公共交通通达情况、停车便捷程度，综合评价交通便捷度较好</v>
      </c>
      <c r="C60" s="2236"/>
      <c r="D60" s="1196">
        <f t="shared" si="16"/>
        <v>0</v>
      </c>
      <c r="E60" s="761"/>
      <c r="F60" s="2002"/>
      <c r="G60" s="1194" t="str">
        <f t="shared" ref="G60:G67" si="21">H60</f>
        <v>——</v>
      </c>
      <c r="H60" s="1198" t="str">
        <f t="shared" si="17"/>
        <v>——</v>
      </c>
      <c r="I60" s="759">
        <v>0.3</v>
      </c>
      <c r="J60" s="1195" t="e">
        <f t="shared" si="18"/>
        <v>#VALUE!</v>
      </c>
      <c r="K60" s="1195" t="e">
        <f t="shared" si="19"/>
        <v>#VALUE!</v>
      </c>
      <c r="L60" s="1195">
        <v>0</v>
      </c>
      <c r="M60" s="1195" t="e">
        <f t="shared" si="20"/>
        <v>#VALUE!</v>
      </c>
      <c r="N60" s="1195" t="e">
        <f t="shared" si="20"/>
        <v>#VALUE!</v>
      </c>
      <c r="AA60" s="1281"/>
      <c r="AB60" s="1281"/>
      <c r="AC60" s="1281"/>
      <c r="AD60" s="1281"/>
      <c r="AE60" s="1281"/>
      <c r="AF60" s="1281"/>
      <c r="AG60" s="1281"/>
      <c r="AH60" s="1281"/>
      <c r="AI60" s="1281"/>
      <c r="AJ60" s="1281"/>
      <c r="AK60" s="1281"/>
    </row>
    <row r="61" spans="1:37" s="1280" customFormat="1" ht="28" x14ac:dyDescent="0.2">
      <c r="A61" s="2331" t="s">
        <v>2770</v>
      </c>
      <c r="B61" s="2335">
        <f>估价对象房地状况!C19</f>
        <v>0</v>
      </c>
      <c r="C61" s="2236"/>
      <c r="D61" s="1196">
        <f t="shared" si="16"/>
        <v>0</v>
      </c>
      <c r="E61" s="761"/>
      <c r="F61" s="2002"/>
      <c r="G61" s="1194" t="str">
        <f t="shared" si="21"/>
        <v>——</v>
      </c>
      <c r="H61" s="1198" t="str">
        <f t="shared" si="17"/>
        <v>——</v>
      </c>
      <c r="I61" s="759">
        <v>0.08</v>
      </c>
      <c r="J61" s="1195" t="e">
        <f t="shared" si="18"/>
        <v>#VALUE!</v>
      </c>
      <c r="K61" s="1195" t="e">
        <f t="shared" si="19"/>
        <v>#VALUE!</v>
      </c>
      <c r="L61" s="1195">
        <v>0</v>
      </c>
      <c r="M61" s="1195" t="e">
        <f t="shared" si="20"/>
        <v>#VALUE!</v>
      </c>
      <c r="N61" s="1195" t="e">
        <f t="shared" si="20"/>
        <v>#VALUE!</v>
      </c>
      <c r="AA61" s="1281"/>
      <c r="AB61" s="1281"/>
      <c r="AC61" s="1281"/>
      <c r="AD61" s="1281"/>
      <c r="AE61" s="1281"/>
      <c r="AF61" s="1281"/>
      <c r="AG61" s="1281"/>
      <c r="AH61" s="1281"/>
      <c r="AI61" s="1281"/>
      <c r="AJ61" s="1281"/>
      <c r="AK61" s="1281"/>
    </row>
    <row r="62" spans="1:37" s="1280" customFormat="1" ht="42" x14ac:dyDescent="0.2">
      <c r="A62" s="2331" t="s">
        <v>2771</v>
      </c>
      <c r="B62" s="2336" t="s">
        <v>2772</v>
      </c>
      <c r="C62" s="2236"/>
      <c r="D62" s="1196">
        <f t="shared" si="16"/>
        <v>0</v>
      </c>
      <c r="E62" s="761"/>
      <c r="F62" s="2002"/>
      <c r="G62" s="1194" t="str">
        <f t="shared" si="21"/>
        <v>——</v>
      </c>
      <c r="H62" s="1198" t="str">
        <f t="shared" si="17"/>
        <v>——</v>
      </c>
      <c r="I62" s="759">
        <v>0.04</v>
      </c>
      <c r="J62" s="1195" t="e">
        <f t="shared" si="18"/>
        <v>#VALUE!</v>
      </c>
      <c r="K62" s="1195" t="e">
        <f t="shared" si="19"/>
        <v>#VALUE!</v>
      </c>
      <c r="L62" s="1195">
        <v>0</v>
      </c>
      <c r="M62" s="1195" t="e">
        <f t="shared" si="20"/>
        <v>#VALUE!</v>
      </c>
      <c r="N62" s="1195" t="e">
        <f t="shared" si="20"/>
        <v>#VALUE!</v>
      </c>
      <c r="AA62" s="1281"/>
      <c r="AB62" s="1281"/>
      <c r="AC62" s="1281"/>
      <c r="AD62" s="1281"/>
      <c r="AE62" s="1281"/>
      <c r="AF62" s="1281"/>
      <c r="AG62" s="1281"/>
      <c r="AH62" s="1281"/>
      <c r="AI62" s="1281"/>
      <c r="AJ62" s="1281"/>
      <c r="AK62" s="1281"/>
    </row>
    <row r="63" spans="1:37" s="1280" customFormat="1" ht="28" x14ac:dyDescent="0.2">
      <c r="A63" s="2331" t="s">
        <v>2773</v>
      </c>
      <c r="B63" s="2335">
        <f>估价对象房地状况!C24</f>
        <v>0</v>
      </c>
      <c r="C63" s="2236"/>
      <c r="D63" s="1196">
        <f t="shared" si="16"/>
        <v>0</v>
      </c>
      <c r="E63" s="761"/>
      <c r="F63" s="2002"/>
      <c r="G63" s="1194" t="str">
        <f t="shared" si="21"/>
        <v>——</v>
      </c>
      <c r="H63" s="1198" t="str">
        <f t="shared" si="17"/>
        <v>——</v>
      </c>
      <c r="I63" s="759">
        <v>0.05</v>
      </c>
      <c r="J63" s="1195" t="e">
        <f t="shared" si="18"/>
        <v>#VALUE!</v>
      </c>
      <c r="K63" s="1195" t="e">
        <f t="shared" si="19"/>
        <v>#VALUE!</v>
      </c>
      <c r="L63" s="1195">
        <v>0</v>
      </c>
      <c r="M63" s="1195" t="e">
        <f t="shared" si="20"/>
        <v>#VALUE!</v>
      </c>
      <c r="N63" s="1195" t="e">
        <f t="shared" si="20"/>
        <v>#VALUE!</v>
      </c>
      <c r="AA63" s="1281"/>
      <c r="AB63" s="1281"/>
      <c r="AC63" s="1281"/>
      <c r="AD63" s="1281"/>
      <c r="AE63" s="1281"/>
      <c r="AF63" s="1281"/>
      <c r="AG63" s="1281"/>
      <c r="AH63" s="1281"/>
      <c r="AI63" s="1281"/>
      <c r="AJ63" s="1281"/>
      <c r="AK63" s="1281"/>
    </row>
    <row r="64" spans="1:37" s="1280" customFormat="1" ht="28" x14ac:dyDescent="0.2">
      <c r="A64" s="2331" t="s">
        <v>2774</v>
      </c>
      <c r="B64" s="2337" t="s">
        <v>2775</v>
      </c>
      <c r="C64" s="2236"/>
      <c r="D64" s="1196">
        <f t="shared" si="16"/>
        <v>0</v>
      </c>
      <c r="E64" s="761"/>
      <c r="F64" s="2002"/>
      <c r="G64" s="1194" t="str">
        <f t="shared" si="21"/>
        <v>——</v>
      </c>
      <c r="H64" s="1198" t="str">
        <f t="shared" si="17"/>
        <v>——</v>
      </c>
      <c r="I64" s="759">
        <v>0.05</v>
      </c>
      <c r="J64" s="1195" t="e">
        <f t="shared" si="18"/>
        <v>#VALUE!</v>
      </c>
      <c r="K64" s="1195" t="e">
        <f t="shared" si="19"/>
        <v>#VALUE!</v>
      </c>
      <c r="L64" s="1195">
        <v>0</v>
      </c>
      <c r="M64" s="1195" t="e">
        <f t="shared" si="20"/>
        <v>#VALUE!</v>
      </c>
      <c r="N64" s="1195" t="e">
        <f t="shared" si="20"/>
        <v>#VALUE!</v>
      </c>
      <c r="AA64" s="1281"/>
      <c r="AB64" s="1281"/>
      <c r="AC64" s="1281"/>
      <c r="AD64" s="1281"/>
      <c r="AE64" s="1281"/>
      <c r="AF64" s="1281"/>
      <c r="AG64" s="1281"/>
      <c r="AH64" s="1281"/>
      <c r="AI64" s="1281"/>
      <c r="AJ64" s="1281"/>
      <c r="AK64" s="1281"/>
    </row>
    <row r="65" spans="1:37" s="1280" customFormat="1" ht="28" x14ac:dyDescent="0.2">
      <c r="A65" s="2331" t="s">
        <v>2776</v>
      </c>
      <c r="B65" s="1496" t="str">
        <f>估价对象房地状况!C21</f>
        <v>估价对象所在区域公共配套设施齐备情况</v>
      </c>
      <c r="C65" s="2236"/>
      <c r="D65" s="1196">
        <f t="shared" si="16"/>
        <v>0</v>
      </c>
      <c r="E65" s="761"/>
      <c r="F65" s="2002"/>
      <c r="G65" s="1194" t="str">
        <f t="shared" si="21"/>
        <v>——</v>
      </c>
      <c r="H65" s="1198" t="str">
        <f t="shared" si="17"/>
        <v>——</v>
      </c>
      <c r="I65" s="759">
        <v>0.06</v>
      </c>
      <c r="J65" s="1195" t="e">
        <f t="shared" si="18"/>
        <v>#VALUE!</v>
      </c>
      <c r="K65" s="1195" t="e">
        <f t="shared" si="19"/>
        <v>#VALUE!</v>
      </c>
      <c r="L65" s="1195">
        <v>0</v>
      </c>
      <c r="M65" s="1195" t="e">
        <f t="shared" si="20"/>
        <v>#VALUE!</v>
      </c>
      <c r="N65" s="1195" t="e">
        <f t="shared" si="20"/>
        <v>#VALUE!</v>
      </c>
      <c r="AA65" s="1281"/>
      <c r="AB65" s="1281"/>
      <c r="AC65" s="1281"/>
      <c r="AD65" s="1281"/>
      <c r="AE65" s="1281"/>
      <c r="AF65" s="1281"/>
      <c r="AG65" s="1281"/>
      <c r="AH65" s="1281"/>
      <c r="AI65" s="1281"/>
      <c r="AJ65" s="1281"/>
      <c r="AK65" s="1281"/>
    </row>
    <row r="66" spans="1:37" s="1280" customFormat="1" ht="28" x14ac:dyDescent="0.2">
      <c r="A66" s="2331" t="s">
        <v>2777</v>
      </c>
      <c r="B66" s="1496" t="str">
        <f>估价对象房地状况!C22</f>
        <v>估价对象所在区域基础设施水平</v>
      </c>
      <c r="C66" s="2236"/>
      <c r="D66" s="1196">
        <f t="shared" si="16"/>
        <v>0</v>
      </c>
      <c r="E66" s="761"/>
      <c r="F66" s="2002"/>
      <c r="G66" s="1194" t="str">
        <f t="shared" si="21"/>
        <v>——</v>
      </c>
      <c r="H66" s="1198" t="str">
        <f t="shared" si="17"/>
        <v>——</v>
      </c>
      <c r="I66" s="759">
        <v>0.12</v>
      </c>
      <c r="J66" s="1195" t="e">
        <f t="shared" si="18"/>
        <v>#VALUE!</v>
      </c>
      <c r="K66" s="1195" t="e">
        <f t="shared" si="19"/>
        <v>#VALUE!</v>
      </c>
      <c r="L66" s="1195">
        <v>0</v>
      </c>
      <c r="M66" s="1195" t="e">
        <f t="shared" si="20"/>
        <v>#VALUE!</v>
      </c>
      <c r="N66" s="1195" t="e">
        <f t="shared" si="20"/>
        <v>#VALUE!</v>
      </c>
      <c r="AA66" s="1281"/>
      <c r="AB66" s="1281"/>
      <c r="AC66" s="1281"/>
      <c r="AD66" s="1281"/>
      <c r="AE66" s="1281"/>
      <c r="AF66" s="1281"/>
      <c r="AG66" s="1281"/>
      <c r="AH66" s="1281"/>
      <c r="AI66" s="1281"/>
      <c r="AJ66" s="1281"/>
      <c r="AK66" s="1281"/>
    </row>
    <row r="67" spans="1:37" s="1280" customFormat="1" ht="40" thickBot="1" x14ac:dyDescent="0.25">
      <c r="A67" s="2339" t="s">
        <v>2778</v>
      </c>
      <c r="B67" s="2341" t="str">
        <f>估价对象房地状况!C20</f>
        <v>区域自然环境：；人文环境；综合评价环境状况一般</v>
      </c>
      <c r="C67" s="2236"/>
      <c r="D67" s="1196">
        <f t="shared" si="16"/>
        <v>0</v>
      </c>
      <c r="E67" s="764"/>
      <c r="F67" s="2002"/>
      <c r="G67" s="1194" t="str">
        <f t="shared" si="21"/>
        <v>——</v>
      </c>
      <c r="H67" s="1198" t="str">
        <f t="shared" si="17"/>
        <v>——</v>
      </c>
      <c r="I67" s="763">
        <v>0.06</v>
      </c>
      <c r="J67" s="1195" t="e">
        <f t="shared" si="18"/>
        <v>#VALUE!</v>
      </c>
      <c r="K67" s="1195" t="e">
        <f t="shared" si="19"/>
        <v>#VALUE!</v>
      </c>
      <c r="L67" s="1195">
        <v>0</v>
      </c>
      <c r="M67" s="1195" t="e">
        <f t="shared" si="20"/>
        <v>#VALUE!</v>
      </c>
      <c r="N67" s="1195" t="e">
        <f t="shared" si="20"/>
        <v>#VALUE!</v>
      </c>
      <c r="AA67" s="1281"/>
      <c r="AB67" s="1281"/>
      <c r="AC67" s="1281"/>
      <c r="AD67" s="1281"/>
      <c r="AE67" s="1281"/>
      <c r="AF67" s="1281"/>
      <c r="AG67" s="1281"/>
      <c r="AH67" s="1281"/>
      <c r="AI67" s="1281"/>
      <c r="AJ67" s="1281"/>
      <c r="AK67" s="1281"/>
    </row>
    <row r="68" spans="1:37" s="1280" customFormat="1" ht="14" x14ac:dyDescent="0.2">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8" x14ac:dyDescent="0.2">
      <c r="A69" s="2331" t="s">
        <v>2760</v>
      </c>
      <c r="B69" s="1537"/>
      <c r="C69" s="1537" t="s">
        <v>2762</v>
      </c>
      <c r="D69" s="1537" t="s">
        <v>2763</v>
      </c>
      <c r="E69" s="758" t="s">
        <v>2764</v>
      </c>
      <c r="F69" s="2332" t="s">
        <v>2780</v>
      </c>
      <c r="G69" s="1537" t="s">
        <v>754</v>
      </c>
      <c r="H69" s="2333" t="s">
        <v>2766</v>
      </c>
      <c r="I69" s="1537"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2" x14ac:dyDescent="0.2">
      <c r="A70" s="2331" t="s">
        <v>2783</v>
      </c>
      <c r="B70" s="2334" t="str">
        <f>估价对象房地状况!C15</f>
        <v>估价对象周边居住用地比例、居住小区规模和社区发展完善程度，综合评价居住社区成熟度一般</v>
      </c>
      <c r="C70" s="2236"/>
      <c r="D70" s="1196">
        <f t="shared" ref="D70:D78" si="22">SUMIF($J$69:$N$69,C70,J70:N70)</f>
        <v>0</v>
      </c>
      <c r="E70" s="760">
        <f>ROUND(SUM(D70:D78),4)</f>
        <v>0</v>
      </c>
      <c r="F70" s="2002" t="str">
        <f>IF(E2="住宅",SUMIF(L1:L12,G2,N1:N12),"——")</f>
        <v>——</v>
      </c>
      <c r="G70" s="1194"/>
      <c r="H70" s="1198" t="str">
        <f t="shared" ref="H70:H78" si="23">IFERROR(ROUNDDOWN($F$70*I70/2,4),"——")</f>
        <v>——</v>
      </c>
      <c r="I70" s="759">
        <v>0.14000000000000001</v>
      </c>
      <c r="J70" s="1195">
        <f t="shared" ref="J70:J78" si="24">K70+$G70</f>
        <v>0</v>
      </c>
      <c r="K70" s="1195">
        <f t="shared" ref="K70:K78" si="25">$L70+$G70</f>
        <v>0</v>
      </c>
      <c r="L70" s="1195">
        <v>0</v>
      </c>
      <c r="M70" s="1195">
        <f t="shared" ref="M70:N78" si="26">L70-$G70</f>
        <v>0</v>
      </c>
      <c r="N70" s="1195">
        <f t="shared" si="26"/>
        <v>0</v>
      </c>
      <c r="AA70" s="1281"/>
      <c r="AB70" s="1281"/>
      <c r="AC70" s="1281"/>
      <c r="AD70" s="1281"/>
      <c r="AE70" s="1281"/>
      <c r="AF70" s="1281"/>
      <c r="AG70" s="1281"/>
      <c r="AH70" s="1281"/>
      <c r="AI70" s="1281"/>
      <c r="AJ70" s="1281"/>
      <c r="AK70" s="1281"/>
    </row>
    <row r="71" spans="1:37" s="1280" customFormat="1" ht="52" x14ac:dyDescent="0.2">
      <c r="A71" s="2331" t="s">
        <v>2769</v>
      </c>
      <c r="B71" s="2335" t="str">
        <f>估价对象房地状况!C18</f>
        <v>估价对象周边道路状况、公共交通通达情况、停车便捷程度，综合评价交通便捷度较好</v>
      </c>
      <c r="C71" s="2236"/>
      <c r="D71" s="1196">
        <f t="shared" si="22"/>
        <v>0</v>
      </c>
      <c r="E71" s="765"/>
      <c r="F71" s="2002"/>
      <c r="G71" s="1194"/>
      <c r="H71" s="1198" t="str">
        <f t="shared" si="23"/>
        <v>——</v>
      </c>
      <c r="I71" s="759">
        <v>0.3</v>
      </c>
      <c r="J71" s="1195">
        <f t="shared" si="24"/>
        <v>0</v>
      </c>
      <c r="K71" s="1195">
        <f t="shared" si="25"/>
        <v>0</v>
      </c>
      <c r="L71" s="1195">
        <v>0</v>
      </c>
      <c r="M71" s="1195">
        <f t="shared" si="26"/>
        <v>0</v>
      </c>
      <c r="N71" s="1195">
        <f t="shared" si="26"/>
        <v>0</v>
      </c>
      <c r="AA71" s="1281"/>
      <c r="AB71" s="1281"/>
      <c r="AC71" s="1281"/>
      <c r="AD71" s="1281"/>
      <c r="AE71" s="1281"/>
      <c r="AF71" s="1281"/>
      <c r="AG71" s="1281"/>
      <c r="AH71" s="1281"/>
      <c r="AI71" s="1281"/>
      <c r="AJ71" s="1281"/>
      <c r="AK71" s="1281"/>
    </row>
    <row r="72" spans="1:37" s="1280" customFormat="1" ht="28" x14ac:dyDescent="0.2">
      <c r="A72" s="2331" t="s">
        <v>2770</v>
      </c>
      <c r="B72" s="2335">
        <f>估价对象房地状况!C19</f>
        <v>0</v>
      </c>
      <c r="C72" s="2236"/>
      <c r="D72" s="1196">
        <f t="shared" si="22"/>
        <v>0</v>
      </c>
      <c r="E72" s="765"/>
      <c r="F72" s="2002"/>
      <c r="G72" s="1194"/>
      <c r="H72" s="1198" t="str">
        <f t="shared" si="23"/>
        <v>——</v>
      </c>
      <c r="I72" s="759">
        <v>0.08</v>
      </c>
      <c r="J72" s="1195">
        <f t="shared" si="24"/>
        <v>0</v>
      </c>
      <c r="K72" s="1195">
        <f t="shared" si="25"/>
        <v>0</v>
      </c>
      <c r="L72" s="1195">
        <v>0</v>
      </c>
      <c r="M72" s="1195">
        <f t="shared" si="26"/>
        <v>0</v>
      </c>
      <c r="N72" s="1195">
        <f t="shared" si="26"/>
        <v>0</v>
      </c>
      <c r="AA72" s="1281"/>
      <c r="AB72" s="1281"/>
      <c r="AC72" s="1281"/>
      <c r="AD72" s="1281"/>
      <c r="AE72" s="1281"/>
      <c r="AF72" s="1281"/>
      <c r="AG72" s="1281"/>
      <c r="AH72" s="1281"/>
      <c r="AI72" s="1281"/>
      <c r="AJ72" s="1281"/>
      <c r="AK72" s="1281"/>
    </row>
    <row r="73" spans="1:37" s="1280" customFormat="1" ht="14" x14ac:dyDescent="0.2">
      <c r="A73" s="2331" t="s">
        <v>2784</v>
      </c>
      <c r="B73" s="2335">
        <f>估价对象房地状况!C24</f>
        <v>0</v>
      </c>
      <c r="C73" s="2236"/>
      <c r="D73" s="1196">
        <f t="shared" si="22"/>
        <v>0</v>
      </c>
      <c r="E73" s="765"/>
      <c r="F73" s="2002"/>
      <c r="G73" s="1194"/>
      <c r="H73" s="1198" t="str">
        <f t="shared" si="23"/>
        <v>——</v>
      </c>
      <c r="I73" s="759">
        <v>0.04</v>
      </c>
      <c r="J73" s="1195">
        <f t="shared" si="24"/>
        <v>0</v>
      </c>
      <c r="K73" s="1195">
        <f t="shared" si="25"/>
        <v>0</v>
      </c>
      <c r="L73" s="1195">
        <v>0</v>
      </c>
      <c r="M73" s="1195">
        <f t="shared" si="26"/>
        <v>0</v>
      </c>
      <c r="N73" s="1195">
        <f t="shared" si="26"/>
        <v>0</v>
      </c>
      <c r="AA73" s="1281"/>
      <c r="AB73" s="1281"/>
      <c r="AC73" s="1281"/>
      <c r="AD73" s="1281"/>
      <c r="AE73" s="1281"/>
      <c r="AF73" s="1281"/>
      <c r="AG73" s="1281"/>
      <c r="AH73" s="1281"/>
      <c r="AI73" s="1281"/>
      <c r="AJ73" s="1281"/>
      <c r="AK73" s="1281"/>
    </row>
    <row r="74" spans="1:37" s="1280" customFormat="1" ht="28" x14ac:dyDescent="0.2">
      <c r="A74" s="2331" t="s">
        <v>2776</v>
      </c>
      <c r="B74" s="1496" t="str">
        <f>估价对象房地状况!C21</f>
        <v>估价对象所在区域公共配套设施齐备情况</v>
      </c>
      <c r="C74" s="2236"/>
      <c r="D74" s="1196">
        <f t="shared" si="22"/>
        <v>0</v>
      </c>
      <c r="E74" s="765"/>
      <c r="F74" s="2002"/>
      <c r="G74" s="1194"/>
      <c r="H74" s="1198" t="str">
        <f t="shared" si="23"/>
        <v>——</v>
      </c>
      <c r="I74" s="759">
        <v>0.08</v>
      </c>
      <c r="J74" s="1195">
        <f t="shared" si="24"/>
        <v>0</v>
      </c>
      <c r="K74" s="1195">
        <f t="shared" si="25"/>
        <v>0</v>
      </c>
      <c r="L74" s="1195">
        <v>0</v>
      </c>
      <c r="M74" s="1195">
        <f t="shared" si="26"/>
        <v>0</v>
      </c>
      <c r="N74" s="1195">
        <f t="shared" si="26"/>
        <v>0</v>
      </c>
      <c r="AA74" s="1281"/>
      <c r="AB74" s="1281"/>
      <c r="AC74" s="1281"/>
      <c r="AD74" s="1281"/>
      <c r="AE74" s="1281"/>
      <c r="AF74" s="1281"/>
      <c r="AG74" s="1281"/>
      <c r="AH74" s="1281"/>
      <c r="AI74" s="1281"/>
      <c r="AJ74" s="1281"/>
      <c r="AK74" s="1281"/>
    </row>
    <row r="75" spans="1:37" s="1280" customFormat="1" ht="28" x14ac:dyDescent="0.2">
      <c r="A75" s="2331" t="s">
        <v>2777</v>
      </c>
      <c r="B75" s="1496" t="str">
        <f>估价对象房地状况!C22</f>
        <v>估价对象所在区域基础设施水平</v>
      </c>
      <c r="C75" s="2236"/>
      <c r="D75" s="1196">
        <f t="shared" si="22"/>
        <v>0</v>
      </c>
      <c r="E75" s="765"/>
      <c r="F75" s="2002"/>
      <c r="G75" s="1194"/>
      <c r="H75" s="1198" t="str">
        <f t="shared" si="23"/>
        <v>——</v>
      </c>
      <c r="I75" s="759">
        <v>0.12</v>
      </c>
      <c r="J75" s="1195">
        <f t="shared" si="24"/>
        <v>0</v>
      </c>
      <c r="K75" s="1195">
        <f t="shared" si="25"/>
        <v>0</v>
      </c>
      <c r="L75" s="1195">
        <v>0</v>
      </c>
      <c r="M75" s="1195">
        <f t="shared" si="26"/>
        <v>0</v>
      </c>
      <c r="N75" s="1195">
        <f t="shared" si="26"/>
        <v>0</v>
      </c>
      <c r="AA75" s="1281"/>
      <c r="AB75" s="1281"/>
      <c r="AC75" s="1281"/>
      <c r="AD75" s="1281"/>
      <c r="AE75" s="1281"/>
      <c r="AF75" s="1281"/>
      <c r="AG75" s="1281"/>
      <c r="AH75" s="1281"/>
      <c r="AI75" s="1281"/>
      <c r="AJ75" s="1281"/>
      <c r="AK75" s="1281"/>
    </row>
    <row r="76" spans="1:37" s="2185" customFormat="1" ht="28" x14ac:dyDescent="0.2">
      <c r="A76" s="2331" t="s">
        <v>2774</v>
      </c>
      <c r="B76" s="2337" t="s">
        <v>2775</v>
      </c>
      <c r="C76" s="2236"/>
      <c r="D76" s="1196">
        <f t="shared" si="22"/>
        <v>0</v>
      </c>
      <c r="E76" s="765"/>
      <c r="F76" s="2002"/>
      <c r="G76" s="1194"/>
      <c r="H76" s="1198" t="str">
        <f t="shared" si="23"/>
        <v>——</v>
      </c>
      <c r="I76" s="759">
        <v>0.05</v>
      </c>
      <c r="J76" s="1195">
        <f t="shared" si="24"/>
        <v>0</v>
      </c>
      <c r="K76" s="1195">
        <f t="shared" si="25"/>
        <v>0</v>
      </c>
      <c r="L76" s="1195">
        <v>0</v>
      </c>
      <c r="M76" s="1195">
        <f t="shared" si="26"/>
        <v>0</v>
      </c>
      <c r="N76" s="1195">
        <f t="shared" si="26"/>
        <v>0</v>
      </c>
      <c r="AA76" s="2342"/>
      <c r="AB76" s="1281"/>
      <c r="AC76" s="1281"/>
      <c r="AD76" s="1281"/>
      <c r="AE76" s="1281"/>
      <c r="AF76" s="1281"/>
      <c r="AG76" s="1281"/>
      <c r="AH76" s="2342"/>
      <c r="AI76" s="2342"/>
      <c r="AJ76" s="2342"/>
      <c r="AK76" s="2342"/>
    </row>
    <row r="77" spans="1:37" ht="39" x14ac:dyDescent="0.2">
      <c r="A77" s="2331" t="s">
        <v>2778</v>
      </c>
      <c r="B77" s="2334" t="str">
        <f>估价对象房地状况!C20</f>
        <v>区域自然环境：；人文环境；综合评价环境状况一般</v>
      </c>
      <c r="C77" s="2236"/>
      <c r="D77" s="1196">
        <f t="shared" si="22"/>
        <v>0</v>
      </c>
      <c r="E77" s="765"/>
      <c r="F77" s="2002"/>
      <c r="G77" s="1194"/>
      <c r="H77" s="1198" t="str">
        <f t="shared" si="23"/>
        <v>——</v>
      </c>
      <c r="I77" s="759">
        <v>0.15</v>
      </c>
      <c r="J77" s="1195">
        <f t="shared" si="24"/>
        <v>0</v>
      </c>
      <c r="K77" s="1195">
        <f t="shared" si="25"/>
        <v>0</v>
      </c>
      <c r="L77" s="1195">
        <v>0</v>
      </c>
      <c r="M77" s="1195">
        <f t="shared" si="26"/>
        <v>0</v>
      </c>
      <c r="N77" s="1195">
        <f t="shared" si="26"/>
        <v>0</v>
      </c>
      <c r="Z77" s="2186"/>
      <c r="AA77" s="2252"/>
      <c r="AG77" s="1282"/>
      <c r="AK77" s="2252"/>
    </row>
    <row r="78" spans="1:37" ht="29" thickBot="1" x14ac:dyDescent="0.25">
      <c r="A78" s="2339" t="s">
        <v>2785</v>
      </c>
      <c r="B78" s="2343"/>
      <c r="C78" s="2236"/>
      <c r="D78" s="1196">
        <f t="shared" si="22"/>
        <v>0</v>
      </c>
      <c r="E78" s="766"/>
      <c r="F78" s="2002"/>
      <c r="G78" s="1194"/>
      <c r="H78" s="1198" t="str">
        <f t="shared" si="23"/>
        <v>——</v>
      </c>
      <c r="I78" s="763">
        <v>0.04</v>
      </c>
      <c r="J78" s="1195">
        <f t="shared" si="24"/>
        <v>0</v>
      </c>
      <c r="K78" s="1195">
        <f t="shared" si="25"/>
        <v>0</v>
      </c>
      <c r="L78" s="1195">
        <v>0</v>
      </c>
      <c r="M78" s="1195">
        <f t="shared" si="26"/>
        <v>0</v>
      </c>
      <c r="N78" s="1195">
        <f t="shared" si="26"/>
        <v>0</v>
      </c>
      <c r="Z78" s="2186"/>
      <c r="AA78" s="2252"/>
      <c r="AG78" s="1282"/>
      <c r="AK78" s="2252"/>
    </row>
    <row r="79" spans="1:37" ht="14" x14ac:dyDescent="0.2">
      <c r="A79" s="2327" t="s">
        <v>2786</v>
      </c>
      <c r="B79" s="2328">
        <f>1+E81</f>
        <v>1</v>
      </c>
      <c r="C79" s="753"/>
      <c r="D79" s="753"/>
      <c r="E79" s="754"/>
      <c r="F79" s="2330"/>
      <c r="G79" s="6"/>
      <c r="H79" s="6"/>
      <c r="I79" s="6"/>
      <c r="J79" s="7"/>
      <c r="K79" s="7"/>
      <c r="L79" s="7"/>
      <c r="M79" s="7"/>
      <c r="N79" s="7"/>
      <c r="Z79" s="2186"/>
      <c r="AA79" s="2252"/>
      <c r="AG79" s="1282"/>
      <c r="AK79" s="2252"/>
    </row>
    <row r="80" spans="1:37" ht="28" x14ac:dyDescent="0.2">
      <c r="A80" s="2331" t="s">
        <v>2760</v>
      </c>
      <c r="B80" s="1537"/>
      <c r="C80" s="1537" t="s">
        <v>2762</v>
      </c>
      <c r="D80" s="1537" t="s">
        <v>2763</v>
      </c>
      <c r="E80" s="758" t="s">
        <v>2764</v>
      </c>
      <c r="F80" s="2332" t="s">
        <v>2780</v>
      </c>
      <c r="G80" s="1537" t="s">
        <v>754</v>
      </c>
      <c r="H80" s="2333" t="s">
        <v>2766</v>
      </c>
      <c r="I80" s="1537" t="s">
        <v>2767</v>
      </c>
      <c r="J80" s="560" t="s">
        <v>2418</v>
      </c>
      <c r="K80" s="560" t="s">
        <v>2419</v>
      </c>
      <c r="L80" s="560" t="s">
        <v>2420</v>
      </c>
      <c r="M80" s="560" t="s">
        <v>2421</v>
      </c>
      <c r="N80" s="560" t="s">
        <v>2422</v>
      </c>
      <c r="Z80" s="2186"/>
      <c r="AA80" s="2252"/>
      <c r="AG80" s="1282"/>
      <c r="AK80" s="2252"/>
    </row>
    <row r="81" spans="1:37" ht="39" x14ac:dyDescent="0.2">
      <c r="A81" s="2331" t="s">
        <v>2787</v>
      </c>
      <c r="B81" s="2335" t="str">
        <f>估价对象房地状况!G15</f>
        <v>估价对象位于XX开发区，园区建设成熟度XX，产业集聚程度XX</v>
      </c>
      <c r="C81" s="2236"/>
      <c r="D81" s="1196">
        <f t="shared" ref="D81:D88" si="27">SUMIF($J$80:$N$80,C81,J81:N81)</f>
        <v>0</v>
      </c>
      <c r="E81" s="760">
        <f>ROUND(SUM(D81:D88),4)</f>
        <v>0</v>
      </c>
      <c r="F81" s="2002" t="str">
        <f>IF(E2="工业",SUMIF(L1:L12,G2,N1:N12),"——")</f>
        <v>——</v>
      </c>
      <c r="G81" s="1194"/>
      <c r="H81" s="1198" t="str">
        <f t="shared" ref="H81:H88" si="28">IFERROR(ROUNDDOWN($F$81*I81/2,4),"——")</f>
        <v>——</v>
      </c>
      <c r="I81" s="759">
        <v>0.26</v>
      </c>
      <c r="J81" s="1195">
        <f t="shared" ref="J81:J88" si="29">K81+$G81</f>
        <v>0</v>
      </c>
      <c r="K81" s="1195">
        <f t="shared" ref="K81:K88" si="30">$L81+$G81</f>
        <v>0</v>
      </c>
      <c r="L81" s="1195">
        <v>0</v>
      </c>
      <c r="M81" s="1195">
        <f t="shared" ref="M81:N88" si="31">L81-$G81</f>
        <v>0</v>
      </c>
      <c r="N81" s="1195">
        <f t="shared" si="31"/>
        <v>0</v>
      </c>
      <c r="Z81" s="2186"/>
      <c r="AA81" s="2252"/>
      <c r="AG81" s="1282"/>
      <c r="AK81" s="2252"/>
    </row>
    <row r="82" spans="1:37" ht="52" x14ac:dyDescent="0.2">
      <c r="A82" s="2331" t="s">
        <v>2769</v>
      </c>
      <c r="B82" s="2335" t="str">
        <f>估价对象房地状况!G16</f>
        <v>估价对象周边道路状况、公共交通通达情况、停车便捷程度，综合评价交通便捷度较好</v>
      </c>
      <c r="C82" s="2236"/>
      <c r="D82" s="1196">
        <f t="shared" si="27"/>
        <v>0</v>
      </c>
      <c r="E82" s="765"/>
      <c r="F82" s="2002"/>
      <c r="G82" s="1194"/>
      <c r="H82" s="1198" t="str">
        <f t="shared" si="28"/>
        <v>——</v>
      </c>
      <c r="I82" s="759">
        <v>0.33</v>
      </c>
      <c r="J82" s="1195">
        <f t="shared" si="29"/>
        <v>0</v>
      </c>
      <c r="K82" s="1195">
        <f t="shared" si="30"/>
        <v>0</v>
      </c>
      <c r="L82" s="1195">
        <v>0</v>
      </c>
      <c r="M82" s="1195">
        <f t="shared" si="31"/>
        <v>0</v>
      </c>
      <c r="N82" s="1195">
        <f t="shared" si="31"/>
        <v>0</v>
      </c>
      <c r="Z82" s="2186"/>
      <c r="AA82" s="2252"/>
      <c r="AG82" s="1282"/>
      <c r="AK82" s="2252"/>
    </row>
    <row r="83" spans="1:37" ht="28" x14ac:dyDescent="0.2">
      <c r="A83" s="2331" t="s">
        <v>2770</v>
      </c>
      <c r="B83" s="2335">
        <f>估价对象房地状况!G17</f>
        <v>0</v>
      </c>
      <c r="C83" s="2236"/>
      <c r="D83" s="1196">
        <f t="shared" si="27"/>
        <v>0</v>
      </c>
      <c r="E83" s="765"/>
      <c r="F83" s="2002"/>
      <c r="G83" s="1194"/>
      <c r="H83" s="1198" t="str">
        <f t="shared" si="28"/>
        <v>——</v>
      </c>
      <c r="I83" s="759">
        <v>0.05</v>
      </c>
      <c r="J83" s="1195">
        <f t="shared" si="29"/>
        <v>0</v>
      </c>
      <c r="K83" s="1195">
        <f t="shared" si="30"/>
        <v>0</v>
      </c>
      <c r="L83" s="1195">
        <v>0</v>
      </c>
      <c r="M83" s="1195">
        <f t="shared" si="31"/>
        <v>0</v>
      </c>
      <c r="N83" s="1195">
        <f t="shared" si="31"/>
        <v>0</v>
      </c>
      <c r="Z83" s="2186"/>
      <c r="AA83" s="2252"/>
      <c r="AG83" s="1282"/>
      <c r="AK83" s="2252"/>
    </row>
    <row r="84" spans="1:37" ht="14" x14ac:dyDescent="0.2">
      <c r="A84" s="2331" t="s">
        <v>2784</v>
      </c>
      <c r="B84" s="2335">
        <f>估价对象房地状况!G22</f>
        <v>0</v>
      </c>
      <c r="C84" s="2236"/>
      <c r="D84" s="1196">
        <f t="shared" si="27"/>
        <v>0</v>
      </c>
      <c r="E84" s="765"/>
      <c r="F84" s="2002"/>
      <c r="G84" s="1194"/>
      <c r="H84" s="1198" t="str">
        <f t="shared" si="28"/>
        <v>——</v>
      </c>
      <c r="I84" s="759">
        <v>0.04</v>
      </c>
      <c r="J84" s="1195">
        <f t="shared" si="29"/>
        <v>0</v>
      </c>
      <c r="K84" s="1195">
        <f t="shared" si="30"/>
        <v>0</v>
      </c>
      <c r="L84" s="1195">
        <v>0</v>
      </c>
      <c r="M84" s="1195">
        <f t="shared" si="31"/>
        <v>0</v>
      </c>
      <c r="N84" s="1195">
        <f t="shared" si="31"/>
        <v>0</v>
      </c>
      <c r="Z84" s="2186"/>
      <c r="AA84" s="2252"/>
      <c r="AG84" s="1282"/>
      <c r="AK84" s="2252"/>
    </row>
    <row r="85" spans="1:37" ht="28" x14ac:dyDescent="0.2">
      <c r="A85" s="2331" t="s">
        <v>2776</v>
      </c>
      <c r="B85" s="1496" t="str">
        <f>估价对象房地状况!G19</f>
        <v>估价对象所在区域公共配套设施齐备情况</v>
      </c>
      <c r="C85" s="2236"/>
      <c r="D85" s="1196">
        <f t="shared" si="27"/>
        <v>0</v>
      </c>
      <c r="E85" s="765"/>
      <c r="F85" s="2002"/>
      <c r="G85" s="1194"/>
      <c r="H85" s="1198" t="str">
        <f t="shared" si="28"/>
        <v>——</v>
      </c>
      <c r="I85" s="759">
        <v>0.06</v>
      </c>
      <c r="J85" s="1195">
        <f t="shared" si="29"/>
        <v>0</v>
      </c>
      <c r="K85" s="1195">
        <f t="shared" si="30"/>
        <v>0</v>
      </c>
      <c r="L85" s="1195">
        <v>0</v>
      </c>
      <c r="M85" s="1195">
        <f t="shared" si="31"/>
        <v>0</v>
      </c>
      <c r="N85" s="1195">
        <f t="shared" si="31"/>
        <v>0</v>
      </c>
      <c r="Z85" s="2186"/>
      <c r="AA85" s="2252"/>
      <c r="AG85" s="1282"/>
      <c r="AK85" s="2252"/>
    </row>
    <row r="86" spans="1:37" ht="28" x14ac:dyDescent="0.2">
      <c r="A86" s="2331" t="s">
        <v>2777</v>
      </c>
      <c r="B86" s="1496" t="str">
        <f>估价对象房地状况!G20</f>
        <v>估价对象所在区域基础设施水平</v>
      </c>
      <c r="C86" s="2236"/>
      <c r="D86" s="1196">
        <f t="shared" si="27"/>
        <v>0</v>
      </c>
      <c r="E86" s="765"/>
      <c r="F86" s="2002"/>
      <c r="G86" s="1194"/>
      <c r="H86" s="1198" t="str">
        <f t="shared" si="28"/>
        <v>——</v>
      </c>
      <c r="I86" s="759">
        <v>0.15</v>
      </c>
      <c r="J86" s="1195">
        <f t="shared" si="29"/>
        <v>0</v>
      </c>
      <c r="K86" s="1195">
        <f t="shared" si="30"/>
        <v>0</v>
      </c>
      <c r="L86" s="1195">
        <v>0</v>
      </c>
      <c r="M86" s="1195">
        <f t="shared" si="31"/>
        <v>0</v>
      </c>
      <c r="N86" s="1195">
        <f t="shared" si="31"/>
        <v>0</v>
      </c>
      <c r="Z86" s="2186"/>
      <c r="AA86" s="2252"/>
      <c r="AG86" s="1282"/>
      <c r="AK86" s="2252"/>
    </row>
    <row r="87" spans="1:37" ht="28" x14ac:dyDescent="0.2">
      <c r="A87" s="2331" t="s">
        <v>2774</v>
      </c>
      <c r="B87" s="2337" t="s">
        <v>2788</v>
      </c>
      <c r="C87" s="2236"/>
      <c r="D87" s="1196">
        <f t="shared" si="27"/>
        <v>0</v>
      </c>
      <c r="E87" s="765"/>
      <c r="F87" s="2002"/>
      <c r="G87" s="1194"/>
      <c r="H87" s="1198" t="str">
        <f t="shared" si="28"/>
        <v>——</v>
      </c>
      <c r="I87" s="759">
        <v>0.05</v>
      </c>
      <c r="J87" s="1195">
        <f t="shared" si="29"/>
        <v>0</v>
      </c>
      <c r="K87" s="1195">
        <f t="shared" si="30"/>
        <v>0</v>
      </c>
      <c r="L87" s="1195">
        <v>0</v>
      </c>
      <c r="M87" s="1195">
        <f t="shared" si="31"/>
        <v>0</v>
      </c>
      <c r="N87" s="1195">
        <f t="shared" si="31"/>
        <v>0</v>
      </c>
      <c r="Z87" s="2186"/>
      <c r="AA87" s="2252"/>
      <c r="AG87" s="1282"/>
      <c r="AK87" s="2252"/>
    </row>
    <row r="88" spans="1:37" ht="40" thickBot="1" x14ac:dyDescent="0.25">
      <c r="A88" s="2339" t="s">
        <v>2789</v>
      </c>
      <c r="B88" s="2344" t="str">
        <f>估价对象房地状况!G18</f>
        <v>该园区内是否有污染型企业，绿化情况，卫生条件，整体环境状况判断</v>
      </c>
      <c r="C88" s="2236"/>
      <c r="D88" s="1196">
        <f t="shared" si="27"/>
        <v>0</v>
      </c>
      <c r="E88" s="766"/>
      <c r="F88" s="2002"/>
      <c r="G88" s="1194"/>
      <c r="H88" s="1198" t="str">
        <f t="shared" si="28"/>
        <v>——</v>
      </c>
      <c r="I88" s="763">
        <v>0.06</v>
      </c>
      <c r="J88" s="1195">
        <f t="shared" si="29"/>
        <v>0</v>
      </c>
      <c r="K88" s="1195">
        <f t="shared" si="30"/>
        <v>0</v>
      </c>
      <c r="L88" s="1195">
        <v>0</v>
      </c>
      <c r="M88" s="1195">
        <f t="shared" si="31"/>
        <v>0</v>
      </c>
      <c r="N88" s="1195">
        <f t="shared" si="31"/>
        <v>0</v>
      </c>
      <c r="Z88" s="2186"/>
      <c r="AA88" s="2252"/>
      <c r="AG88" s="1282"/>
      <c r="AK88" s="2252"/>
    </row>
    <row r="90" spans="1:37" ht="14" x14ac:dyDescent="0.2">
      <c r="A90" s="3579" t="s">
        <v>2790</v>
      </c>
      <c r="B90" s="3579"/>
      <c r="C90" s="3579"/>
      <c r="D90" s="3579"/>
      <c r="E90" s="3579"/>
      <c r="F90" s="3579"/>
      <c r="G90" s="3579"/>
      <c r="H90" s="3579"/>
      <c r="I90" s="3579"/>
      <c r="J90" s="3579"/>
      <c r="K90" s="2345"/>
      <c r="L90" s="2345"/>
      <c r="M90" s="2345"/>
      <c r="N90" s="2345"/>
    </row>
    <row r="91" spans="1:37" ht="14" x14ac:dyDescent="0.2">
      <c r="A91" s="3581" t="s">
        <v>2791</v>
      </c>
      <c r="B91" s="3581" t="s">
        <v>2792</v>
      </c>
      <c r="C91" s="2299" t="s">
        <v>2793</v>
      </c>
      <c r="D91" s="2300"/>
      <c r="E91" s="2300"/>
      <c r="F91" s="2300"/>
      <c r="G91" s="2300"/>
      <c r="H91" s="2300"/>
      <c r="I91" s="2300"/>
      <c r="J91" s="2346"/>
      <c r="K91" s="2347"/>
      <c r="L91" s="2347"/>
      <c r="M91" s="2347"/>
      <c r="N91" s="2347"/>
    </row>
    <row r="92" spans="1:37" ht="14" x14ac:dyDescent="0.2">
      <c r="A92" s="3581"/>
      <c r="B92" s="358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x14ac:dyDescent="0.2">
      <c r="A93" s="3582"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x14ac:dyDescent="0.2">
      <c r="A94" s="358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x14ac:dyDescent="0.2">
      <c r="A95" s="358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x14ac:dyDescent="0.2">
      <c r="A96" s="358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x14ac:dyDescent="0.2">
      <c r="A97" s="358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x14ac:dyDescent="0.2">
      <c r="A98" s="358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ht="14" x14ac:dyDescent="0.2">
      <c r="A99" s="3583"/>
      <c r="B99" s="2348" t="s">
        <v>2677</v>
      </c>
      <c r="C99" s="2350">
        <f>$I$3</f>
        <v>2</v>
      </c>
      <c r="D99" s="2350">
        <f t="shared" ref="D99:M99" si="32">$I$3</f>
        <v>2</v>
      </c>
      <c r="E99" s="2350">
        <f t="shared" si="32"/>
        <v>2</v>
      </c>
      <c r="F99" s="2350">
        <f t="shared" si="32"/>
        <v>2</v>
      </c>
      <c r="G99" s="2350">
        <f t="shared" si="32"/>
        <v>2</v>
      </c>
      <c r="H99" s="2350">
        <f t="shared" si="32"/>
        <v>2</v>
      </c>
      <c r="I99" s="2350">
        <f t="shared" si="32"/>
        <v>2</v>
      </c>
      <c r="J99" s="2350">
        <f t="shared" si="32"/>
        <v>2</v>
      </c>
      <c r="K99" s="2350">
        <f t="shared" si="32"/>
        <v>2</v>
      </c>
      <c r="L99" s="2350">
        <f t="shared" si="32"/>
        <v>2</v>
      </c>
      <c r="M99" s="2350">
        <f t="shared" si="32"/>
        <v>2</v>
      </c>
      <c r="N99" s="2350">
        <f>$I$3</f>
        <v>2</v>
      </c>
    </row>
    <row r="100" spans="1:14" x14ac:dyDescent="0.2">
      <c r="A100" s="3584"/>
      <c r="B100" s="2348">
        <v>7</v>
      </c>
      <c r="C100" s="2351">
        <f>(-0.163*(C99^2)-0.59*C99+7617)*(10^(-4))</f>
        <v>0.76151679999999999</v>
      </c>
      <c r="D100" s="2351">
        <f>(-0.163*(D99^2)-0.59*D99+7617)*(10^(-4))</f>
        <v>0.76151679999999999</v>
      </c>
      <c r="E100" s="2351">
        <f>(-0.161*(E99^2)-7.509*E99+6533)*(10^(-4))</f>
        <v>0.65173380000000003</v>
      </c>
      <c r="F100" s="2351">
        <f>(-0.161*(F99^2)-7.509*F99+6533)*(10^(-4))</f>
        <v>0.65173380000000003</v>
      </c>
      <c r="G100" s="2351">
        <f>(-0.161*(G99^2)-7.509*G99+6533)*(10^(-4))</f>
        <v>0.65173380000000003</v>
      </c>
      <c r="H100" s="2351">
        <f>(-0.161*(H99^2)-7.509*H99+6533)*(10^(-4))</f>
        <v>0.65173380000000003</v>
      </c>
      <c r="I100" s="2351">
        <f>(-0.161*(I99^2)-7.509*I99+6533)*(10^(-4))</f>
        <v>0.65173380000000003</v>
      </c>
      <c r="J100" s="2351">
        <f>(-0.214*(J99^2)-21.991*J99+4665)*(10^(-4))</f>
        <v>0.46201620000000004</v>
      </c>
      <c r="K100" s="2351">
        <f>(-0.214*(K99^2)-21.991*K99+4665)*(10^(-4))</f>
        <v>0.46201620000000004</v>
      </c>
      <c r="L100" s="2351">
        <f>(-0.214*(L99^2)-21.991*L99+4665)*(10^(-4))</f>
        <v>0.46201620000000004</v>
      </c>
      <c r="M100" s="2351">
        <f>(-0.214*(M99^2)-21.991*M99+4665)*(10^(-4))</f>
        <v>0.46201620000000004</v>
      </c>
      <c r="N100" s="2351">
        <f>(-0.214*(N99^2)-21.991*N99+4665)*(10^(-4))</f>
        <v>0.46201620000000004</v>
      </c>
    </row>
    <row r="101" spans="1:14" ht="14" x14ac:dyDescent="0.2">
      <c r="A101" s="3582" t="s">
        <v>2795</v>
      </c>
      <c r="B101" s="2352" t="s">
        <v>2796</v>
      </c>
      <c r="C101" s="2353" t="e">
        <f>$G$3</f>
        <v>#DIV/0!</v>
      </c>
      <c r="D101" s="2353" t="e">
        <f t="shared" ref="D101:N101" si="33">$G$3</f>
        <v>#DIV/0!</v>
      </c>
      <c r="E101" s="2353" t="e">
        <f t="shared" si="33"/>
        <v>#DIV/0!</v>
      </c>
      <c r="F101" s="2353" t="e">
        <f t="shared" si="33"/>
        <v>#DIV/0!</v>
      </c>
      <c r="G101" s="2353" t="e">
        <f t="shared" si="33"/>
        <v>#DIV/0!</v>
      </c>
      <c r="H101" s="2353" t="e">
        <f t="shared" si="33"/>
        <v>#DIV/0!</v>
      </c>
      <c r="I101" s="2353" t="e">
        <f t="shared" si="33"/>
        <v>#DIV/0!</v>
      </c>
      <c r="J101" s="2353" t="e">
        <f t="shared" si="33"/>
        <v>#DIV/0!</v>
      </c>
      <c r="K101" s="2353" t="e">
        <f t="shared" si="33"/>
        <v>#DIV/0!</v>
      </c>
      <c r="L101" s="2353" t="e">
        <f t="shared" si="33"/>
        <v>#DIV/0!</v>
      </c>
      <c r="M101" s="2353" t="e">
        <f t="shared" si="33"/>
        <v>#DIV/0!</v>
      </c>
      <c r="N101" s="2353" t="e">
        <f t="shared" si="33"/>
        <v>#DIV/0!</v>
      </c>
    </row>
    <row r="102" spans="1:14" x14ac:dyDescent="0.2">
      <c r="A102" s="3583"/>
      <c r="B102" s="2348">
        <v>1</v>
      </c>
      <c r="C102" s="2349" t="e">
        <f>1.9362/C101</f>
        <v>#DIV/0!</v>
      </c>
      <c r="D102" s="2349" t="e">
        <f>1.9362/D101</f>
        <v>#DIV/0!</v>
      </c>
      <c r="E102" s="2349" t="e">
        <f>1.8629/E101</f>
        <v>#DIV/0!</v>
      </c>
      <c r="F102" s="2349" t="e">
        <f>1.8629/F101</f>
        <v>#DIV/0!</v>
      </c>
      <c r="G102" s="2349" t="e">
        <f>1.8629/G101</f>
        <v>#DIV/0!</v>
      </c>
      <c r="H102" s="2349" t="e">
        <f>1.8629/H101</f>
        <v>#DIV/0!</v>
      </c>
      <c r="I102" s="2349" t="e">
        <f>1.8629/I101</f>
        <v>#DIV/0!</v>
      </c>
      <c r="J102" s="2349" t="e">
        <f>1.942/J101</f>
        <v>#DIV/0!</v>
      </c>
      <c r="K102" s="2349" t="e">
        <f>1.942/K101</f>
        <v>#DIV/0!</v>
      </c>
      <c r="L102" s="2349" t="e">
        <f>1.942/L101</f>
        <v>#DIV/0!</v>
      </c>
      <c r="M102" s="2349" t="e">
        <f>1.942/M101</f>
        <v>#DIV/0!</v>
      </c>
      <c r="N102" s="2349" t="e">
        <f>1.942/N101</f>
        <v>#DIV/0!</v>
      </c>
    </row>
    <row r="103" spans="1:14" x14ac:dyDescent="0.2">
      <c r="A103" s="3583"/>
      <c r="B103" s="2348">
        <v>2</v>
      </c>
      <c r="C103" s="2349" t="e">
        <f>1.4198/C101</f>
        <v>#DIV/0!</v>
      </c>
      <c r="D103" s="2349" t="e">
        <f>1.4198/D101</f>
        <v>#DIV/0!</v>
      </c>
      <c r="E103" s="2349" t="e">
        <f>1.3372/E101</f>
        <v>#DIV/0!</v>
      </c>
      <c r="F103" s="2349" t="e">
        <f>1.3372/F101</f>
        <v>#DIV/0!</v>
      </c>
      <c r="G103" s="2349" t="e">
        <f>1.3372/G101</f>
        <v>#DIV/0!</v>
      </c>
      <c r="H103" s="2349" t="e">
        <f>1.3372/H101</f>
        <v>#DIV/0!</v>
      </c>
      <c r="I103" s="2349" t="e">
        <f>1.3372/I101</f>
        <v>#DIV/0!</v>
      </c>
      <c r="J103" s="2349" t="e">
        <f>1.2799/J101</f>
        <v>#DIV/0!</v>
      </c>
      <c r="K103" s="2349" t="e">
        <f>1.2799/K101</f>
        <v>#DIV/0!</v>
      </c>
      <c r="L103" s="2349" t="e">
        <f>1.2799/L101</f>
        <v>#DIV/0!</v>
      </c>
      <c r="M103" s="2349" t="e">
        <f>1.2799/M101</f>
        <v>#DIV/0!</v>
      </c>
      <c r="N103" s="2349" t="e">
        <f>1.2799/N101</f>
        <v>#DIV/0!</v>
      </c>
    </row>
    <row r="104" spans="1:14" x14ac:dyDescent="0.2">
      <c r="A104" s="3583"/>
      <c r="B104" s="2348">
        <v>3</v>
      </c>
      <c r="C104" s="2349" t="e">
        <f>1.1594/C101</f>
        <v>#DIV/0!</v>
      </c>
      <c r="D104" s="2349" t="e">
        <f>1.1594/D101</f>
        <v>#DIV/0!</v>
      </c>
      <c r="E104" s="2349" t="e">
        <f>1.0788/E101</f>
        <v>#DIV/0!</v>
      </c>
      <c r="F104" s="2349" t="e">
        <f>1.0788/F101</f>
        <v>#DIV/0!</v>
      </c>
      <c r="G104" s="2349" t="e">
        <f>1.0788/G101</f>
        <v>#DIV/0!</v>
      </c>
      <c r="H104" s="2349" t="e">
        <f>1.0788/H101</f>
        <v>#DIV/0!</v>
      </c>
      <c r="I104" s="2349" t="e">
        <f>1.0788/I101</f>
        <v>#DIV/0!</v>
      </c>
      <c r="J104" s="2349" t="e">
        <f>1.0072/J101</f>
        <v>#DIV/0!</v>
      </c>
      <c r="K104" s="2349" t="e">
        <f>1.0072/K101</f>
        <v>#DIV/0!</v>
      </c>
      <c r="L104" s="2349" t="e">
        <f>1.0072/L101</f>
        <v>#DIV/0!</v>
      </c>
      <c r="M104" s="2349" t="e">
        <f>1.0072/M101</f>
        <v>#DIV/0!</v>
      </c>
      <c r="N104" s="2349" t="e">
        <f>1.0072/N101</f>
        <v>#DIV/0!</v>
      </c>
    </row>
    <row r="105" spans="1:14" x14ac:dyDescent="0.2">
      <c r="A105" s="3583"/>
      <c r="B105" s="2348">
        <v>4</v>
      </c>
      <c r="C105" s="2349" t="e">
        <f>0.9622/C101</f>
        <v>#DIV/0!</v>
      </c>
      <c r="D105" s="2349" t="e">
        <f>0.9622/D101</f>
        <v>#DIV/0!</v>
      </c>
      <c r="E105" s="2349" t="e">
        <f>0.8656/E101</f>
        <v>#DIV/0!</v>
      </c>
      <c r="F105" s="2349" t="e">
        <f>0.8656/F101</f>
        <v>#DIV/0!</v>
      </c>
      <c r="G105" s="2349" t="e">
        <f>0.8656/G101</f>
        <v>#DIV/0!</v>
      </c>
      <c r="H105" s="2349" t="e">
        <f>0.8656/H101</f>
        <v>#DIV/0!</v>
      </c>
      <c r="I105" s="2349" t="e">
        <f>0.8656/I101</f>
        <v>#DIV/0!</v>
      </c>
      <c r="J105" s="2349" t="e">
        <f>0.7525/J101</f>
        <v>#DIV/0!</v>
      </c>
      <c r="K105" s="2349" t="e">
        <f>0.7525/K101</f>
        <v>#DIV/0!</v>
      </c>
      <c r="L105" s="2349" t="e">
        <f>0.7525/L101</f>
        <v>#DIV/0!</v>
      </c>
      <c r="M105" s="2349" t="e">
        <f>0.7525/M101</f>
        <v>#DIV/0!</v>
      </c>
      <c r="N105" s="2349" t="e">
        <f>0.7525/N101</f>
        <v>#DIV/0!</v>
      </c>
    </row>
    <row r="106" spans="1:14" x14ac:dyDescent="0.2">
      <c r="A106" s="3583"/>
      <c r="B106" s="2348">
        <v>5</v>
      </c>
      <c r="C106" s="2349" t="e">
        <f>0.8417/C101</f>
        <v>#DIV/0!</v>
      </c>
      <c r="D106" s="2349" t="e">
        <f>0.8417/D101</f>
        <v>#DIV/0!</v>
      </c>
      <c r="E106" s="2349" t="e">
        <f>0.7371/E101</f>
        <v>#DIV/0!</v>
      </c>
      <c r="F106" s="2349" t="e">
        <f>0.7371/F101</f>
        <v>#DIV/0!</v>
      </c>
      <c r="G106" s="2349" t="e">
        <f>0.7371/G101</f>
        <v>#DIV/0!</v>
      </c>
      <c r="H106" s="2349" t="e">
        <f>0.7371/H101</f>
        <v>#DIV/0!</v>
      </c>
      <c r="I106" s="2349" t="e">
        <f>0.7371/I101</f>
        <v>#DIV/0!</v>
      </c>
      <c r="J106" s="2349" t="e">
        <f>0.5659/J101</f>
        <v>#DIV/0!</v>
      </c>
      <c r="K106" s="2349" t="e">
        <f>0.5659/K101</f>
        <v>#DIV/0!</v>
      </c>
      <c r="L106" s="2349" t="e">
        <f>0.5659/L101</f>
        <v>#DIV/0!</v>
      </c>
      <c r="M106" s="2349" t="e">
        <f>0.5659/M101</f>
        <v>#DIV/0!</v>
      </c>
      <c r="N106" s="2349" t="e">
        <f>0.5659/N101</f>
        <v>#DIV/0!</v>
      </c>
    </row>
    <row r="107" spans="1:14" x14ac:dyDescent="0.2">
      <c r="A107" s="3583"/>
      <c r="B107" s="2348">
        <v>6</v>
      </c>
      <c r="C107" s="2349" t="e">
        <f>0.7608/C101</f>
        <v>#DIV/0!</v>
      </c>
      <c r="D107" s="2349" t="e">
        <f>0.7608/D101</f>
        <v>#DIV/0!</v>
      </c>
      <c r="E107" s="2349" t="e">
        <f>0.6482/E101</f>
        <v>#DIV/0!</v>
      </c>
      <c r="F107" s="2349" t="e">
        <f>0.6482/F101</f>
        <v>#DIV/0!</v>
      </c>
      <c r="G107" s="2349" t="e">
        <f>0.6482/G101</f>
        <v>#DIV/0!</v>
      </c>
      <c r="H107" s="2349" t="e">
        <f>0.6482/H101</f>
        <v>#DIV/0!</v>
      </c>
      <c r="I107" s="2349" t="e">
        <f>0.6482/I101</f>
        <v>#DIV/0!</v>
      </c>
      <c r="J107" s="2349" t="e">
        <f>0.4525/J101</f>
        <v>#DIV/0!</v>
      </c>
      <c r="K107" s="2349" t="e">
        <f>0.4525/K101</f>
        <v>#DIV/0!</v>
      </c>
      <c r="L107" s="2349" t="e">
        <f>0.4525/L101</f>
        <v>#DIV/0!</v>
      </c>
      <c r="M107" s="2349" t="e">
        <f>0.4525/M101</f>
        <v>#DIV/0!</v>
      </c>
      <c r="N107" s="2349" t="e">
        <f>0.4525/N101</f>
        <v>#DIV/0!</v>
      </c>
    </row>
    <row r="108" spans="1:14" x14ac:dyDescent="0.2">
      <c r="A108" s="3583"/>
      <c r="B108" s="3585" t="s">
        <v>2797</v>
      </c>
      <c r="C108" s="2350">
        <f>C99</f>
        <v>2</v>
      </c>
      <c r="D108" s="2350">
        <f t="shared" ref="D108:N108" si="34">D99</f>
        <v>2</v>
      </c>
      <c r="E108" s="2350">
        <f t="shared" si="34"/>
        <v>2</v>
      </c>
      <c r="F108" s="2350">
        <f t="shared" si="34"/>
        <v>2</v>
      </c>
      <c r="G108" s="2350">
        <f t="shared" si="34"/>
        <v>2</v>
      </c>
      <c r="H108" s="2350">
        <f t="shared" si="34"/>
        <v>2</v>
      </c>
      <c r="I108" s="2350">
        <f t="shared" si="34"/>
        <v>2</v>
      </c>
      <c r="J108" s="2350">
        <f t="shared" si="34"/>
        <v>2</v>
      </c>
      <c r="K108" s="2350">
        <f t="shared" si="34"/>
        <v>2</v>
      </c>
      <c r="L108" s="2350">
        <f t="shared" si="34"/>
        <v>2</v>
      </c>
      <c r="M108" s="2350">
        <f t="shared" si="34"/>
        <v>2</v>
      </c>
      <c r="N108" s="2350">
        <f t="shared" si="34"/>
        <v>2</v>
      </c>
    </row>
    <row r="109" spans="1:14" x14ac:dyDescent="0.2">
      <c r="A109" s="3584"/>
      <c r="B109" s="3586"/>
      <c r="C109" s="2351" t="e">
        <f>(-0.163*(C108^2)-0.59*C108+7617)*(10^(-4))/C101</f>
        <v>#DIV/0!</v>
      </c>
      <c r="D109" s="2351" t="e">
        <f>(-0.163*(D108^2)-0.59*D108+7617)*(10^(-4))/D101</f>
        <v>#DIV/0!</v>
      </c>
      <c r="E109" s="2351" t="e">
        <f>(-0.161*(E108^2)-7.509*E108+6533)*(10^(-4))/E101</f>
        <v>#DIV/0!</v>
      </c>
      <c r="F109" s="2351" t="e">
        <f>(-0.161*(F108^2)-7.509*F108+6533)*(10^(-4))/F101</f>
        <v>#DIV/0!</v>
      </c>
      <c r="G109" s="2351" t="e">
        <f>(-0.161*(G108^2)-7.509*G108+6533)*(10^(-4))/G101</f>
        <v>#DIV/0!</v>
      </c>
      <c r="H109" s="2351" t="e">
        <f>(-0.161*(H108^2)-7.509*H108+6533)*(10^(-4))/H101</f>
        <v>#DIV/0!</v>
      </c>
      <c r="I109" s="2351" t="e">
        <f>(-0.161*(I108^2)-7.509*I108+6533)*(10^(-4))/I101</f>
        <v>#DIV/0!</v>
      </c>
      <c r="J109" s="2351" t="e">
        <f>(-0.214*(J108^2)-21.991*J108+4665)*(10^(-4))/J101</f>
        <v>#DIV/0!</v>
      </c>
      <c r="K109" s="2351" t="e">
        <f>(-0.214*(K108^2)-21.991*K108+4665)*(10^(-4))/K101</f>
        <v>#DIV/0!</v>
      </c>
      <c r="L109" s="2351" t="e">
        <f>(-0.214*(L108^2)-21.991*L108+4665)*(10^(-4))/L101</f>
        <v>#DIV/0!</v>
      </c>
      <c r="M109" s="2351" t="e">
        <f>(-0.214*(M108^2)-21.991*M108+4665)*(10^(-4))/M101</f>
        <v>#DIV/0!</v>
      </c>
      <c r="N109" s="2351" t="e">
        <f>(-0.214*(N108^2)-21.991*N108+4665)*(10^(-4))/N101</f>
        <v>#DIV/0!</v>
      </c>
    </row>
    <row r="110" spans="1:14" ht="14" x14ac:dyDescent="0.2">
      <c r="A110" s="3580" t="s">
        <v>2798</v>
      </c>
      <c r="B110" s="3580"/>
      <c r="C110" s="3580"/>
      <c r="D110" s="3580"/>
      <c r="E110" s="3580"/>
      <c r="F110" s="3580"/>
      <c r="G110" s="3580"/>
      <c r="H110" s="3580"/>
      <c r="I110" s="3580"/>
      <c r="J110" s="3580"/>
      <c r="K110" s="2354"/>
      <c r="L110" s="2354"/>
      <c r="M110" s="2354"/>
      <c r="N110" s="2354"/>
    </row>
    <row r="112" spans="1:14" ht="14" thickBot="1" x14ac:dyDescent="0.25"/>
    <row r="113" spans="1:13" ht="28" thickBot="1" x14ac:dyDescent="0.25">
      <c r="A113" s="842" t="s">
        <v>2799</v>
      </c>
      <c r="B113" s="1197" t="e">
        <f>G3</f>
        <v>#DIV/0!</v>
      </c>
      <c r="C113" s="843" t="s">
        <v>2800</v>
      </c>
      <c r="D113" s="844" t="e">
        <f>SUMPRODUCT((A115:A118=F113)*(B114:M114=H113)*B115:M118)</f>
        <v>#DIV/0!</v>
      </c>
      <c r="E113" s="2190" t="s">
        <v>2635</v>
      </c>
      <c r="F113" s="2356" t="str">
        <f>E2</f>
        <v>商业</v>
      </c>
      <c r="G113" s="2190" t="s">
        <v>2636</v>
      </c>
      <c r="H113" s="2356">
        <f>G2</f>
        <v>0</v>
      </c>
      <c r="I113" s="2190"/>
      <c r="J113" s="2357"/>
      <c r="K113" s="2357"/>
      <c r="L113" s="2357"/>
      <c r="M113" s="2357"/>
    </row>
    <row r="114" spans="1:13" ht="14" x14ac:dyDescent="0.2">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ht="14" x14ac:dyDescent="0.2">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5">I115</f>
        <v>#DIV/0!</v>
      </c>
      <c r="K115" s="849" t="e">
        <f t="shared" si="35"/>
        <v>#DIV/0!</v>
      </c>
      <c r="L115" s="849" t="e">
        <f t="shared" si="35"/>
        <v>#DIV/0!</v>
      </c>
      <c r="M115" s="850" t="e">
        <f t="shared" si="35"/>
        <v>#DIV/0!</v>
      </c>
    </row>
    <row r="116" spans="1:13" ht="14" x14ac:dyDescent="0.2">
      <c r="A116" s="848" t="s">
        <v>2700</v>
      </c>
      <c r="B116" s="849" t="e">
        <f>ROUND(0.949-0.012*B113,4)</f>
        <v>#DIV/0!</v>
      </c>
      <c r="C116" s="849" t="e">
        <f>B116</f>
        <v>#DIV/0!</v>
      </c>
      <c r="D116" s="849" t="e">
        <f>ROUND(0.8567-0.013*B113,4)</f>
        <v>#DIV/0!</v>
      </c>
      <c r="E116" s="849" t="e">
        <f t="shared" ref="E116:H117" si="36">D116</f>
        <v>#DIV/0!</v>
      </c>
      <c r="F116" s="849" t="e">
        <f t="shared" si="36"/>
        <v>#DIV/0!</v>
      </c>
      <c r="G116" s="849" t="e">
        <f t="shared" si="36"/>
        <v>#DIV/0!</v>
      </c>
      <c r="H116" s="849" t="e">
        <f t="shared" si="36"/>
        <v>#DIV/0!</v>
      </c>
      <c r="I116" s="849" t="e">
        <f>ROUND(0.7694-0.014*B113,4)</f>
        <v>#DIV/0!</v>
      </c>
      <c r="J116" s="849" t="e">
        <f t="shared" si="35"/>
        <v>#DIV/0!</v>
      </c>
      <c r="K116" s="849" t="e">
        <f t="shared" si="35"/>
        <v>#DIV/0!</v>
      </c>
      <c r="L116" s="849" t="e">
        <f t="shared" si="35"/>
        <v>#DIV/0!</v>
      </c>
      <c r="M116" s="850" t="e">
        <f t="shared" si="35"/>
        <v>#DIV/0!</v>
      </c>
    </row>
    <row r="117" spans="1:13" ht="14" x14ac:dyDescent="0.2">
      <c r="A117" s="848" t="s">
        <v>2701</v>
      </c>
      <c r="B117" s="849" t="e">
        <f>ROUND(0.8808-0.006*B113,4)</f>
        <v>#DIV/0!</v>
      </c>
      <c r="C117" s="849" t="e">
        <f>B117</f>
        <v>#DIV/0!</v>
      </c>
      <c r="D117" s="849" t="e">
        <f>ROUND(0.8748-0.008*B113,4)</f>
        <v>#DIV/0!</v>
      </c>
      <c r="E117" s="849" t="e">
        <f t="shared" si="36"/>
        <v>#DIV/0!</v>
      </c>
      <c r="F117" s="849" t="e">
        <f t="shared" si="36"/>
        <v>#DIV/0!</v>
      </c>
      <c r="G117" s="849" t="e">
        <f t="shared" si="36"/>
        <v>#DIV/0!</v>
      </c>
      <c r="H117" s="849" t="e">
        <f t="shared" si="36"/>
        <v>#DIV/0!</v>
      </c>
      <c r="I117" s="849" t="e">
        <f>ROUND(0.7412-0.0095*B113,4)</f>
        <v>#DIV/0!</v>
      </c>
      <c r="J117" s="849" t="e">
        <f t="shared" si="35"/>
        <v>#DIV/0!</v>
      </c>
      <c r="K117" s="849" t="e">
        <f t="shared" si="35"/>
        <v>#DIV/0!</v>
      </c>
      <c r="L117" s="849" t="e">
        <f t="shared" si="35"/>
        <v>#DIV/0!</v>
      </c>
      <c r="M117" s="850" t="e">
        <f t="shared" si="35"/>
        <v>#DIV/0!</v>
      </c>
    </row>
    <row r="118" spans="1:13" ht="15" thickBot="1" x14ac:dyDescent="0.25">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5"/>
        <v>#DIV/0!</v>
      </c>
      <c r="K118" s="851" t="e">
        <f t="shared" si="35"/>
        <v>#DIV/0!</v>
      </c>
      <c r="L118" s="851" t="e">
        <f t="shared" si="35"/>
        <v>#DIV/0!</v>
      </c>
      <c r="M118" s="852" t="e">
        <f t="shared" si="35"/>
        <v>#DIV/0!</v>
      </c>
    </row>
  </sheetData>
  <sheetProtection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dimension ref="A1:M119"/>
  <sheetViews>
    <sheetView workbookViewId="0">
      <selection activeCell="A15" sqref="A15:M15"/>
    </sheetView>
  </sheetViews>
  <sheetFormatPr baseColWidth="10" defaultColWidth="8.1640625" defaultRowHeight="19.5" customHeight="1" x14ac:dyDescent="0.2"/>
  <cols>
    <col min="1" max="1" width="13.6640625" style="755" customWidth="1"/>
    <col min="2" max="9" width="8.1640625" style="817" customWidth="1"/>
    <col min="10" max="13" width="8.1640625" style="755"/>
    <col min="14" max="14" width="10" style="755" customWidth="1"/>
    <col min="15" max="16" width="8.1640625" style="755"/>
    <col min="17" max="17" width="34.1640625" style="755" customWidth="1"/>
    <col min="18" max="18" width="8.1640625" style="755" customWidth="1"/>
    <col min="19" max="19" width="8.1640625" style="755"/>
    <col min="20" max="20" width="11.6640625" style="755" customWidth="1"/>
    <col min="21" max="16384" width="8.1640625" style="755"/>
  </cols>
  <sheetData>
    <row r="1" spans="1:13" ht="19.5" customHeight="1" thickBot="1" x14ac:dyDescent="0.25">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x14ac:dyDescent="0.2">
      <c r="A2" s="796" t="s">
        <v>183</v>
      </c>
      <c r="B2" s="797">
        <v>3.5</v>
      </c>
      <c r="C2" s="797">
        <v>3.5</v>
      </c>
      <c r="D2" s="798">
        <v>2.5</v>
      </c>
      <c r="E2" s="798">
        <v>2.5</v>
      </c>
      <c r="F2" s="798">
        <v>2.5</v>
      </c>
      <c r="G2" s="798">
        <v>2.5</v>
      </c>
      <c r="H2" s="798">
        <v>2.5</v>
      </c>
      <c r="I2" s="797">
        <v>2</v>
      </c>
      <c r="J2" s="797">
        <v>2</v>
      </c>
      <c r="K2" s="797">
        <v>2</v>
      </c>
      <c r="L2" s="797">
        <v>2</v>
      </c>
      <c r="M2" s="799">
        <v>2</v>
      </c>
    </row>
    <row r="3" spans="1:13" ht="19.5" customHeight="1" x14ac:dyDescent="0.2">
      <c r="A3" s="800" t="s">
        <v>184</v>
      </c>
      <c r="B3" s="801">
        <v>3.5</v>
      </c>
      <c r="C3" s="801">
        <v>3.5</v>
      </c>
      <c r="D3" s="802">
        <v>2.5</v>
      </c>
      <c r="E3" s="802">
        <v>2.5</v>
      </c>
      <c r="F3" s="802">
        <v>2.5</v>
      </c>
      <c r="G3" s="802">
        <v>2.5</v>
      </c>
      <c r="H3" s="802">
        <v>2.5</v>
      </c>
      <c r="I3" s="801">
        <v>2</v>
      </c>
      <c r="J3" s="801">
        <v>2</v>
      </c>
      <c r="K3" s="801">
        <v>2</v>
      </c>
      <c r="L3" s="801">
        <v>2</v>
      </c>
      <c r="M3" s="803">
        <v>2</v>
      </c>
    </row>
    <row r="4" spans="1:13" ht="19.5" customHeight="1" x14ac:dyDescent="0.2">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x14ac:dyDescent="0.25">
      <c r="A5" s="804" t="s">
        <v>186</v>
      </c>
      <c r="B5" s="805">
        <v>1.5</v>
      </c>
      <c r="C5" s="805">
        <v>1.5</v>
      </c>
      <c r="D5" s="805">
        <v>1.5</v>
      </c>
      <c r="E5" s="805">
        <v>1.5</v>
      </c>
      <c r="F5" s="805">
        <v>1.5</v>
      </c>
      <c r="G5" s="806">
        <v>1.2</v>
      </c>
      <c r="H5" s="806">
        <v>1.2</v>
      </c>
      <c r="I5" s="806">
        <v>1</v>
      </c>
      <c r="J5" s="806">
        <v>1</v>
      </c>
      <c r="K5" s="806">
        <v>1</v>
      </c>
      <c r="L5" s="806">
        <v>1</v>
      </c>
      <c r="M5" s="807">
        <v>1</v>
      </c>
    </row>
    <row r="6" spans="1:13" ht="19.5" customHeight="1" x14ac:dyDescent="0.2">
      <c r="A6" s="808" t="s">
        <v>547</v>
      </c>
      <c r="B6" s="809">
        <v>80</v>
      </c>
      <c r="C6" s="809">
        <v>80</v>
      </c>
      <c r="D6" s="809">
        <v>65</v>
      </c>
      <c r="E6" s="809">
        <v>65</v>
      </c>
      <c r="F6" s="809">
        <v>65</v>
      </c>
      <c r="G6" s="809">
        <v>65</v>
      </c>
      <c r="H6" s="809">
        <v>65</v>
      </c>
      <c r="I6" s="809">
        <v>50</v>
      </c>
      <c r="J6" s="809">
        <v>50</v>
      </c>
      <c r="K6" s="809">
        <v>50</v>
      </c>
      <c r="L6" s="809">
        <v>50</v>
      </c>
      <c r="M6" s="810">
        <v>50</v>
      </c>
    </row>
    <row r="7" spans="1:13" ht="19.5" customHeight="1" x14ac:dyDescent="0.2">
      <c r="A7" s="756" t="s">
        <v>548</v>
      </c>
      <c r="B7" s="757">
        <v>70</v>
      </c>
      <c r="C7" s="757">
        <v>70</v>
      </c>
      <c r="D7" s="757">
        <v>55</v>
      </c>
      <c r="E7" s="757">
        <v>55</v>
      </c>
      <c r="F7" s="757">
        <v>55</v>
      </c>
      <c r="G7" s="757">
        <v>55</v>
      </c>
      <c r="H7" s="757">
        <v>55</v>
      </c>
      <c r="I7" s="757">
        <v>40</v>
      </c>
      <c r="J7" s="757">
        <v>40</v>
      </c>
      <c r="K7" s="757">
        <v>40</v>
      </c>
      <c r="L7" s="757">
        <v>40</v>
      </c>
      <c r="M7" s="811">
        <v>40</v>
      </c>
    </row>
    <row r="8" spans="1:13" ht="19.5" customHeight="1" x14ac:dyDescent="0.2">
      <c r="A8" s="756" t="s">
        <v>549</v>
      </c>
      <c r="B8" s="757">
        <v>20</v>
      </c>
      <c r="C8" s="757">
        <v>20</v>
      </c>
      <c r="D8" s="757">
        <v>15</v>
      </c>
      <c r="E8" s="757">
        <v>15</v>
      </c>
      <c r="F8" s="757">
        <v>15</v>
      </c>
      <c r="G8" s="757">
        <v>15</v>
      </c>
      <c r="H8" s="757">
        <v>15</v>
      </c>
      <c r="I8" s="757">
        <v>10</v>
      </c>
      <c r="J8" s="757">
        <v>10</v>
      </c>
      <c r="K8" s="757">
        <v>10</v>
      </c>
      <c r="L8" s="757">
        <v>10</v>
      </c>
      <c r="M8" s="811">
        <v>10</v>
      </c>
    </row>
    <row r="9" spans="1:13" ht="19.5" customHeight="1" x14ac:dyDescent="0.2">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x14ac:dyDescent="0.2">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x14ac:dyDescent="0.2">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x14ac:dyDescent="0.2">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x14ac:dyDescent="0.2">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x14ac:dyDescent="0.2">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x14ac:dyDescent="0.2">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x14ac:dyDescent="0.2">
      <c r="A16" s="815" t="s">
        <v>556</v>
      </c>
      <c r="B16" s="815"/>
      <c r="C16" s="816"/>
      <c r="D16" s="816"/>
      <c r="E16" s="815"/>
      <c r="F16" s="816"/>
      <c r="G16" s="816"/>
    </row>
    <row r="17" spans="1:9" ht="19.5" customHeight="1" x14ac:dyDescent="0.2">
      <c r="A17" s="757" t="s">
        <v>557</v>
      </c>
      <c r="B17" s="818" t="s">
        <v>558</v>
      </c>
      <c r="C17" s="872" t="s">
        <v>758</v>
      </c>
      <c r="D17" s="819"/>
      <c r="E17" s="757" t="s">
        <v>559</v>
      </c>
      <c r="F17" s="820"/>
      <c r="G17" s="820"/>
    </row>
    <row r="18" spans="1:9" s="826" customFormat="1" ht="19.5" customHeight="1" x14ac:dyDescent="0.2">
      <c r="A18" s="3593" t="s">
        <v>183</v>
      </c>
      <c r="B18" s="821" t="s">
        <v>560</v>
      </c>
      <c r="C18" s="822" t="s">
        <v>561</v>
      </c>
      <c r="D18" s="823"/>
      <c r="E18" s="821">
        <v>1</v>
      </c>
      <c r="F18" s="824" t="s">
        <v>562</v>
      </c>
      <c r="G18" s="825"/>
      <c r="H18" s="817"/>
      <c r="I18" s="817"/>
    </row>
    <row r="19" spans="1:9" s="826" customFormat="1" ht="19.5" customHeight="1" x14ac:dyDescent="0.2">
      <c r="A19" s="3593"/>
      <c r="B19" s="3593" t="s">
        <v>563</v>
      </c>
      <c r="C19" s="822" t="s">
        <v>564</v>
      </c>
      <c r="D19" s="823"/>
      <c r="E19" s="821">
        <v>0.9</v>
      </c>
      <c r="F19" s="824" t="s">
        <v>565</v>
      </c>
      <c r="G19" s="825"/>
      <c r="H19" s="817"/>
      <c r="I19" s="817"/>
    </row>
    <row r="20" spans="1:9" s="826" customFormat="1" ht="19.5" customHeight="1" x14ac:dyDescent="0.2">
      <c r="A20" s="3593"/>
      <c r="B20" s="3593"/>
      <c r="C20" s="822" t="s">
        <v>566</v>
      </c>
      <c r="D20" s="823"/>
      <c r="E20" s="821">
        <v>1.1000000000000001</v>
      </c>
      <c r="F20" s="824" t="s">
        <v>567</v>
      </c>
      <c r="G20" s="825"/>
      <c r="H20" s="817"/>
      <c r="I20" s="817"/>
    </row>
    <row r="21" spans="1:9" s="826" customFormat="1" ht="19.5" customHeight="1" x14ac:dyDescent="0.2">
      <c r="A21" s="3593"/>
      <c r="B21" s="3593"/>
      <c r="C21" s="822" t="s">
        <v>568</v>
      </c>
      <c r="D21" s="823"/>
      <c r="E21" s="821">
        <v>0.8</v>
      </c>
      <c r="F21" s="824" t="s">
        <v>569</v>
      </c>
      <c r="G21" s="825"/>
      <c r="H21" s="817"/>
      <c r="I21" s="817"/>
    </row>
    <row r="22" spans="1:9" s="826" customFormat="1" ht="19.5" customHeight="1" x14ac:dyDescent="0.2">
      <c r="A22" s="3593"/>
      <c r="B22" s="3593"/>
      <c r="C22" s="822" t="s">
        <v>570</v>
      </c>
      <c r="D22" s="823"/>
      <c r="E22" s="821">
        <v>0.5</v>
      </c>
      <c r="F22" s="824"/>
      <c r="G22" s="825"/>
      <c r="H22" s="817"/>
      <c r="I22" s="817"/>
    </row>
    <row r="23" spans="1:9" s="826" customFormat="1" ht="19.5" customHeight="1" x14ac:dyDescent="0.2">
      <c r="A23" s="3593" t="s">
        <v>184</v>
      </c>
      <c r="B23" s="821" t="s">
        <v>560</v>
      </c>
      <c r="C23" s="822" t="s">
        <v>571</v>
      </c>
      <c r="D23" s="823"/>
      <c r="E23" s="821">
        <v>1</v>
      </c>
      <c r="F23" s="824" t="s">
        <v>572</v>
      </c>
      <c r="G23" s="825"/>
      <c r="H23" s="817"/>
      <c r="I23" s="817"/>
    </row>
    <row r="24" spans="1:9" s="826" customFormat="1" ht="19.5" customHeight="1" x14ac:dyDescent="0.2">
      <c r="A24" s="3593"/>
      <c r="B24" s="3593" t="s">
        <v>563</v>
      </c>
      <c r="C24" s="822" t="s">
        <v>573</v>
      </c>
      <c r="D24" s="823"/>
      <c r="E24" s="821">
        <v>0.5</v>
      </c>
      <c r="F24" s="824"/>
      <c r="G24" s="825"/>
      <c r="H24" s="817"/>
      <c r="I24" s="817"/>
    </row>
    <row r="25" spans="1:9" s="826" customFormat="1" ht="19.5" customHeight="1" x14ac:dyDescent="0.2">
      <c r="A25" s="3593"/>
      <c r="B25" s="3593"/>
      <c r="C25" s="822" t="s">
        <v>574</v>
      </c>
      <c r="D25" s="823"/>
      <c r="E25" s="821">
        <v>1.1000000000000001</v>
      </c>
      <c r="F25" s="824"/>
      <c r="G25" s="825"/>
      <c r="H25" s="817"/>
      <c r="I25" s="817"/>
    </row>
    <row r="26" spans="1:9" s="826" customFormat="1" ht="19.5" customHeight="1" x14ac:dyDescent="0.2">
      <c r="A26" s="3593"/>
      <c r="B26" s="3593"/>
      <c r="C26" s="822" t="s">
        <v>575</v>
      </c>
      <c r="D26" s="823"/>
      <c r="E26" s="821">
        <v>1.1000000000000001</v>
      </c>
      <c r="F26" s="824"/>
      <c r="G26" s="825"/>
      <c r="H26" s="817"/>
      <c r="I26" s="817"/>
    </row>
    <row r="27" spans="1:9" s="826" customFormat="1" ht="19.5" customHeight="1" x14ac:dyDescent="0.2">
      <c r="A27" s="3593"/>
      <c r="B27" s="3593"/>
      <c r="C27" s="822" t="s">
        <v>576</v>
      </c>
      <c r="D27" s="823"/>
      <c r="E27" s="821">
        <v>0.9</v>
      </c>
      <c r="F27" s="824" t="s">
        <v>577</v>
      </c>
      <c r="G27" s="825"/>
      <c r="H27" s="817"/>
      <c r="I27" s="817"/>
    </row>
    <row r="28" spans="1:9" s="826" customFormat="1" ht="19.5" customHeight="1" x14ac:dyDescent="0.2">
      <c r="A28" s="3593"/>
      <c r="B28" s="3593"/>
      <c r="C28" s="822" t="s">
        <v>578</v>
      </c>
      <c r="D28" s="823"/>
      <c r="E28" s="821">
        <v>0.9</v>
      </c>
      <c r="F28" s="824" t="s">
        <v>579</v>
      </c>
      <c r="G28" s="825"/>
      <c r="H28" s="817"/>
      <c r="I28" s="817"/>
    </row>
    <row r="29" spans="1:9" s="826" customFormat="1" ht="19.5" customHeight="1" x14ac:dyDescent="0.2">
      <c r="A29" s="3593"/>
      <c r="B29" s="3593"/>
      <c r="C29" s="822" t="s">
        <v>580</v>
      </c>
      <c r="D29" s="823"/>
      <c r="E29" s="821">
        <v>0.9</v>
      </c>
      <c r="F29" s="824" t="s">
        <v>581</v>
      </c>
      <c r="G29" s="825"/>
      <c r="H29" s="817"/>
      <c r="I29" s="817"/>
    </row>
    <row r="30" spans="1:9" s="826" customFormat="1" ht="19.5" customHeight="1" x14ac:dyDescent="0.2">
      <c r="A30" s="3593"/>
      <c r="B30" s="3593"/>
      <c r="C30" s="822" t="s">
        <v>582</v>
      </c>
      <c r="D30" s="823"/>
      <c r="E30" s="821">
        <v>0.9</v>
      </c>
      <c r="F30" s="824" t="s">
        <v>583</v>
      </c>
      <c r="G30" s="825"/>
      <c r="H30" s="817"/>
      <c r="I30" s="817"/>
    </row>
    <row r="31" spans="1:9" s="826" customFormat="1" ht="19.5" customHeight="1" x14ac:dyDescent="0.2">
      <c r="A31" s="3593"/>
      <c r="B31" s="3593"/>
      <c r="C31" s="822" t="s">
        <v>584</v>
      </c>
      <c r="D31" s="823"/>
      <c r="E31" s="821">
        <v>0.8</v>
      </c>
      <c r="F31" s="824" t="s">
        <v>585</v>
      </c>
      <c r="G31" s="825"/>
      <c r="H31" s="817"/>
      <c r="I31" s="817"/>
    </row>
    <row r="32" spans="1:9" s="826" customFormat="1" ht="19.5" customHeight="1" x14ac:dyDescent="0.2">
      <c r="A32" s="3593"/>
      <c r="B32" s="3593"/>
      <c r="C32" s="822" t="s">
        <v>586</v>
      </c>
      <c r="D32" s="823"/>
      <c r="E32" s="821">
        <v>0.8</v>
      </c>
      <c r="F32" s="824" t="s">
        <v>587</v>
      </c>
      <c r="G32" s="825"/>
      <c r="H32" s="817"/>
      <c r="I32" s="817"/>
    </row>
    <row r="33" spans="1:9" s="826" customFormat="1" ht="19.5" customHeight="1" x14ac:dyDescent="0.2">
      <c r="A33" s="3593" t="s">
        <v>185</v>
      </c>
      <c r="B33" s="821" t="s">
        <v>560</v>
      </c>
      <c r="C33" s="822" t="s">
        <v>588</v>
      </c>
      <c r="D33" s="823"/>
      <c r="E33" s="821">
        <v>1</v>
      </c>
      <c r="F33" s="824" t="s">
        <v>589</v>
      </c>
      <c r="G33" s="825"/>
      <c r="H33" s="817"/>
      <c r="I33" s="817"/>
    </row>
    <row r="34" spans="1:9" s="826" customFormat="1" ht="19.5" customHeight="1" x14ac:dyDescent="0.2">
      <c r="A34" s="3593"/>
      <c r="B34" s="821" t="s">
        <v>563</v>
      </c>
      <c r="C34" s="822" t="s">
        <v>590</v>
      </c>
      <c r="D34" s="823"/>
      <c r="E34" s="821">
        <v>1.5</v>
      </c>
      <c r="F34" s="824" t="s">
        <v>591</v>
      </c>
      <c r="G34" s="825"/>
      <c r="H34" s="817"/>
      <c r="I34" s="817"/>
    </row>
    <row r="35" spans="1:9" s="826" customFormat="1" ht="19.5" customHeight="1" x14ac:dyDescent="0.2">
      <c r="A35" s="3593" t="s">
        <v>186</v>
      </c>
      <c r="B35" s="821" t="s">
        <v>560</v>
      </c>
      <c r="C35" s="822" t="s">
        <v>592</v>
      </c>
      <c r="D35" s="823"/>
      <c r="E35" s="821">
        <v>1</v>
      </c>
      <c r="F35" s="824" t="s">
        <v>593</v>
      </c>
      <c r="G35" s="825"/>
      <c r="H35" s="817"/>
      <c r="I35" s="817"/>
    </row>
    <row r="36" spans="1:9" s="826" customFormat="1" ht="19.5" customHeight="1" x14ac:dyDescent="0.2">
      <c r="A36" s="3593"/>
      <c r="B36" s="3593" t="s">
        <v>563</v>
      </c>
      <c r="C36" s="822" t="s">
        <v>594</v>
      </c>
      <c r="D36" s="823"/>
      <c r="E36" s="821">
        <v>1</v>
      </c>
      <c r="F36" s="824" t="s">
        <v>595</v>
      </c>
      <c r="G36" s="825"/>
      <c r="H36" s="817"/>
      <c r="I36" s="817"/>
    </row>
    <row r="37" spans="1:9" s="826" customFormat="1" ht="19.5" customHeight="1" x14ac:dyDescent="0.2">
      <c r="A37" s="3593"/>
      <c r="B37" s="3593"/>
      <c r="C37" s="822" t="s">
        <v>596</v>
      </c>
      <c r="D37" s="823"/>
      <c r="E37" s="821">
        <v>1.5</v>
      </c>
      <c r="F37" s="824" t="s">
        <v>597</v>
      </c>
      <c r="G37" s="825"/>
      <c r="H37" s="817"/>
      <c r="I37" s="817"/>
    </row>
    <row r="38" spans="1:9" s="826" customFormat="1" ht="19.5" customHeight="1" x14ac:dyDescent="0.2">
      <c r="A38" s="3593"/>
      <c r="B38" s="3593"/>
      <c r="C38" s="822" t="s">
        <v>598</v>
      </c>
      <c r="D38" s="823"/>
      <c r="E38" s="821">
        <v>1</v>
      </c>
      <c r="F38" s="824" t="s">
        <v>599</v>
      </c>
      <c r="G38" s="825"/>
      <c r="H38" s="817"/>
      <c r="I38" s="817"/>
    </row>
    <row r="39" spans="1:9" s="826" customFormat="1" ht="19.5" customHeight="1" x14ac:dyDescent="0.2">
      <c r="A39" s="3593"/>
      <c r="B39" s="3593"/>
      <c r="C39" s="822" t="s">
        <v>600</v>
      </c>
      <c r="D39" s="823"/>
      <c r="E39" s="821">
        <v>1</v>
      </c>
      <c r="F39" s="824" t="s">
        <v>601</v>
      </c>
      <c r="G39" s="825"/>
      <c r="H39" s="817"/>
      <c r="I39" s="817"/>
    </row>
    <row r="40" spans="1:9" s="826" customFormat="1" ht="19.5" customHeight="1" x14ac:dyDescent="0.2">
      <c r="A40" s="827" t="s">
        <v>602</v>
      </c>
      <c r="B40" s="827"/>
      <c r="C40" s="827"/>
      <c r="D40" s="827"/>
      <c r="E40" s="827"/>
      <c r="F40" s="828"/>
      <c r="G40" s="828"/>
      <c r="H40" s="817"/>
      <c r="I40" s="817"/>
    </row>
    <row r="42" spans="1:9" ht="19.5" customHeight="1" x14ac:dyDescent="0.2">
      <c r="A42" s="829"/>
      <c r="B42" s="757" t="s">
        <v>603</v>
      </c>
      <c r="C42" s="757" t="s">
        <v>603</v>
      </c>
      <c r="D42" s="757" t="s">
        <v>603</v>
      </c>
      <c r="E42" s="762" t="s">
        <v>603</v>
      </c>
      <c r="F42" s="762" t="s">
        <v>603</v>
      </c>
      <c r="G42" s="762" t="s">
        <v>604</v>
      </c>
      <c r="H42" s="762" t="s">
        <v>603</v>
      </c>
    </row>
    <row r="43" spans="1:9" ht="19.5" customHeight="1" x14ac:dyDescent="0.2">
      <c r="A43" s="830"/>
      <c r="B43" s="762" t="s">
        <v>183</v>
      </c>
      <c r="C43" s="762" t="s">
        <v>183</v>
      </c>
      <c r="D43" s="762" t="s">
        <v>183</v>
      </c>
      <c r="E43" s="762" t="s">
        <v>183</v>
      </c>
      <c r="F43" s="757" t="s">
        <v>184</v>
      </c>
      <c r="G43" s="757" t="s">
        <v>186</v>
      </c>
      <c r="H43" s="757" t="s">
        <v>605</v>
      </c>
    </row>
    <row r="44" spans="1:9" ht="19.5" customHeight="1" x14ac:dyDescent="0.2">
      <c r="A44" s="831"/>
      <c r="B44" s="757">
        <v>1</v>
      </c>
      <c r="C44" s="757">
        <v>2</v>
      </c>
      <c r="D44" s="757">
        <v>3</v>
      </c>
      <c r="E44" s="762">
        <v>4</v>
      </c>
      <c r="F44" s="819" t="s">
        <v>606</v>
      </c>
      <c r="G44" s="819" t="s">
        <v>606</v>
      </c>
      <c r="H44" s="819" t="s">
        <v>606</v>
      </c>
    </row>
    <row r="45" spans="1:9" ht="19.5" customHeight="1" x14ac:dyDescent="0.2">
      <c r="A45" s="832" t="s">
        <v>157</v>
      </c>
      <c r="B45" s="757">
        <v>0.8</v>
      </c>
      <c r="C45" s="757">
        <v>0.5</v>
      </c>
      <c r="D45" s="757">
        <v>0.36</v>
      </c>
      <c r="E45" s="757">
        <v>0.3</v>
      </c>
      <c r="F45" s="819">
        <v>0.3</v>
      </c>
      <c r="G45" s="757">
        <v>0.3</v>
      </c>
      <c r="H45" s="757">
        <v>0.25</v>
      </c>
    </row>
    <row r="46" spans="1:9" ht="19.5" customHeight="1" x14ac:dyDescent="0.2">
      <c r="A46" s="832" t="s">
        <v>158</v>
      </c>
      <c r="B46" s="757">
        <v>0.8</v>
      </c>
      <c r="C46" s="757">
        <v>0.5</v>
      </c>
      <c r="D46" s="757">
        <v>0.36</v>
      </c>
      <c r="E46" s="757">
        <v>0.3</v>
      </c>
      <c r="F46" s="757">
        <v>0.3</v>
      </c>
      <c r="G46" s="757">
        <v>0.3</v>
      </c>
      <c r="H46" s="757">
        <v>0.25</v>
      </c>
    </row>
    <row r="47" spans="1:9" ht="19.5" customHeight="1" x14ac:dyDescent="0.2">
      <c r="A47" s="832" t="s">
        <v>159</v>
      </c>
      <c r="B47" s="757">
        <v>0.7</v>
      </c>
      <c r="C47" s="757">
        <v>0.4</v>
      </c>
      <c r="D47" s="757">
        <v>0.28000000000000003</v>
      </c>
      <c r="E47" s="757">
        <v>0.25</v>
      </c>
      <c r="F47" s="757">
        <v>0.25</v>
      </c>
      <c r="G47" s="757">
        <v>0.25</v>
      </c>
      <c r="H47" s="757">
        <v>0.2</v>
      </c>
    </row>
    <row r="48" spans="1:9" ht="19.5" customHeight="1" x14ac:dyDescent="0.2">
      <c r="A48" s="832" t="s">
        <v>160</v>
      </c>
      <c r="B48" s="757">
        <v>0.7</v>
      </c>
      <c r="C48" s="757">
        <v>0.4</v>
      </c>
      <c r="D48" s="757">
        <v>0.28000000000000003</v>
      </c>
      <c r="E48" s="757">
        <v>0.25</v>
      </c>
      <c r="F48" s="757">
        <v>0.25</v>
      </c>
      <c r="G48" s="757">
        <v>0.25</v>
      </c>
      <c r="H48" s="757">
        <v>0.2</v>
      </c>
    </row>
    <row r="49" spans="1:8" s="817" customFormat="1" ht="19.5" customHeight="1" x14ac:dyDescent="0.2">
      <c r="A49" s="832" t="s">
        <v>161</v>
      </c>
      <c r="B49" s="757">
        <v>0.7</v>
      </c>
      <c r="C49" s="757">
        <v>0.4</v>
      </c>
      <c r="D49" s="757">
        <v>0.28000000000000003</v>
      </c>
      <c r="E49" s="757">
        <v>0.25</v>
      </c>
      <c r="F49" s="757">
        <v>0.25</v>
      </c>
      <c r="G49" s="757">
        <v>0.25</v>
      </c>
      <c r="H49" s="757">
        <v>0.2</v>
      </c>
    </row>
    <row r="50" spans="1:8" s="817" customFormat="1" ht="19.5" customHeight="1" x14ac:dyDescent="0.2">
      <c r="A50" s="832" t="s">
        <v>162</v>
      </c>
      <c r="B50" s="757">
        <v>0.7</v>
      </c>
      <c r="C50" s="757">
        <v>0.4</v>
      </c>
      <c r="D50" s="757">
        <v>0.28000000000000003</v>
      </c>
      <c r="E50" s="757">
        <v>0.25</v>
      </c>
      <c r="F50" s="757">
        <v>0.25</v>
      </c>
      <c r="G50" s="757">
        <v>0.25</v>
      </c>
      <c r="H50" s="757">
        <v>0.2</v>
      </c>
    </row>
    <row r="51" spans="1:8" s="817" customFormat="1" ht="19.5" customHeight="1" x14ac:dyDescent="0.2">
      <c r="A51" s="832" t="s">
        <v>163</v>
      </c>
      <c r="B51" s="757">
        <v>0.7</v>
      </c>
      <c r="C51" s="757">
        <v>0.4</v>
      </c>
      <c r="D51" s="757">
        <v>0.28000000000000003</v>
      </c>
      <c r="E51" s="757">
        <v>0.25</v>
      </c>
      <c r="F51" s="757">
        <v>0.25</v>
      </c>
      <c r="G51" s="757">
        <v>0.25</v>
      </c>
      <c r="H51" s="757">
        <v>0.2</v>
      </c>
    </row>
    <row r="52" spans="1:8" s="817" customFormat="1" ht="19.5" customHeight="1" x14ac:dyDescent="0.2">
      <c r="A52" s="832" t="s">
        <v>164</v>
      </c>
      <c r="B52" s="757">
        <v>0.6</v>
      </c>
      <c r="C52" s="757">
        <v>0.3</v>
      </c>
      <c r="D52" s="757">
        <v>0.2</v>
      </c>
      <c r="E52" s="757">
        <v>0.2</v>
      </c>
      <c r="F52" s="757">
        <v>0.2</v>
      </c>
      <c r="G52" s="757">
        <v>0.2</v>
      </c>
      <c r="H52" s="757">
        <v>0.15</v>
      </c>
    </row>
    <row r="53" spans="1:8" s="817" customFormat="1" ht="19.5" customHeight="1" x14ac:dyDescent="0.2">
      <c r="A53" s="832" t="s">
        <v>165</v>
      </c>
      <c r="B53" s="757">
        <v>0.6</v>
      </c>
      <c r="C53" s="757">
        <v>0.3</v>
      </c>
      <c r="D53" s="757">
        <v>0.2</v>
      </c>
      <c r="E53" s="757">
        <v>0.2</v>
      </c>
      <c r="F53" s="757">
        <v>0.2</v>
      </c>
      <c r="G53" s="757">
        <v>0.2</v>
      </c>
      <c r="H53" s="757">
        <v>0.15</v>
      </c>
    </row>
    <row r="54" spans="1:8" s="817" customFormat="1" ht="19.5" customHeight="1" x14ac:dyDescent="0.2">
      <c r="A54" s="832" t="s">
        <v>166</v>
      </c>
      <c r="B54" s="757">
        <v>0.6</v>
      </c>
      <c r="C54" s="757">
        <v>0.3</v>
      </c>
      <c r="D54" s="757">
        <v>0.2</v>
      </c>
      <c r="E54" s="757">
        <v>0.2</v>
      </c>
      <c r="F54" s="757">
        <v>0.2</v>
      </c>
      <c r="G54" s="757">
        <v>0.2</v>
      </c>
      <c r="H54" s="757">
        <v>0.15</v>
      </c>
    </row>
    <row r="55" spans="1:8" s="817" customFormat="1" ht="19.5" customHeight="1" x14ac:dyDescent="0.2">
      <c r="A55" s="832" t="s">
        <v>167</v>
      </c>
      <c r="B55" s="757">
        <v>0.6</v>
      </c>
      <c r="C55" s="757">
        <v>0.3</v>
      </c>
      <c r="D55" s="757">
        <v>0.2</v>
      </c>
      <c r="E55" s="757">
        <v>0.2</v>
      </c>
      <c r="F55" s="757">
        <v>0.2</v>
      </c>
      <c r="G55" s="757">
        <v>0.2</v>
      </c>
      <c r="H55" s="757">
        <v>0.15</v>
      </c>
    </row>
    <row r="56" spans="1:8" s="817" customFormat="1" ht="19.5" customHeight="1" x14ac:dyDescent="0.2">
      <c r="A56" s="832" t="s">
        <v>168</v>
      </c>
      <c r="B56" s="757">
        <v>0.6</v>
      </c>
      <c r="C56" s="757">
        <v>0.3</v>
      </c>
      <c r="D56" s="757">
        <v>0.2</v>
      </c>
      <c r="E56" s="757">
        <v>0.2</v>
      </c>
      <c r="F56" s="757">
        <v>0.2</v>
      </c>
      <c r="G56" s="757">
        <v>0.2</v>
      </c>
      <c r="H56" s="757">
        <v>0.15</v>
      </c>
    </row>
    <row r="58" spans="1:8" s="817" customFormat="1" ht="19.5" customHeight="1" x14ac:dyDescent="0.2">
      <c r="A58" s="833"/>
      <c r="B58" s="815"/>
      <c r="C58" s="815"/>
      <c r="D58" s="815" t="s">
        <v>607</v>
      </c>
      <c r="E58" s="815"/>
      <c r="F58" s="815"/>
    </row>
    <row r="59" spans="1:8" s="817" customFormat="1" ht="19.5" customHeight="1" x14ac:dyDescent="0.2">
      <c r="A59" s="821" t="s">
        <v>608</v>
      </c>
      <c r="B59" s="821" t="s">
        <v>609</v>
      </c>
      <c r="C59" s="821" t="s">
        <v>610</v>
      </c>
      <c r="D59" s="821" t="s">
        <v>611</v>
      </c>
      <c r="E59" s="821" t="s">
        <v>612</v>
      </c>
      <c r="F59" s="821" t="s">
        <v>613</v>
      </c>
    </row>
    <row r="60" spans="1:8" ht="15" x14ac:dyDescent="0.2">
      <c r="A60" s="878"/>
      <c r="B60" s="878"/>
      <c r="C60" s="878" t="s">
        <v>745</v>
      </c>
      <c r="D60" s="878"/>
      <c r="E60" s="834" t="s">
        <v>1</v>
      </c>
      <c r="F60" s="878" t="s">
        <v>1</v>
      </c>
    </row>
    <row r="61" spans="1:8" s="817" customFormat="1" ht="26" x14ac:dyDescent="0.2">
      <c r="A61" s="821">
        <v>1</v>
      </c>
      <c r="B61" s="3593" t="s">
        <v>614</v>
      </c>
      <c r="C61" s="757" t="s">
        <v>615</v>
      </c>
      <c r="D61" s="757" t="s">
        <v>616</v>
      </c>
      <c r="E61" s="834">
        <v>0.5</v>
      </c>
      <c r="F61" s="821">
        <v>80</v>
      </c>
    </row>
    <row r="62" spans="1:8" s="817" customFormat="1" ht="26" x14ac:dyDescent="0.2">
      <c r="A62" s="821">
        <v>2</v>
      </c>
      <c r="B62" s="3593"/>
      <c r="C62" s="757" t="s">
        <v>617</v>
      </c>
      <c r="D62" s="757" t="s">
        <v>618</v>
      </c>
      <c r="E62" s="834">
        <v>0.5</v>
      </c>
      <c r="F62" s="821">
        <v>80</v>
      </c>
    </row>
    <row r="63" spans="1:8" s="817" customFormat="1" ht="39" x14ac:dyDescent="0.2">
      <c r="A63" s="821">
        <v>3</v>
      </c>
      <c r="B63" s="3593"/>
      <c r="C63" s="757" t="s">
        <v>619</v>
      </c>
      <c r="D63" s="757" t="s">
        <v>620</v>
      </c>
      <c r="E63" s="834">
        <v>0.5</v>
      </c>
      <c r="F63" s="821">
        <v>80</v>
      </c>
    </row>
    <row r="64" spans="1:8" s="817" customFormat="1" ht="39" x14ac:dyDescent="0.2">
      <c r="A64" s="821">
        <v>4</v>
      </c>
      <c r="B64" s="3593"/>
      <c r="C64" s="757" t="s">
        <v>621</v>
      </c>
      <c r="D64" s="757" t="s">
        <v>622</v>
      </c>
      <c r="E64" s="834">
        <v>0.4</v>
      </c>
      <c r="F64" s="821">
        <v>60</v>
      </c>
    </row>
    <row r="65" spans="1:6" s="817" customFormat="1" ht="39" x14ac:dyDescent="0.2">
      <c r="A65" s="821">
        <v>5</v>
      </c>
      <c r="B65" s="3593"/>
      <c r="C65" s="757" t="s">
        <v>623</v>
      </c>
      <c r="D65" s="757" t="s">
        <v>624</v>
      </c>
      <c r="E65" s="834">
        <v>0.2</v>
      </c>
      <c r="F65" s="821">
        <v>30</v>
      </c>
    </row>
    <row r="66" spans="1:6" s="817" customFormat="1" ht="39" x14ac:dyDescent="0.2">
      <c r="A66" s="821">
        <v>6</v>
      </c>
      <c r="B66" s="3593"/>
      <c r="C66" s="757" t="s">
        <v>625</v>
      </c>
      <c r="D66" s="757" t="s">
        <v>626</v>
      </c>
      <c r="E66" s="834">
        <v>0.3</v>
      </c>
      <c r="F66" s="821">
        <v>50</v>
      </c>
    </row>
    <row r="67" spans="1:6" s="817" customFormat="1" ht="39" x14ac:dyDescent="0.2">
      <c r="A67" s="821">
        <v>7</v>
      </c>
      <c r="B67" s="3593"/>
      <c r="C67" s="757" t="s">
        <v>627</v>
      </c>
      <c r="D67" s="757" t="s">
        <v>628</v>
      </c>
      <c r="E67" s="834">
        <v>0.2</v>
      </c>
      <c r="F67" s="821">
        <v>30</v>
      </c>
    </row>
    <row r="68" spans="1:6" s="817" customFormat="1" ht="39" x14ac:dyDescent="0.2">
      <c r="A68" s="821">
        <v>8</v>
      </c>
      <c r="B68" s="3593"/>
      <c r="C68" s="757" t="s">
        <v>629</v>
      </c>
      <c r="D68" s="757" t="s">
        <v>630</v>
      </c>
      <c r="E68" s="834">
        <v>0.2</v>
      </c>
      <c r="F68" s="821">
        <v>30</v>
      </c>
    </row>
    <row r="69" spans="1:6" s="817" customFormat="1" ht="39" x14ac:dyDescent="0.2">
      <c r="A69" s="821">
        <v>9</v>
      </c>
      <c r="B69" s="3593"/>
      <c r="C69" s="757" t="s">
        <v>631</v>
      </c>
      <c r="D69" s="757" t="s">
        <v>632</v>
      </c>
      <c r="E69" s="834">
        <v>0.2</v>
      </c>
      <c r="F69" s="821">
        <v>30</v>
      </c>
    </row>
    <row r="70" spans="1:6" s="817" customFormat="1" ht="52" x14ac:dyDescent="0.2">
      <c r="A70" s="821">
        <v>10</v>
      </c>
      <c r="B70" s="3593"/>
      <c r="C70" s="757" t="s">
        <v>633</v>
      </c>
      <c r="D70" s="757" t="s">
        <v>634</v>
      </c>
      <c r="E70" s="834">
        <v>0.2</v>
      </c>
      <c r="F70" s="821">
        <v>30</v>
      </c>
    </row>
    <row r="71" spans="1:6" s="817" customFormat="1" ht="52" x14ac:dyDescent="0.2">
      <c r="A71" s="821">
        <v>11</v>
      </c>
      <c r="B71" s="3593"/>
      <c r="C71" s="757" t="s">
        <v>635</v>
      </c>
      <c r="D71" s="757" t="s">
        <v>636</v>
      </c>
      <c r="E71" s="834">
        <v>0.2</v>
      </c>
      <c r="F71" s="821">
        <v>30</v>
      </c>
    </row>
    <row r="72" spans="1:6" s="817" customFormat="1" ht="39" x14ac:dyDescent="0.2">
      <c r="A72" s="821">
        <v>12</v>
      </c>
      <c r="B72" s="3593"/>
      <c r="C72" s="757" t="s">
        <v>637</v>
      </c>
      <c r="D72" s="757" t="s">
        <v>638</v>
      </c>
      <c r="E72" s="834">
        <v>0.5</v>
      </c>
      <c r="F72" s="821">
        <v>80</v>
      </c>
    </row>
    <row r="73" spans="1:6" s="817" customFormat="1" ht="26" x14ac:dyDescent="0.2">
      <c r="A73" s="821">
        <v>13</v>
      </c>
      <c r="B73" s="3593"/>
      <c r="C73" s="757" t="s">
        <v>639</v>
      </c>
      <c r="D73" s="757" t="s">
        <v>640</v>
      </c>
      <c r="E73" s="834">
        <v>0.4</v>
      </c>
      <c r="F73" s="821">
        <v>60</v>
      </c>
    </row>
    <row r="74" spans="1:6" s="817" customFormat="1" ht="26" x14ac:dyDescent="0.2">
      <c r="A74" s="821">
        <v>14</v>
      </c>
      <c r="B74" s="3593"/>
      <c r="C74" s="757" t="s">
        <v>641</v>
      </c>
      <c r="D74" s="757" t="s">
        <v>642</v>
      </c>
      <c r="E74" s="834">
        <v>0.2</v>
      </c>
      <c r="F74" s="821">
        <v>30</v>
      </c>
    </row>
    <row r="75" spans="1:6" s="817" customFormat="1" ht="26" x14ac:dyDescent="0.2">
      <c r="A75" s="821">
        <v>15</v>
      </c>
      <c r="B75" s="3593"/>
      <c r="C75" s="757" t="s">
        <v>643</v>
      </c>
      <c r="D75" s="757" t="s">
        <v>644</v>
      </c>
      <c r="E75" s="834">
        <v>0.2</v>
      </c>
      <c r="F75" s="821">
        <v>30</v>
      </c>
    </row>
    <row r="76" spans="1:6" s="817" customFormat="1" ht="26" x14ac:dyDescent="0.2">
      <c r="A76" s="821">
        <v>16</v>
      </c>
      <c r="B76" s="3593" t="s">
        <v>645</v>
      </c>
      <c r="C76" s="757" t="s">
        <v>646</v>
      </c>
      <c r="D76" s="757" t="s">
        <v>647</v>
      </c>
      <c r="E76" s="834">
        <v>0.5</v>
      </c>
      <c r="F76" s="821">
        <v>80</v>
      </c>
    </row>
    <row r="77" spans="1:6" s="817" customFormat="1" ht="26" x14ac:dyDescent="0.2">
      <c r="A77" s="821">
        <v>17</v>
      </c>
      <c r="B77" s="3593"/>
      <c r="C77" s="757" t="s">
        <v>648</v>
      </c>
      <c r="D77" s="757" t="s">
        <v>649</v>
      </c>
      <c r="E77" s="834">
        <v>0.5</v>
      </c>
      <c r="F77" s="821">
        <v>80</v>
      </c>
    </row>
    <row r="78" spans="1:6" s="817" customFormat="1" ht="26" x14ac:dyDescent="0.2">
      <c r="A78" s="821">
        <v>18</v>
      </c>
      <c r="B78" s="3593"/>
      <c r="C78" s="757" t="s">
        <v>650</v>
      </c>
      <c r="D78" s="757" t="s">
        <v>651</v>
      </c>
      <c r="E78" s="834">
        <v>0.2</v>
      </c>
      <c r="F78" s="821">
        <v>30</v>
      </c>
    </row>
    <row r="79" spans="1:6" s="817" customFormat="1" ht="26" x14ac:dyDescent="0.2">
      <c r="A79" s="821">
        <v>19</v>
      </c>
      <c r="B79" s="3593"/>
      <c r="C79" s="757" t="s">
        <v>652</v>
      </c>
      <c r="D79" s="757" t="s">
        <v>653</v>
      </c>
      <c r="E79" s="834">
        <v>0.5</v>
      </c>
      <c r="F79" s="821">
        <v>80</v>
      </c>
    </row>
    <row r="80" spans="1:6" s="817" customFormat="1" ht="39" x14ac:dyDescent="0.2">
      <c r="A80" s="821">
        <v>20</v>
      </c>
      <c r="B80" s="3593"/>
      <c r="C80" s="757" t="s">
        <v>654</v>
      </c>
      <c r="D80" s="757" t="s">
        <v>655</v>
      </c>
      <c r="E80" s="834">
        <v>0.2</v>
      </c>
      <c r="F80" s="821">
        <v>30</v>
      </c>
    </row>
    <row r="81" spans="1:6" s="817" customFormat="1" ht="39" x14ac:dyDescent="0.2">
      <c r="A81" s="821">
        <v>21</v>
      </c>
      <c r="B81" s="3593"/>
      <c r="C81" s="757" t="s">
        <v>656</v>
      </c>
      <c r="D81" s="757" t="s">
        <v>657</v>
      </c>
      <c r="E81" s="834">
        <v>0.2</v>
      </c>
      <c r="F81" s="821">
        <v>30</v>
      </c>
    </row>
    <row r="82" spans="1:6" s="817" customFormat="1" ht="52" x14ac:dyDescent="0.2">
      <c r="A82" s="821">
        <v>22</v>
      </c>
      <c r="B82" s="3593"/>
      <c r="C82" s="757" t="s">
        <v>658</v>
      </c>
      <c r="D82" s="757" t="s">
        <v>659</v>
      </c>
      <c r="E82" s="834">
        <v>0.2</v>
      </c>
      <c r="F82" s="821">
        <v>30</v>
      </c>
    </row>
    <row r="83" spans="1:6" s="817" customFormat="1" ht="52" x14ac:dyDescent="0.2">
      <c r="A83" s="821">
        <v>23</v>
      </c>
      <c r="B83" s="3593"/>
      <c r="C83" s="757" t="s">
        <v>660</v>
      </c>
      <c r="D83" s="757" t="s">
        <v>661</v>
      </c>
      <c r="E83" s="834">
        <v>0.2</v>
      </c>
      <c r="F83" s="821">
        <v>30</v>
      </c>
    </row>
    <row r="84" spans="1:6" s="817" customFormat="1" ht="39" x14ac:dyDescent="0.2">
      <c r="A84" s="821">
        <v>24</v>
      </c>
      <c r="B84" s="3593"/>
      <c r="C84" s="757" t="s">
        <v>662</v>
      </c>
      <c r="D84" s="757" t="s">
        <v>663</v>
      </c>
      <c r="E84" s="834">
        <v>0.2</v>
      </c>
      <c r="F84" s="821">
        <v>30</v>
      </c>
    </row>
    <row r="85" spans="1:6" s="817" customFormat="1" ht="39" x14ac:dyDescent="0.2">
      <c r="A85" s="821">
        <v>25</v>
      </c>
      <c r="B85" s="3593"/>
      <c r="C85" s="757" t="s">
        <v>664</v>
      </c>
      <c r="D85" s="757" t="s">
        <v>665</v>
      </c>
      <c r="E85" s="834">
        <v>0.5</v>
      </c>
      <c r="F85" s="821">
        <v>80</v>
      </c>
    </row>
    <row r="86" spans="1:6" s="817" customFormat="1" ht="39" x14ac:dyDescent="0.2">
      <c r="A86" s="821">
        <v>26</v>
      </c>
      <c r="B86" s="3593"/>
      <c r="C86" s="757" t="s">
        <v>666</v>
      </c>
      <c r="D86" s="757" t="s">
        <v>667</v>
      </c>
      <c r="E86" s="834">
        <v>0.2</v>
      </c>
      <c r="F86" s="821">
        <v>30</v>
      </c>
    </row>
    <row r="87" spans="1:6" s="817" customFormat="1" ht="39" x14ac:dyDescent="0.2">
      <c r="A87" s="821">
        <v>27</v>
      </c>
      <c r="B87" s="3593"/>
      <c r="C87" s="757" t="s">
        <v>668</v>
      </c>
      <c r="D87" s="757" t="s">
        <v>669</v>
      </c>
      <c r="E87" s="834">
        <v>0.2</v>
      </c>
      <c r="F87" s="821">
        <v>30</v>
      </c>
    </row>
    <row r="88" spans="1:6" s="817" customFormat="1" ht="39" x14ac:dyDescent="0.2">
      <c r="A88" s="821">
        <v>28</v>
      </c>
      <c r="B88" s="3593"/>
      <c r="C88" s="757" t="s">
        <v>670</v>
      </c>
      <c r="D88" s="757" t="s">
        <v>671</v>
      </c>
      <c r="E88" s="834">
        <v>0.2</v>
      </c>
      <c r="F88" s="821">
        <v>30</v>
      </c>
    </row>
    <row r="89" spans="1:6" s="817" customFormat="1" ht="26" x14ac:dyDescent="0.2">
      <c r="A89" s="821">
        <v>29</v>
      </c>
      <c r="B89" s="3593"/>
      <c r="C89" s="757" t="s">
        <v>672</v>
      </c>
      <c r="D89" s="757" t="s">
        <v>673</v>
      </c>
      <c r="E89" s="834">
        <v>0.2</v>
      </c>
      <c r="F89" s="821">
        <v>30</v>
      </c>
    </row>
    <row r="90" spans="1:6" s="817" customFormat="1" ht="26" x14ac:dyDescent="0.2">
      <c r="A90" s="821">
        <v>30</v>
      </c>
      <c r="B90" s="3593"/>
      <c r="C90" s="757" t="s">
        <v>674</v>
      </c>
      <c r="D90" s="757" t="s">
        <v>675</v>
      </c>
      <c r="E90" s="834">
        <v>0.2</v>
      </c>
      <c r="F90" s="821">
        <v>30</v>
      </c>
    </row>
    <row r="91" spans="1:6" s="817" customFormat="1" ht="39" x14ac:dyDescent="0.2">
      <c r="A91" s="821">
        <v>31</v>
      </c>
      <c r="B91" s="3593"/>
      <c r="C91" s="757" t="s">
        <v>676</v>
      </c>
      <c r="D91" s="757" t="s">
        <v>677</v>
      </c>
      <c r="E91" s="834">
        <v>0.2</v>
      </c>
      <c r="F91" s="821">
        <v>30</v>
      </c>
    </row>
    <row r="92" spans="1:6" s="817" customFormat="1" ht="26" x14ac:dyDescent="0.2">
      <c r="A92" s="821">
        <v>32</v>
      </c>
      <c r="B92" s="3593" t="s">
        <v>678</v>
      </c>
      <c r="C92" s="821" t="s">
        <v>679</v>
      </c>
      <c r="D92" s="757" t="s">
        <v>680</v>
      </c>
      <c r="E92" s="834">
        <v>0.2</v>
      </c>
      <c r="F92" s="821">
        <v>30</v>
      </c>
    </row>
    <row r="93" spans="1:6" s="817" customFormat="1" ht="39" x14ac:dyDescent="0.2">
      <c r="A93" s="821">
        <v>33</v>
      </c>
      <c r="B93" s="3593"/>
      <c r="C93" s="821" t="s">
        <v>681</v>
      </c>
      <c r="D93" s="757" t="s">
        <v>682</v>
      </c>
      <c r="E93" s="834">
        <v>0.2</v>
      </c>
      <c r="F93" s="821">
        <v>30</v>
      </c>
    </row>
    <row r="94" spans="1:6" s="817" customFormat="1" ht="52" x14ac:dyDescent="0.2">
      <c r="A94" s="821">
        <v>34</v>
      </c>
      <c r="B94" s="3593"/>
      <c r="C94" s="821" t="s">
        <v>683</v>
      </c>
      <c r="D94" s="757" t="s">
        <v>684</v>
      </c>
      <c r="E94" s="834">
        <v>0.2</v>
      </c>
      <c r="F94" s="821">
        <v>30</v>
      </c>
    </row>
    <row r="95" spans="1:6" s="817" customFormat="1" ht="39" x14ac:dyDescent="0.2">
      <c r="A95" s="821">
        <v>35</v>
      </c>
      <c r="B95" s="3593"/>
      <c r="C95" s="821" t="s">
        <v>685</v>
      </c>
      <c r="D95" s="757" t="s">
        <v>686</v>
      </c>
      <c r="E95" s="834">
        <v>0.2</v>
      </c>
      <c r="F95" s="821">
        <v>30</v>
      </c>
    </row>
    <row r="96" spans="1:6" s="817" customFormat="1" ht="52" x14ac:dyDescent="0.2">
      <c r="A96" s="821">
        <v>36</v>
      </c>
      <c r="B96" s="3593"/>
      <c r="C96" s="757" t="s">
        <v>687</v>
      </c>
      <c r="D96" s="757" t="s">
        <v>688</v>
      </c>
      <c r="E96" s="834">
        <v>0.2</v>
      </c>
      <c r="F96" s="821">
        <v>30</v>
      </c>
    </row>
    <row r="97" spans="1:6" s="817" customFormat="1" ht="39" x14ac:dyDescent="0.2">
      <c r="A97" s="821">
        <v>37</v>
      </c>
      <c r="B97" s="3593"/>
      <c r="C97" s="821" t="s">
        <v>689</v>
      </c>
      <c r="D97" s="757" t="s">
        <v>690</v>
      </c>
      <c r="E97" s="834">
        <v>0.2</v>
      </c>
      <c r="F97" s="821">
        <v>30</v>
      </c>
    </row>
    <row r="98" spans="1:6" s="817" customFormat="1" ht="39" x14ac:dyDescent="0.2">
      <c r="A98" s="821">
        <v>38</v>
      </c>
      <c r="B98" s="3593"/>
      <c r="C98" s="821" t="s">
        <v>691</v>
      </c>
      <c r="D98" s="757" t="s">
        <v>692</v>
      </c>
      <c r="E98" s="834">
        <v>0.2</v>
      </c>
      <c r="F98" s="821">
        <v>30</v>
      </c>
    </row>
    <row r="99" spans="1:6" s="817" customFormat="1" ht="39" x14ac:dyDescent="0.2">
      <c r="A99" s="821">
        <v>39</v>
      </c>
      <c r="B99" s="3593" t="s">
        <v>693</v>
      </c>
      <c r="C99" s="821" t="s">
        <v>694</v>
      </c>
      <c r="D99" s="757" t="s">
        <v>695</v>
      </c>
      <c r="E99" s="834">
        <v>0.3</v>
      </c>
      <c r="F99" s="821">
        <v>50</v>
      </c>
    </row>
    <row r="100" spans="1:6" s="817" customFormat="1" ht="26" x14ac:dyDescent="0.2">
      <c r="A100" s="821">
        <v>40</v>
      </c>
      <c r="B100" s="3593"/>
      <c r="C100" s="821" t="s">
        <v>696</v>
      </c>
      <c r="D100" s="757" t="s">
        <v>697</v>
      </c>
      <c r="E100" s="834">
        <v>0.2</v>
      </c>
      <c r="F100" s="821">
        <v>30</v>
      </c>
    </row>
    <row r="101" spans="1:6" s="817" customFormat="1" ht="39" x14ac:dyDescent="0.2">
      <c r="A101" s="821">
        <v>41</v>
      </c>
      <c r="B101" s="3593"/>
      <c r="C101" s="821" t="s">
        <v>698</v>
      </c>
      <c r="D101" s="757" t="s">
        <v>695</v>
      </c>
      <c r="E101" s="834">
        <v>0.2</v>
      </c>
      <c r="F101" s="821">
        <v>30</v>
      </c>
    </row>
    <row r="102" spans="1:6" s="817" customFormat="1" ht="52" x14ac:dyDescent="0.2">
      <c r="A102" s="821">
        <v>42</v>
      </c>
      <c r="B102" s="821" t="s">
        <v>699</v>
      </c>
      <c r="C102" s="757" t="s">
        <v>700</v>
      </c>
      <c r="D102" s="757" t="s">
        <v>701</v>
      </c>
      <c r="E102" s="834">
        <v>0.2</v>
      </c>
      <c r="F102" s="821">
        <v>30</v>
      </c>
    </row>
    <row r="103" spans="1:6" s="817" customFormat="1" ht="26" x14ac:dyDescent="0.2">
      <c r="A103" s="821">
        <v>43</v>
      </c>
      <c r="B103" s="821" t="s">
        <v>702</v>
      </c>
      <c r="C103" s="821" t="s">
        <v>703</v>
      </c>
      <c r="D103" s="757" t="s">
        <v>704</v>
      </c>
      <c r="E103" s="834">
        <v>0.2</v>
      </c>
      <c r="F103" s="821">
        <v>30</v>
      </c>
    </row>
    <row r="104" spans="1:6" s="817" customFormat="1" ht="39" x14ac:dyDescent="0.2">
      <c r="A104" s="821">
        <v>44</v>
      </c>
      <c r="B104" s="821" t="s">
        <v>705</v>
      </c>
      <c r="C104" s="821" t="s">
        <v>706</v>
      </c>
      <c r="D104" s="757" t="s">
        <v>707</v>
      </c>
      <c r="E104" s="834">
        <v>0.2</v>
      </c>
      <c r="F104" s="821">
        <v>30</v>
      </c>
    </row>
    <row r="105" spans="1:6" s="817" customFormat="1" ht="39" x14ac:dyDescent="0.2">
      <c r="A105" s="821">
        <v>45</v>
      </c>
      <c r="B105" s="3593" t="s">
        <v>708</v>
      </c>
      <c r="C105" s="821" t="s">
        <v>709</v>
      </c>
      <c r="D105" s="757" t="s">
        <v>710</v>
      </c>
      <c r="E105" s="834">
        <v>0.2</v>
      </c>
      <c r="F105" s="821">
        <v>30</v>
      </c>
    </row>
    <row r="106" spans="1:6" s="817" customFormat="1" ht="39" x14ac:dyDescent="0.2">
      <c r="A106" s="821">
        <v>46</v>
      </c>
      <c r="B106" s="3593"/>
      <c r="C106" s="821" t="s">
        <v>711</v>
      </c>
      <c r="D106" s="757" t="s">
        <v>712</v>
      </c>
      <c r="E106" s="834">
        <v>0.2</v>
      </c>
      <c r="F106" s="821">
        <v>30</v>
      </c>
    </row>
    <row r="107" spans="1:6" s="817" customFormat="1" ht="39" x14ac:dyDescent="0.2">
      <c r="A107" s="821">
        <v>47</v>
      </c>
      <c r="B107" s="3593" t="s">
        <v>713</v>
      </c>
      <c r="C107" s="821" t="s">
        <v>714</v>
      </c>
      <c r="D107" s="757" t="s">
        <v>715</v>
      </c>
      <c r="E107" s="834">
        <v>0.3</v>
      </c>
      <c r="F107" s="821">
        <v>50</v>
      </c>
    </row>
    <row r="108" spans="1:6" s="817" customFormat="1" ht="39" x14ac:dyDescent="0.2">
      <c r="A108" s="821">
        <v>48</v>
      </c>
      <c r="B108" s="3593"/>
      <c r="C108" s="821" t="s">
        <v>716</v>
      </c>
      <c r="D108" s="757" t="s">
        <v>717</v>
      </c>
      <c r="E108" s="834">
        <v>0.2</v>
      </c>
      <c r="F108" s="821">
        <v>30</v>
      </c>
    </row>
    <row r="109" spans="1:6" s="817" customFormat="1" ht="39" x14ac:dyDescent="0.2">
      <c r="A109" s="821">
        <v>49</v>
      </c>
      <c r="B109" s="821" t="s">
        <v>718</v>
      </c>
      <c r="C109" s="821" t="s">
        <v>719</v>
      </c>
      <c r="D109" s="757" t="s">
        <v>720</v>
      </c>
      <c r="E109" s="834">
        <v>0.2</v>
      </c>
      <c r="F109" s="821">
        <v>30</v>
      </c>
    </row>
    <row r="110" spans="1:6" s="817" customFormat="1" ht="39" x14ac:dyDescent="0.2">
      <c r="A110" s="821">
        <v>50</v>
      </c>
      <c r="B110" s="821" t="s">
        <v>721</v>
      </c>
      <c r="C110" s="821" t="s">
        <v>722</v>
      </c>
      <c r="D110" s="757" t="s">
        <v>723</v>
      </c>
      <c r="E110" s="834">
        <v>0.2</v>
      </c>
      <c r="F110" s="821">
        <v>30</v>
      </c>
    </row>
    <row r="111" spans="1:6" s="817" customFormat="1" ht="39" x14ac:dyDescent="0.2">
      <c r="A111" s="821">
        <v>51</v>
      </c>
      <c r="B111" s="3593" t="s">
        <v>724</v>
      </c>
      <c r="C111" s="821" t="s">
        <v>725</v>
      </c>
      <c r="D111" s="757" t="s">
        <v>726</v>
      </c>
      <c r="E111" s="834">
        <v>0.2</v>
      </c>
      <c r="F111" s="821">
        <v>30</v>
      </c>
    </row>
    <row r="112" spans="1:6" s="817" customFormat="1" ht="26" x14ac:dyDescent="0.2">
      <c r="A112" s="821">
        <v>52</v>
      </c>
      <c r="B112" s="3593"/>
      <c r="C112" s="821" t="s">
        <v>727</v>
      </c>
      <c r="D112" s="757" t="s">
        <v>728</v>
      </c>
      <c r="E112" s="834">
        <v>0.2</v>
      </c>
      <c r="F112" s="821">
        <v>30</v>
      </c>
    </row>
    <row r="113" spans="1:6" s="817" customFormat="1" ht="26" x14ac:dyDescent="0.2">
      <c r="A113" s="821">
        <v>53</v>
      </c>
      <c r="B113" s="3593"/>
      <c r="C113" s="821" t="s">
        <v>729</v>
      </c>
      <c r="D113" s="757" t="s">
        <v>730</v>
      </c>
      <c r="E113" s="834">
        <v>0.2</v>
      </c>
      <c r="F113" s="821">
        <v>30</v>
      </c>
    </row>
    <row r="114" spans="1:6" ht="39" x14ac:dyDescent="0.2">
      <c r="A114" s="821">
        <v>54</v>
      </c>
      <c r="B114" s="821" t="s">
        <v>731</v>
      </c>
      <c r="C114" s="821" t="s">
        <v>732</v>
      </c>
      <c r="D114" s="757" t="s">
        <v>733</v>
      </c>
      <c r="E114" s="834">
        <v>0.2</v>
      </c>
      <c r="F114" s="821">
        <v>30</v>
      </c>
    </row>
    <row r="115" spans="1:6" ht="26" x14ac:dyDescent="0.2">
      <c r="A115" s="821">
        <v>55</v>
      </c>
      <c r="B115" s="821" t="s">
        <v>734</v>
      </c>
      <c r="C115" s="821" t="s">
        <v>735</v>
      </c>
      <c r="D115" s="757" t="s">
        <v>736</v>
      </c>
      <c r="E115" s="834">
        <v>0.2</v>
      </c>
      <c r="F115" s="821">
        <v>30</v>
      </c>
    </row>
    <row r="116" spans="1:6" ht="26" x14ac:dyDescent="0.2">
      <c r="A116" s="821">
        <v>56</v>
      </c>
      <c r="B116" s="3593" t="s">
        <v>737</v>
      </c>
      <c r="C116" s="821" t="s">
        <v>738</v>
      </c>
      <c r="D116" s="757" t="s">
        <v>739</v>
      </c>
      <c r="E116" s="834">
        <v>0.2</v>
      </c>
      <c r="F116" s="821">
        <v>30</v>
      </c>
    </row>
    <row r="117" spans="1:6" ht="39" x14ac:dyDescent="0.2">
      <c r="A117" s="821">
        <v>57</v>
      </c>
      <c r="B117" s="3593"/>
      <c r="C117" s="821" t="s">
        <v>740</v>
      </c>
      <c r="D117" s="757" t="s">
        <v>741</v>
      </c>
      <c r="E117" s="834">
        <v>0.2</v>
      </c>
      <c r="F117" s="821">
        <v>30</v>
      </c>
    </row>
    <row r="118" spans="1:6" ht="39" x14ac:dyDescent="0.2">
      <c r="A118" s="821">
        <v>58</v>
      </c>
      <c r="B118" s="821" t="s">
        <v>742</v>
      </c>
      <c r="C118" s="821" t="s">
        <v>743</v>
      </c>
      <c r="D118" s="757" t="s">
        <v>744</v>
      </c>
      <c r="E118" s="834">
        <v>0.2</v>
      </c>
      <c r="F118" s="821">
        <v>30</v>
      </c>
    </row>
    <row r="119" spans="1:6" ht="15" x14ac:dyDescent="0.2">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enableFormatConditionsCalculation="0"/>
  <dimension ref="A1:N408"/>
  <sheetViews>
    <sheetView workbookViewId="0">
      <selection activeCell="V30" sqref="V30"/>
    </sheetView>
  </sheetViews>
  <sheetFormatPr baseColWidth="10" defaultColWidth="9" defaultRowHeight="15" x14ac:dyDescent="0.2"/>
  <cols>
    <col min="1" max="1" width="9" style="854"/>
    <col min="2" max="16384" width="9" style="837"/>
  </cols>
  <sheetData>
    <row r="1" spans="1:14" x14ac:dyDescent="0.2">
      <c r="A1" s="835" t="s">
        <v>747</v>
      </c>
      <c r="B1" s="836"/>
      <c r="C1" s="836"/>
      <c r="D1" s="836"/>
      <c r="E1" s="836"/>
      <c r="F1" s="836"/>
      <c r="G1" s="836"/>
      <c r="H1" s="836"/>
      <c r="I1" s="836"/>
      <c r="J1" s="836"/>
      <c r="K1" s="836"/>
      <c r="L1" s="836"/>
      <c r="M1" s="836"/>
      <c r="N1" s="836"/>
    </row>
    <row r="2" spans="1:14" x14ac:dyDescent="0.2">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x14ac:dyDescent="0.2">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x14ac:dyDescent="0.2">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x14ac:dyDescent="0.2">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x14ac:dyDescent="0.2">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x14ac:dyDescent="0.2">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x14ac:dyDescent="0.2">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x14ac:dyDescent="0.2">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x14ac:dyDescent="0.2">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x14ac:dyDescent="0.2">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x14ac:dyDescent="0.2">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x14ac:dyDescent="0.2">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x14ac:dyDescent="0.2">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x14ac:dyDescent="0.2">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x14ac:dyDescent="0.2">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x14ac:dyDescent="0.2">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x14ac:dyDescent="0.2">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x14ac:dyDescent="0.2">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x14ac:dyDescent="0.2">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x14ac:dyDescent="0.2">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x14ac:dyDescent="0.2">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x14ac:dyDescent="0.2">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x14ac:dyDescent="0.2">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x14ac:dyDescent="0.2">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x14ac:dyDescent="0.2">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x14ac:dyDescent="0.2">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x14ac:dyDescent="0.2">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x14ac:dyDescent="0.2">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x14ac:dyDescent="0.2">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x14ac:dyDescent="0.2">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x14ac:dyDescent="0.2">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x14ac:dyDescent="0.2">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x14ac:dyDescent="0.2">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x14ac:dyDescent="0.2">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x14ac:dyDescent="0.2">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x14ac:dyDescent="0.2">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x14ac:dyDescent="0.2">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x14ac:dyDescent="0.2">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x14ac:dyDescent="0.2">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x14ac:dyDescent="0.2">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x14ac:dyDescent="0.2">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x14ac:dyDescent="0.2">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x14ac:dyDescent="0.2">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x14ac:dyDescent="0.2">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x14ac:dyDescent="0.2">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x14ac:dyDescent="0.2">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x14ac:dyDescent="0.2">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x14ac:dyDescent="0.2">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x14ac:dyDescent="0.2">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x14ac:dyDescent="0.2">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x14ac:dyDescent="0.2">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x14ac:dyDescent="0.2">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x14ac:dyDescent="0.2">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x14ac:dyDescent="0.2">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x14ac:dyDescent="0.2">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x14ac:dyDescent="0.2">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x14ac:dyDescent="0.2">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x14ac:dyDescent="0.2">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x14ac:dyDescent="0.2">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x14ac:dyDescent="0.2">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x14ac:dyDescent="0.2">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x14ac:dyDescent="0.2">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x14ac:dyDescent="0.2">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x14ac:dyDescent="0.2">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x14ac:dyDescent="0.2">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x14ac:dyDescent="0.2">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x14ac:dyDescent="0.2">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x14ac:dyDescent="0.2">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x14ac:dyDescent="0.2">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x14ac:dyDescent="0.2">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x14ac:dyDescent="0.2">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x14ac:dyDescent="0.2">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x14ac:dyDescent="0.2">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x14ac:dyDescent="0.2">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x14ac:dyDescent="0.2">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x14ac:dyDescent="0.2">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x14ac:dyDescent="0.2">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x14ac:dyDescent="0.2">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x14ac:dyDescent="0.2">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x14ac:dyDescent="0.2">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x14ac:dyDescent="0.2">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x14ac:dyDescent="0.2">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x14ac:dyDescent="0.2">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x14ac:dyDescent="0.2">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x14ac:dyDescent="0.2">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x14ac:dyDescent="0.2">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x14ac:dyDescent="0.2">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x14ac:dyDescent="0.2">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x14ac:dyDescent="0.2">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x14ac:dyDescent="0.2">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x14ac:dyDescent="0.2">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x14ac:dyDescent="0.2">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x14ac:dyDescent="0.2">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x14ac:dyDescent="0.2">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x14ac:dyDescent="0.2">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x14ac:dyDescent="0.2">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x14ac:dyDescent="0.2">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x14ac:dyDescent="0.2">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x14ac:dyDescent="0.2">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x14ac:dyDescent="0.2">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x14ac:dyDescent="0.2">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x14ac:dyDescent="0.2">
      <c r="A103" s="835" t="s">
        <v>748</v>
      </c>
      <c r="B103" s="836"/>
      <c r="C103" s="836"/>
      <c r="D103" s="836"/>
      <c r="E103" s="836"/>
      <c r="F103" s="836"/>
      <c r="G103" s="836"/>
      <c r="H103" s="836"/>
      <c r="I103" s="836"/>
      <c r="J103" s="836"/>
      <c r="K103" s="836"/>
      <c r="L103" s="836"/>
      <c r="M103" s="836"/>
      <c r="N103" s="836"/>
    </row>
    <row r="104" spans="1:14" x14ac:dyDescent="0.2">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x14ac:dyDescent="0.2">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x14ac:dyDescent="0.2">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x14ac:dyDescent="0.2">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x14ac:dyDescent="0.2">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x14ac:dyDescent="0.2">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x14ac:dyDescent="0.2">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x14ac:dyDescent="0.2">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x14ac:dyDescent="0.2">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x14ac:dyDescent="0.2">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x14ac:dyDescent="0.2">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x14ac:dyDescent="0.2">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x14ac:dyDescent="0.2">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x14ac:dyDescent="0.2">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x14ac:dyDescent="0.2">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x14ac:dyDescent="0.2">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x14ac:dyDescent="0.2">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x14ac:dyDescent="0.2">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x14ac:dyDescent="0.2">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x14ac:dyDescent="0.2">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x14ac:dyDescent="0.2">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x14ac:dyDescent="0.2">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x14ac:dyDescent="0.2">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x14ac:dyDescent="0.2">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x14ac:dyDescent="0.2">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x14ac:dyDescent="0.2">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x14ac:dyDescent="0.2">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x14ac:dyDescent="0.2">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x14ac:dyDescent="0.2">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x14ac:dyDescent="0.2">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x14ac:dyDescent="0.2">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x14ac:dyDescent="0.2">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x14ac:dyDescent="0.2">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x14ac:dyDescent="0.2">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x14ac:dyDescent="0.2">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x14ac:dyDescent="0.2">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x14ac:dyDescent="0.2">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x14ac:dyDescent="0.2">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x14ac:dyDescent="0.2">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x14ac:dyDescent="0.2">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x14ac:dyDescent="0.2">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x14ac:dyDescent="0.2">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x14ac:dyDescent="0.2">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x14ac:dyDescent="0.2">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x14ac:dyDescent="0.2">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x14ac:dyDescent="0.2">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x14ac:dyDescent="0.2">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x14ac:dyDescent="0.2">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x14ac:dyDescent="0.2">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x14ac:dyDescent="0.2">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x14ac:dyDescent="0.2">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x14ac:dyDescent="0.2">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x14ac:dyDescent="0.2">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x14ac:dyDescent="0.2">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x14ac:dyDescent="0.2">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x14ac:dyDescent="0.2">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x14ac:dyDescent="0.2">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x14ac:dyDescent="0.2">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x14ac:dyDescent="0.2">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x14ac:dyDescent="0.2">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x14ac:dyDescent="0.2">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x14ac:dyDescent="0.2">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x14ac:dyDescent="0.2">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x14ac:dyDescent="0.2">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x14ac:dyDescent="0.2">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x14ac:dyDescent="0.2">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x14ac:dyDescent="0.2">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x14ac:dyDescent="0.2">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x14ac:dyDescent="0.2">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x14ac:dyDescent="0.2">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x14ac:dyDescent="0.2">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x14ac:dyDescent="0.2">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x14ac:dyDescent="0.2">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x14ac:dyDescent="0.2">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x14ac:dyDescent="0.2">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x14ac:dyDescent="0.2">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x14ac:dyDescent="0.2">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x14ac:dyDescent="0.2">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x14ac:dyDescent="0.2">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x14ac:dyDescent="0.2">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x14ac:dyDescent="0.2">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x14ac:dyDescent="0.2">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x14ac:dyDescent="0.2">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x14ac:dyDescent="0.2">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x14ac:dyDescent="0.2">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x14ac:dyDescent="0.2">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x14ac:dyDescent="0.2">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x14ac:dyDescent="0.2">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x14ac:dyDescent="0.2">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x14ac:dyDescent="0.2">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x14ac:dyDescent="0.2">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x14ac:dyDescent="0.2">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x14ac:dyDescent="0.2">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x14ac:dyDescent="0.2">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x14ac:dyDescent="0.2">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x14ac:dyDescent="0.2">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x14ac:dyDescent="0.2">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x14ac:dyDescent="0.2">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x14ac:dyDescent="0.2">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x14ac:dyDescent="0.2">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x14ac:dyDescent="0.2">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x14ac:dyDescent="0.2">
      <c r="A205" s="835" t="s">
        <v>749</v>
      </c>
      <c r="B205" s="836"/>
      <c r="C205" s="836"/>
      <c r="D205" s="836"/>
      <c r="E205" s="836"/>
      <c r="F205" s="836"/>
      <c r="G205" s="836"/>
      <c r="H205" s="836"/>
      <c r="I205" s="836"/>
      <c r="J205" s="836"/>
      <c r="K205" s="836"/>
      <c r="L205" s="836"/>
      <c r="M205" s="836"/>
    </row>
    <row r="206" spans="1:13" x14ac:dyDescent="0.2">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x14ac:dyDescent="0.2">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x14ac:dyDescent="0.2">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x14ac:dyDescent="0.2">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x14ac:dyDescent="0.2">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x14ac:dyDescent="0.2">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x14ac:dyDescent="0.2">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x14ac:dyDescent="0.2">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x14ac:dyDescent="0.2">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x14ac:dyDescent="0.2">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x14ac:dyDescent="0.2">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x14ac:dyDescent="0.2">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x14ac:dyDescent="0.2">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x14ac:dyDescent="0.2">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x14ac:dyDescent="0.2">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x14ac:dyDescent="0.2">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x14ac:dyDescent="0.2">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x14ac:dyDescent="0.2">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x14ac:dyDescent="0.2">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x14ac:dyDescent="0.2">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x14ac:dyDescent="0.2">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x14ac:dyDescent="0.2">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x14ac:dyDescent="0.2">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x14ac:dyDescent="0.2">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x14ac:dyDescent="0.2">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x14ac:dyDescent="0.2">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x14ac:dyDescent="0.2">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x14ac:dyDescent="0.2">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x14ac:dyDescent="0.2">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x14ac:dyDescent="0.2">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x14ac:dyDescent="0.2">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x14ac:dyDescent="0.2">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x14ac:dyDescent="0.2">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x14ac:dyDescent="0.2">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x14ac:dyDescent="0.2">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x14ac:dyDescent="0.2">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x14ac:dyDescent="0.2">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x14ac:dyDescent="0.2">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x14ac:dyDescent="0.2">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x14ac:dyDescent="0.2">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x14ac:dyDescent="0.2">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x14ac:dyDescent="0.2">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x14ac:dyDescent="0.2">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x14ac:dyDescent="0.2">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x14ac:dyDescent="0.2">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x14ac:dyDescent="0.2">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x14ac:dyDescent="0.2">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x14ac:dyDescent="0.2">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x14ac:dyDescent="0.2">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x14ac:dyDescent="0.2">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x14ac:dyDescent="0.2">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x14ac:dyDescent="0.2">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x14ac:dyDescent="0.2">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x14ac:dyDescent="0.2">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x14ac:dyDescent="0.2">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x14ac:dyDescent="0.2">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x14ac:dyDescent="0.2">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x14ac:dyDescent="0.2">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x14ac:dyDescent="0.2">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x14ac:dyDescent="0.2">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x14ac:dyDescent="0.2">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x14ac:dyDescent="0.2">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x14ac:dyDescent="0.2">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x14ac:dyDescent="0.2">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x14ac:dyDescent="0.2">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x14ac:dyDescent="0.2">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x14ac:dyDescent="0.2">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x14ac:dyDescent="0.2">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x14ac:dyDescent="0.2">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x14ac:dyDescent="0.2">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x14ac:dyDescent="0.2">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x14ac:dyDescent="0.2">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x14ac:dyDescent="0.2">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x14ac:dyDescent="0.2">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x14ac:dyDescent="0.2">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x14ac:dyDescent="0.2">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x14ac:dyDescent="0.2">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x14ac:dyDescent="0.2">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x14ac:dyDescent="0.2">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x14ac:dyDescent="0.2">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x14ac:dyDescent="0.2">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x14ac:dyDescent="0.2">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x14ac:dyDescent="0.2">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x14ac:dyDescent="0.2">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x14ac:dyDescent="0.2">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x14ac:dyDescent="0.2">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x14ac:dyDescent="0.2">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x14ac:dyDescent="0.2">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x14ac:dyDescent="0.2">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x14ac:dyDescent="0.2">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x14ac:dyDescent="0.2">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x14ac:dyDescent="0.2">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x14ac:dyDescent="0.2">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x14ac:dyDescent="0.2">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x14ac:dyDescent="0.2">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x14ac:dyDescent="0.2">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x14ac:dyDescent="0.2">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x14ac:dyDescent="0.2">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x14ac:dyDescent="0.2">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x14ac:dyDescent="0.2">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x14ac:dyDescent="0.2">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x14ac:dyDescent="0.2">
      <c r="A307" s="835" t="s">
        <v>750</v>
      </c>
      <c r="B307" s="836"/>
      <c r="C307" s="836"/>
      <c r="D307" s="836"/>
      <c r="E307" s="836"/>
      <c r="F307" s="836"/>
      <c r="G307" s="836"/>
      <c r="H307" s="836"/>
      <c r="I307" s="836"/>
      <c r="J307" s="836"/>
      <c r="K307" s="836"/>
      <c r="L307" s="836"/>
      <c r="M307" s="836"/>
    </row>
    <row r="308" spans="1:13" x14ac:dyDescent="0.2">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x14ac:dyDescent="0.2">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x14ac:dyDescent="0.2">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x14ac:dyDescent="0.2">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x14ac:dyDescent="0.2">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x14ac:dyDescent="0.2">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x14ac:dyDescent="0.2">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x14ac:dyDescent="0.2">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x14ac:dyDescent="0.2">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x14ac:dyDescent="0.2">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x14ac:dyDescent="0.2">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x14ac:dyDescent="0.2">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x14ac:dyDescent="0.2">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x14ac:dyDescent="0.2">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x14ac:dyDescent="0.2">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x14ac:dyDescent="0.2">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x14ac:dyDescent="0.2">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x14ac:dyDescent="0.2">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x14ac:dyDescent="0.2">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x14ac:dyDescent="0.2">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x14ac:dyDescent="0.2">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x14ac:dyDescent="0.2">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x14ac:dyDescent="0.2">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x14ac:dyDescent="0.2">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x14ac:dyDescent="0.2">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x14ac:dyDescent="0.2">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x14ac:dyDescent="0.2">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x14ac:dyDescent="0.2">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x14ac:dyDescent="0.2">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x14ac:dyDescent="0.2">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x14ac:dyDescent="0.2">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x14ac:dyDescent="0.2">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x14ac:dyDescent="0.2">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x14ac:dyDescent="0.2">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x14ac:dyDescent="0.2">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x14ac:dyDescent="0.2">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x14ac:dyDescent="0.2">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x14ac:dyDescent="0.2">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x14ac:dyDescent="0.2">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x14ac:dyDescent="0.2">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x14ac:dyDescent="0.2">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x14ac:dyDescent="0.2">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x14ac:dyDescent="0.2">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x14ac:dyDescent="0.2">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x14ac:dyDescent="0.2">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x14ac:dyDescent="0.2">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x14ac:dyDescent="0.2">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x14ac:dyDescent="0.2">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x14ac:dyDescent="0.2">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x14ac:dyDescent="0.2">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x14ac:dyDescent="0.2">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x14ac:dyDescent="0.2">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x14ac:dyDescent="0.2">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x14ac:dyDescent="0.2">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x14ac:dyDescent="0.2">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x14ac:dyDescent="0.2">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x14ac:dyDescent="0.2">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x14ac:dyDescent="0.2">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x14ac:dyDescent="0.2">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x14ac:dyDescent="0.2">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x14ac:dyDescent="0.2">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x14ac:dyDescent="0.2">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x14ac:dyDescent="0.2">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x14ac:dyDescent="0.2">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x14ac:dyDescent="0.2">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x14ac:dyDescent="0.2">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x14ac:dyDescent="0.2">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x14ac:dyDescent="0.2">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x14ac:dyDescent="0.2">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x14ac:dyDescent="0.2">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x14ac:dyDescent="0.2">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x14ac:dyDescent="0.2">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x14ac:dyDescent="0.2">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x14ac:dyDescent="0.2">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x14ac:dyDescent="0.2">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x14ac:dyDescent="0.2">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x14ac:dyDescent="0.2">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x14ac:dyDescent="0.2">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x14ac:dyDescent="0.2">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x14ac:dyDescent="0.2">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x14ac:dyDescent="0.2">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x14ac:dyDescent="0.2">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x14ac:dyDescent="0.2">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x14ac:dyDescent="0.2">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x14ac:dyDescent="0.2">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x14ac:dyDescent="0.2">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x14ac:dyDescent="0.2">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x14ac:dyDescent="0.2">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x14ac:dyDescent="0.2">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x14ac:dyDescent="0.2">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x14ac:dyDescent="0.2">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x14ac:dyDescent="0.2">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x14ac:dyDescent="0.2">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x14ac:dyDescent="0.2">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x14ac:dyDescent="0.2">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x14ac:dyDescent="0.2">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x14ac:dyDescent="0.2">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x14ac:dyDescent="0.2">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x14ac:dyDescent="0.2">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x14ac:dyDescent="0.2">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x14ac:dyDescent="0.2">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rgb="FF92D050"/>
  </sheetPr>
  <dimension ref="A1:P21"/>
  <sheetViews>
    <sheetView view="pageBreakPreview" zoomScaleSheetLayoutView="100" workbookViewId="0">
      <selection activeCell="H3" sqref="H3"/>
    </sheetView>
  </sheetViews>
  <sheetFormatPr baseColWidth="10" defaultColWidth="9" defaultRowHeight="14" x14ac:dyDescent="0.2"/>
  <cols>
    <col min="1" max="1" width="23.33203125" style="1664" customWidth="1"/>
    <col min="2" max="2" width="12.5" style="1664" customWidth="1"/>
    <col min="3" max="3" width="12.1640625" style="1664" customWidth="1"/>
    <col min="4" max="4" width="14.1640625" style="1664" customWidth="1"/>
    <col min="5" max="5" width="12.5" style="1664" customWidth="1"/>
    <col min="6" max="16384" width="9" style="1664"/>
  </cols>
  <sheetData>
    <row r="1" spans="1:16" ht="20" x14ac:dyDescent="0.2">
      <c r="A1" s="2055" t="s">
        <v>2821</v>
      </c>
      <c r="B1" s="2365"/>
      <c r="C1" s="2365"/>
      <c r="D1" s="2365"/>
      <c r="E1" s="2365"/>
      <c r="F1" s="3024"/>
      <c r="G1" s="3024"/>
      <c r="H1" s="3024"/>
      <c r="I1" s="3024"/>
      <c r="J1" s="3024"/>
      <c r="K1" s="3024"/>
      <c r="L1" s="3024"/>
      <c r="M1" s="3024"/>
      <c r="N1" s="3024"/>
      <c r="O1" s="3024"/>
      <c r="P1" s="3024"/>
    </row>
    <row r="2" spans="1:16" ht="16" x14ac:dyDescent="0.2">
      <c r="A2" s="2363" t="s">
        <v>2813</v>
      </c>
      <c r="B2" s="2828" t="e">
        <f ca="1">SUMIF(B6:B13,"&lt;&gt;#ref!",B6:B13)</f>
        <v>#DIV/0!</v>
      </c>
      <c r="C2" s="2363" t="s">
        <v>2814</v>
      </c>
      <c r="D2" s="2363" t="s">
        <v>2815</v>
      </c>
      <c r="E2" s="2838">
        <f ca="1">SUMIF(E6:E13,"&lt;&gt;#ref!",E6:E13)</f>
        <v>547.29</v>
      </c>
      <c r="F2" s="3024"/>
      <c r="G2" s="3024"/>
      <c r="H2" s="3024"/>
      <c r="I2" s="3024"/>
      <c r="J2" s="3024"/>
      <c r="K2" s="3024"/>
      <c r="L2" s="3024"/>
      <c r="M2" s="3024"/>
      <c r="N2" s="3024"/>
      <c r="O2" s="3024"/>
      <c r="P2" s="3024"/>
    </row>
    <row r="3" spans="1:16" ht="16" x14ac:dyDescent="0.2">
      <c r="A3" s="2363" t="s">
        <v>2816</v>
      </c>
      <c r="B3" s="2828" t="e">
        <f ca="1">ROUND(B2*10000/E2,0)</f>
        <v>#DIV/0!</v>
      </c>
      <c r="C3" s="2363" t="s">
        <v>2822</v>
      </c>
      <c r="D3" s="3024"/>
      <c r="E3" s="3024"/>
      <c r="F3" s="3024"/>
      <c r="G3" s="3024"/>
      <c r="H3" s="3024"/>
      <c r="I3" s="3024"/>
      <c r="J3" s="3024"/>
      <c r="K3" s="3024"/>
      <c r="L3" s="3024"/>
      <c r="M3" s="3024"/>
      <c r="N3" s="3024"/>
      <c r="O3" s="3024"/>
      <c r="P3" s="3024"/>
    </row>
    <row r="4" spans="1:16" ht="16" x14ac:dyDescent="0.2">
      <c r="A4" s="3025"/>
      <c r="B4" s="3024"/>
      <c r="C4" s="3024"/>
      <c r="D4" s="3024"/>
      <c r="E4" s="3024"/>
      <c r="F4" s="3024"/>
      <c r="G4" s="3024"/>
      <c r="H4" s="3024"/>
      <c r="I4" s="3024"/>
      <c r="J4" s="3024"/>
      <c r="K4" s="3024"/>
      <c r="L4" s="3024"/>
      <c r="M4" s="3024"/>
      <c r="N4" s="3024"/>
      <c r="O4" s="3024"/>
      <c r="P4" s="3024"/>
    </row>
    <row r="5" spans="1:16" ht="30" x14ac:dyDescent="0.2">
      <c r="A5" s="2834" t="s">
        <v>2817</v>
      </c>
      <c r="B5" s="2836" t="s">
        <v>2818</v>
      </c>
      <c r="C5" s="2364"/>
      <c r="D5" s="3024"/>
      <c r="E5" s="2837" t="s">
        <v>2819</v>
      </c>
      <c r="F5" s="3024"/>
      <c r="G5" s="3024"/>
      <c r="H5" s="3024"/>
      <c r="I5" s="3024"/>
      <c r="J5" s="3024"/>
      <c r="K5" s="3024"/>
      <c r="L5" s="3024"/>
      <c r="M5" s="3024"/>
      <c r="N5" s="3024"/>
      <c r="O5" s="3024"/>
      <c r="P5" s="3024"/>
    </row>
    <row r="6" spans="1:16" ht="16" x14ac:dyDescent="0.2">
      <c r="A6" s="2835" t="s">
        <v>2820</v>
      </c>
      <c r="B6" s="2828" t="e">
        <f ca="1">SUMIF(INDIRECT("'"&amp;A6&amp;"'"&amp;"!A:A"),"总价",INDIRECT("'"&amp;A6&amp;"'"&amp;"!B:B"))</f>
        <v>#DIV/0!</v>
      </c>
      <c r="C6" s="2363" t="s">
        <v>2814</v>
      </c>
      <c r="D6" s="3024"/>
      <c r="E6" s="2838">
        <f ca="1">SUMIF(INDIRECT("'"&amp;A6&amp;"'"&amp;"!C:C"),"建筑面积",INDIRECT("'"&amp;A6&amp;"'"&amp;"!D:D"))</f>
        <v>547.29</v>
      </c>
      <c r="F6" s="3024"/>
      <c r="G6" s="3024"/>
      <c r="H6" s="3024"/>
      <c r="I6" s="3024"/>
      <c r="J6" s="3024"/>
      <c r="K6" s="3024"/>
      <c r="L6" s="3024"/>
      <c r="M6" s="3024"/>
      <c r="N6" s="3024"/>
      <c r="O6" s="3024"/>
      <c r="P6" s="3024"/>
    </row>
    <row r="7" spans="1:16" ht="16" x14ac:dyDescent="0.2">
      <c r="A7" s="2835"/>
      <c r="B7" s="2828" t="e">
        <f ca="1">SUMIF(INDIRECT("'"&amp;A7&amp;"'"&amp;"!A:A"),"总价",INDIRECT("'"&amp;A7&amp;"'"&amp;"!B:B"))</f>
        <v>#REF!</v>
      </c>
      <c r="C7" s="2363"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6" x14ac:dyDescent="0.2">
      <c r="A8" s="2835"/>
      <c r="B8" s="2828" t="e">
        <f t="shared" ref="B8:B13" ca="1" si="1">SUMIF(INDIRECT("'"&amp;A8&amp;"'"&amp;"!A:A"),"总价",INDIRECT("'"&amp;A8&amp;"'"&amp;"!B:B"))</f>
        <v>#REF!</v>
      </c>
      <c r="C8" s="2363" t="s">
        <v>2814</v>
      </c>
      <c r="D8" s="3024"/>
      <c r="E8" s="2838" t="e">
        <f t="shared" ca="1" si="0"/>
        <v>#REF!</v>
      </c>
      <c r="F8" s="3024"/>
      <c r="G8" s="3024"/>
      <c r="H8" s="3024"/>
      <c r="I8" s="3024"/>
      <c r="J8" s="3024"/>
      <c r="K8" s="3024"/>
      <c r="L8" s="3024"/>
      <c r="M8" s="3024"/>
      <c r="N8" s="3024"/>
      <c r="O8" s="3024"/>
      <c r="P8" s="3024"/>
    </row>
    <row r="9" spans="1:16" ht="16" x14ac:dyDescent="0.2">
      <c r="A9" s="2835"/>
      <c r="B9" s="2828" t="e">
        <f t="shared" ca="1" si="1"/>
        <v>#REF!</v>
      </c>
      <c r="C9" s="2363" t="s">
        <v>2814</v>
      </c>
      <c r="D9" s="3024"/>
      <c r="E9" s="2838" t="e">
        <f t="shared" ca="1" si="0"/>
        <v>#REF!</v>
      </c>
      <c r="F9" s="3024"/>
      <c r="G9" s="3024"/>
      <c r="H9" s="3024"/>
      <c r="I9" s="3024"/>
      <c r="J9" s="3024"/>
      <c r="K9" s="3024"/>
      <c r="L9" s="3024"/>
      <c r="M9" s="3024"/>
      <c r="N9" s="3024"/>
      <c r="O9" s="3024"/>
      <c r="P9" s="3024"/>
    </row>
    <row r="10" spans="1:16" ht="16" x14ac:dyDescent="0.2">
      <c r="A10" s="2835"/>
      <c r="B10" s="2828" t="e">
        <f t="shared" ca="1" si="1"/>
        <v>#REF!</v>
      </c>
      <c r="C10" s="2363" t="s">
        <v>2814</v>
      </c>
      <c r="D10" s="3024"/>
      <c r="E10" s="2838" t="e">
        <f t="shared" ca="1" si="0"/>
        <v>#REF!</v>
      </c>
      <c r="F10" s="3024"/>
      <c r="G10" s="3024"/>
      <c r="H10" s="3024"/>
      <c r="I10" s="3024"/>
      <c r="J10" s="3024"/>
      <c r="K10" s="3024"/>
      <c r="L10" s="3024"/>
      <c r="M10" s="3024"/>
      <c r="N10" s="3024"/>
      <c r="O10" s="3024"/>
      <c r="P10" s="3024"/>
    </row>
    <row r="11" spans="1:16" ht="16" x14ac:dyDescent="0.2">
      <c r="A11" s="2835"/>
      <c r="B11" s="2828" t="e">
        <f t="shared" ca="1" si="1"/>
        <v>#REF!</v>
      </c>
      <c r="C11" s="2363" t="s">
        <v>2814</v>
      </c>
      <c r="D11" s="3024"/>
      <c r="E11" s="2838" t="e">
        <f t="shared" ca="1" si="0"/>
        <v>#REF!</v>
      </c>
      <c r="F11" s="3024"/>
      <c r="G11" s="3024"/>
      <c r="H11" s="3024"/>
      <c r="I11" s="3024"/>
      <c r="J11" s="3024"/>
      <c r="K11" s="3024"/>
      <c r="L11" s="3024"/>
      <c r="M11" s="3024"/>
      <c r="N11" s="3024"/>
      <c r="O11" s="3024"/>
      <c r="P11" s="3024"/>
    </row>
    <row r="12" spans="1:16" ht="16" x14ac:dyDescent="0.2">
      <c r="A12" s="2835"/>
      <c r="B12" s="2828" t="e">
        <f t="shared" ca="1" si="1"/>
        <v>#REF!</v>
      </c>
      <c r="C12" s="2363" t="s">
        <v>2814</v>
      </c>
      <c r="D12" s="3024"/>
      <c r="E12" s="2838" t="e">
        <f t="shared" ca="1" si="0"/>
        <v>#REF!</v>
      </c>
      <c r="F12" s="3024"/>
      <c r="G12" s="3024"/>
      <c r="H12" s="3024"/>
      <c r="I12" s="3024"/>
      <c r="J12" s="3024"/>
      <c r="K12" s="3024"/>
      <c r="L12" s="3024"/>
      <c r="M12" s="3024"/>
      <c r="N12" s="3024"/>
      <c r="O12" s="3024"/>
      <c r="P12" s="3024"/>
    </row>
    <row r="13" spans="1:16" ht="16" x14ac:dyDescent="0.2">
      <c r="A13" s="2835"/>
      <c r="B13" s="2828" t="e">
        <f t="shared" ca="1" si="1"/>
        <v>#REF!</v>
      </c>
      <c r="C13" s="2363" t="s">
        <v>2814</v>
      </c>
      <c r="D13" s="3024"/>
      <c r="E13" s="2838" t="e">
        <f t="shared" ca="1" si="0"/>
        <v>#REF!</v>
      </c>
      <c r="F13" s="3024"/>
      <c r="G13" s="3024"/>
      <c r="H13" s="3024"/>
      <c r="I13" s="3024"/>
      <c r="J13" s="3024"/>
      <c r="K13" s="3024"/>
      <c r="L13" s="3024"/>
      <c r="M13" s="3024"/>
      <c r="N13" s="3024"/>
      <c r="O13" s="3024"/>
      <c r="P13" s="3024"/>
    </row>
    <row r="14" spans="1:16" x14ac:dyDescent="0.2">
      <c r="A14" s="3024"/>
      <c r="B14" s="3024"/>
      <c r="C14" s="3024"/>
      <c r="D14" s="3024"/>
      <c r="E14" s="3024"/>
      <c r="F14" s="3024"/>
      <c r="G14" s="3024"/>
      <c r="H14" s="3024"/>
      <c r="I14" s="3024"/>
      <c r="J14" s="3024"/>
      <c r="K14" s="3024"/>
      <c r="L14" s="3024"/>
      <c r="M14" s="3024"/>
      <c r="N14" s="3024"/>
      <c r="O14" s="3024"/>
      <c r="P14" s="3024"/>
    </row>
    <row r="15" spans="1:16" x14ac:dyDescent="0.2">
      <c r="A15" s="3024"/>
      <c r="B15" s="3024"/>
      <c r="C15" s="3024"/>
      <c r="D15" s="3024"/>
      <c r="E15" s="3024"/>
      <c r="F15" s="3024"/>
      <c r="G15" s="3024"/>
      <c r="H15" s="3024"/>
      <c r="I15" s="3024"/>
      <c r="J15" s="3024"/>
      <c r="K15" s="3024"/>
      <c r="L15" s="3024"/>
      <c r="M15" s="3024"/>
      <c r="N15" s="3024"/>
      <c r="O15" s="3024"/>
      <c r="P15" s="3024"/>
    </row>
    <row r="16" spans="1:16" x14ac:dyDescent="0.2">
      <c r="A16" s="3024"/>
      <c r="B16" s="3024"/>
      <c r="C16" s="3024"/>
      <c r="D16" s="3024"/>
      <c r="E16" s="3024"/>
      <c r="F16" s="3024"/>
      <c r="G16" s="3024"/>
      <c r="H16" s="3024"/>
      <c r="I16" s="3024"/>
      <c r="J16" s="3024"/>
      <c r="K16" s="3024"/>
      <c r="L16" s="3024"/>
      <c r="M16" s="3024"/>
      <c r="N16" s="3024"/>
      <c r="O16" s="3024"/>
      <c r="P16" s="3024"/>
    </row>
    <row r="17" spans="1:16" x14ac:dyDescent="0.2">
      <c r="A17" s="3024"/>
      <c r="B17" s="3024"/>
      <c r="C17" s="3024"/>
      <c r="D17" s="3024"/>
      <c r="E17" s="3024"/>
      <c r="F17" s="3024"/>
      <c r="G17" s="3024"/>
      <c r="H17" s="3024"/>
      <c r="I17" s="3024"/>
      <c r="J17" s="3024"/>
      <c r="K17" s="3024"/>
      <c r="L17" s="3024"/>
      <c r="M17" s="3024"/>
      <c r="N17" s="3024"/>
      <c r="O17" s="3024"/>
      <c r="P17" s="3024"/>
    </row>
    <row r="18" spans="1:16" x14ac:dyDescent="0.2">
      <c r="A18" s="3024"/>
      <c r="B18" s="3024"/>
      <c r="C18" s="3024"/>
      <c r="D18" s="3024"/>
      <c r="E18" s="3024"/>
      <c r="F18" s="3024"/>
      <c r="G18" s="3024"/>
      <c r="H18" s="3024"/>
      <c r="I18" s="3024"/>
      <c r="J18" s="3024"/>
      <c r="K18" s="3024"/>
      <c r="L18" s="3024"/>
      <c r="M18" s="3024"/>
      <c r="N18" s="3024"/>
      <c r="O18" s="3024"/>
      <c r="P18" s="3024"/>
    </row>
    <row r="19" spans="1:16" x14ac:dyDescent="0.2">
      <c r="A19" s="3024"/>
      <c r="B19" s="3024"/>
      <c r="C19" s="3024"/>
      <c r="D19" s="3024"/>
      <c r="E19" s="3024"/>
      <c r="F19" s="3024"/>
      <c r="G19" s="3024"/>
      <c r="H19" s="3024"/>
      <c r="I19" s="3024"/>
      <c r="J19" s="3024"/>
      <c r="K19" s="3024"/>
      <c r="L19" s="3024"/>
      <c r="M19" s="3024"/>
      <c r="N19" s="3024"/>
      <c r="O19" s="3024"/>
      <c r="P19" s="3024"/>
    </row>
    <row r="20" spans="1:16" x14ac:dyDescent="0.2">
      <c r="A20" s="3024"/>
      <c r="B20" s="3024"/>
      <c r="C20" s="3024"/>
      <c r="D20" s="3024"/>
      <c r="E20" s="3024"/>
      <c r="F20" s="3024"/>
      <c r="G20" s="3024"/>
      <c r="H20" s="3024"/>
      <c r="I20" s="3024"/>
      <c r="J20" s="3024"/>
      <c r="K20" s="3024"/>
      <c r="L20" s="3024"/>
      <c r="M20" s="3024"/>
      <c r="N20" s="3024"/>
      <c r="O20" s="3024"/>
      <c r="P20" s="3024"/>
    </row>
    <row r="21" spans="1:16" x14ac:dyDescent="0.2">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2060"/>
  </sheetPr>
  <dimension ref="A1:E42"/>
  <sheetViews>
    <sheetView view="pageLayout" zoomScale="80" zoomScalePageLayoutView="80" workbookViewId="0">
      <selection activeCell="A3" sqref="A3:E3"/>
    </sheetView>
  </sheetViews>
  <sheetFormatPr baseColWidth="10" defaultColWidth="9" defaultRowHeight="14" x14ac:dyDescent="0.2"/>
  <cols>
    <col min="1" max="1" width="0.83203125" style="1679" customWidth="1"/>
    <col min="2" max="2" width="37.1640625" style="1679" customWidth="1"/>
    <col min="3" max="3" width="11.33203125" style="1679" customWidth="1"/>
    <col min="4" max="4" width="31.6640625" style="1679" customWidth="1"/>
    <col min="5" max="5" width="0.5" style="1679" customWidth="1"/>
    <col min="6" max="7" width="13" style="1679" customWidth="1"/>
    <col min="8" max="16384" width="9" style="1679"/>
  </cols>
  <sheetData>
    <row r="1" spans="1:5" ht="18" x14ac:dyDescent="0.2">
      <c r="A1" s="1677" t="s">
        <v>1586</v>
      </c>
      <c r="B1" s="1678"/>
      <c r="C1" s="1678"/>
      <c r="D1" s="1678"/>
      <c r="E1" s="1678"/>
    </row>
    <row r="2" spans="1:5" ht="78" customHeight="1" x14ac:dyDescent="0.2">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3"/>
      <c r="C2" s="3223"/>
      <c r="D2" s="3223"/>
      <c r="E2" s="3223"/>
    </row>
    <row r="3" spans="1:5" ht="18" x14ac:dyDescent="0.2">
      <c r="A3" s="3224" t="str">
        <f>IF(项目基本情况!B9="房地产市场价值","估价结果一览表（市场价值不需“结果表-1”）","估价结果一览表")</f>
        <v>估价结果一览表（市场价值不需“结果表-1”）</v>
      </c>
      <c r="B3" s="3224"/>
      <c r="C3" s="3224"/>
      <c r="D3" s="3224"/>
      <c r="E3" s="3224"/>
    </row>
    <row r="4" spans="1:5" ht="19" thickBot="1" x14ac:dyDescent="0.25">
      <c r="A4" s="1680"/>
      <c r="B4" s="3222" t="s">
        <v>1595</v>
      </c>
      <c r="C4" s="3222"/>
      <c r="D4" s="3222"/>
      <c r="E4" s="1680"/>
    </row>
    <row r="5" spans="1:5" ht="17" thickTop="1" x14ac:dyDescent="0.2">
      <c r="A5" s="1678"/>
      <c r="B5" s="3220" t="s">
        <v>1587</v>
      </c>
      <c r="C5" s="1681" t="s">
        <v>1588</v>
      </c>
      <c r="D5" s="959" t="e">
        <f ca="1">结果表!H101</f>
        <v>#REF!</v>
      </c>
      <c r="E5" s="1678"/>
    </row>
    <row r="6" spans="1:5" ht="16" x14ac:dyDescent="0.2">
      <c r="A6" s="1678"/>
      <c r="B6" s="3220"/>
      <c r="C6" s="1681" t="s">
        <v>1589</v>
      </c>
      <c r="D6" s="959" t="e">
        <f ca="1">NUMBERSTRING(INT(D5*10000),2)&amp;"元整"</f>
        <v>#REF!</v>
      </c>
      <c r="E6" s="1678"/>
    </row>
    <row r="7" spans="1:5" ht="16" x14ac:dyDescent="0.2">
      <c r="A7" s="1678"/>
      <c r="B7" s="3225"/>
      <c r="C7" s="1682" t="s">
        <v>1590</v>
      </c>
      <c r="D7" s="960" t="e">
        <f ca="1">结果表!H102</f>
        <v>#REF!</v>
      </c>
      <c r="E7" s="1678"/>
    </row>
    <row r="8" spans="1:5" ht="16" x14ac:dyDescent="0.2">
      <c r="A8" s="1678"/>
      <c r="B8" s="3226" t="str">
        <f>结果表!E103</f>
        <v>2.估价师知悉的法定优先受偿款</v>
      </c>
      <c r="C8" s="1683" t="s">
        <v>1591</v>
      </c>
      <c r="D8" s="960">
        <f>结果表!H103</f>
        <v>0</v>
      </c>
      <c r="E8" s="1678"/>
    </row>
    <row r="9" spans="1:5" ht="16" x14ac:dyDescent="0.2">
      <c r="A9" s="1678"/>
      <c r="B9" s="3228"/>
      <c r="C9" s="1681" t="s">
        <v>1589</v>
      </c>
      <c r="D9" s="959" t="str">
        <f>NUMBERSTRING(INT(D8*10000),2)&amp;"元整"</f>
        <v>零元整</v>
      </c>
      <c r="E9" s="1678"/>
    </row>
    <row r="10" spans="1:5" ht="16" x14ac:dyDescent="0.2">
      <c r="A10" s="1678"/>
      <c r="B10" s="1684" t="s">
        <v>1594</v>
      </c>
      <c r="C10" s="1685" t="s">
        <v>1592</v>
      </c>
      <c r="D10" s="961">
        <f>结果表!H104</f>
        <v>0</v>
      </c>
      <c r="E10" s="1678"/>
    </row>
    <row r="11" spans="1:5" ht="16" x14ac:dyDescent="0.2">
      <c r="A11" s="1678"/>
      <c r="B11" s="1684" t="s">
        <v>1596</v>
      </c>
      <c r="C11" s="1685" t="s">
        <v>1597</v>
      </c>
      <c r="D11" s="961">
        <f>结果表!H105</f>
        <v>0</v>
      </c>
      <c r="E11" s="1678"/>
    </row>
    <row r="12" spans="1:5" ht="16" x14ac:dyDescent="0.2">
      <c r="A12" s="1678"/>
      <c r="B12" s="1684" t="s">
        <v>1598</v>
      </c>
      <c r="C12" s="1685" t="s">
        <v>1597</v>
      </c>
      <c r="D12" s="961">
        <f>结果表!H106</f>
        <v>0</v>
      </c>
      <c r="E12" s="1678"/>
    </row>
    <row r="13" spans="1:5" ht="16" x14ac:dyDescent="0.2">
      <c r="A13" s="1678"/>
      <c r="B13" s="3219" t="str">
        <f>结果表!E107</f>
        <v>3.房地产抵押价值</v>
      </c>
      <c r="C13" s="1686" t="s">
        <v>1588</v>
      </c>
      <c r="D13" s="962" t="e">
        <f ca="1">结果表!H107</f>
        <v>#REF!</v>
      </c>
      <c r="E13" s="1678"/>
    </row>
    <row r="14" spans="1:5" ht="16" x14ac:dyDescent="0.2">
      <c r="A14" s="1678"/>
      <c r="B14" s="3220"/>
      <c r="C14" s="1681" t="s">
        <v>1589</v>
      </c>
      <c r="D14" s="959" t="e">
        <f ca="1">NUMBERSTRING(INT(D13*10000),2)&amp;"元整"</f>
        <v>#REF!</v>
      </c>
      <c r="E14" s="1678"/>
    </row>
    <row r="15" spans="1:5" ht="16" x14ac:dyDescent="0.2">
      <c r="A15" s="1678"/>
      <c r="B15" s="3225"/>
      <c r="C15" s="1682" t="s">
        <v>1599</v>
      </c>
      <c r="D15" s="968" t="e">
        <f ca="1">结果表!H108</f>
        <v>#REF!</v>
      </c>
      <c r="E15" s="1678"/>
    </row>
    <row r="16" spans="1:5" ht="15" x14ac:dyDescent="0.2">
      <c r="A16" s="1678"/>
      <c r="B16" s="3226" t="str">
        <f>结果表!E109</f>
        <v>——</v>
      </c>
      <c r="C16" s="1686" t="s">
        <v>1600</v>
      </c>
      <c r="D16" s="1687" t="str">
        <f>结果表!H109</f>
        <v>——</v>
      </c>
      <c r="E16" s="1678"/>
    </row>
    <row r="17" spans="1:5" ht="16" x14ac:dyDescent="0.2">
      <c r="A17" s="1678"/>
      <c r="B17" s="3227"/>
      <c r="C17" s="1681" t="s">
        <v>1601</v>
      </c>
      <c r="D17" s="959" t="e">
        <f>NUMBERSTRING(INT(D16*10000),2)&amp;"元整"</f>
        <v>#VALUE!</v>
      </c>
      <c r="E17" s="1678"/>
    </row>
    <row r="18" spans="1:5" ht="16" x14ac:dyDescent="0.2">
      <c r="A18" s="1678"/>
      <c r="B18" s="3228"/>
      <c r="C18" s="1682" t="s">
        <v>1590</v>
      </c>
      <c r="D18" s="968" t="str">
        <f>结果表!H110</f>
        <v>——</v>
      </c>
      <c r="E18" s="1678"/>
    </row>
    <row r="19" spans="1:5" ht="16" x14ac:dyDescent="0.2">
      <c r="A19" s="1678"/>
      <c r="B19" s="3219" t="str">
        <f>结果表!E111</f>
        <v>——</v>
      </c>
      <c r="C19" s="1686" t="s">
        <v>1588</v>
      </c>
      <c r="D19" s="960" t="str">
        <f>结果表!H111</f>
        <v>——</v>
      </c>
      <c r="E19" s="1678"/>
    </row>
    <row r="20" spans="1:5" ht="16" x14ac:dyDescent="0.2">
      <c r="A20" s="1678"/>
      <c r="B20" s="3220"/>
      <c r="C20" s="1681" t="s">
        <v>1601</v>
      </c>
      <c r="D20" s="959" t="e">
        <f>NUMBERSTRING(INT(D19*10000),2)&amp;"元整"</f>
        <v>#VALUE!</v>
      </c>
      <c r="E20" s="1678"/>
    </row>
    <row r="21" spans="1:5" ht="17" thickBot="1" x14ac:dyDescent="0.25">
      <c r="A21" s="1678"/>
      <c r="B21" s="3221"/>
      <c r="C21" s="1688" t="s">
        <v>1599</v>
      </c>
      <c r="D21" s="969" t="str">
        <f>结果表!H112</f>
        <v>——</v>
      </c>
      <c r="E21" s="1678"/>
    </row>
    <row r="22" spans="1:5" ht="15" thickTop="1" x14ac:dyDescent="0.2">
      <c r="A22" s="1678"/>
      <c r="B22" s="1689" t="s">
        <v>1602</v>
      </c>
      <c r="C22" s="1678"/>
      <c r="D22" s="1678"/>
      <c r="E22" s="1678"/>
    </row>
    <row r="23" spans="1:5" x14ac:dyDescent="0.2">
      <c r="A23" s="1678"/>
      <c r="B23" s="1678"/>
      <c r="C23" s="1678"/>
      <c r="D23" s="1678"/>
      <c r="E23" s="1678"/>
    </row>
    <row r="24" spans="1:5" ht="18" x14ac:dyDescent="0.2">
      <c r="A24" s="1690"/>
      <c r="B24" s="1691" t="s">
        <v>1593</v>
      </c>
      <c r="C24" s="1690"/>
      <c r="D24" s="1690"/>
      <c r="E24" s="1690"/>
    </row>
    <row r="25" spans="1:5" x14ac:dyDescent="0.2">
      <c r="A25" s="1690"/>
      <c r="B25" s="1690"/>
      <c r="C25" s="1690"/>
      <c r="D25" s="1690"/>
      <c r="E25" s="1690"/>
    </row>
    <row r="26" spans="1:5" x14ac:dyDescent="0.2">
      <c r="A26" s="1690"/>
      <c r="B26" s="1690"/>
      <c r="C26" s="1690"/>
      <c r="D26" s="1690"/>
      <c r="E26" s="1690"/>
    </row>
    <row r="27" spans="1:5" x14ac:dyDescent="0.2">
      <c r="A27" s="1690"/>
      <c r="B27" s="1690"/>
      <c r="C27" s="1690"/>
      <c r="D27" s="1690"/>
      <c r="E27" s="1690"/>
    </row>
    <row r="28" spans="1:5" x14ac:dyDescent="0.2">
      <c r="A28" s="1690"/>
      <c r="B28" s="1690"/>
      <c r="C28" s="1690"/>
      <c r="D28" s="1690"/>
      <c r="E28" s="1690"/>
    </row>
    <row r="29" spans="1:5" x14ac:dyDescent="0.2">
      <c r="A29" s="1690"/>
      <c r="B29" s="1690"/>
      <c r="C29" s="1690"/>
      <c r="D29" s="1690"/>
      <c r="E29" s="1690"/>
    </row>
    <row r="30" spans="1:5" x14ac:dyDescent="0.2">
      <c r="A30" s="1690"/>
      <c r="B30" s="1690"/>
      <c r="C30" s="1690"/>
      <c r="D30" s="1690"/>
      <c r="E30" s="1690"/>
    </row>
    <row r="31" spans="1:5" x14ac:dyDescent="0.2">
      <c r="A31" s="1690"/>
      <c r="B31" s="1690"/>
      <c r="C31" s="1690"/>
      <c r="D31" s="1690"/>
      <c r="E31" s="1690"/>
    </row>
    <row r="32" spans="1:5" x14ac:dyDescent="0.2">
      <c r="A32" s="1690"/>
      <c r="B32" s="1690"/>
      <c r="C32" s="1690"/>
      <c r="D32" s="1690"/>
      <c r="E32" s="1690"/>
    </row>
    <row r="33" spans="1:5" x14ac:dyDescent="0.2">
      <c r="A33" s="1690"/>
      <c r="B33" s="1690"/>
      <c r="C33" s="1690"/>
      <c r="D33" s="1690"/>
      <c r="E33" s="1690"/>
    </row>
    <row r="34" spans="1:5" x14ac:dyDescent="0.2">
      <c r="A34" s="1690"/>
      <c r="B34" s="1690"/>
      <c r="C34" s="1690"/>
      <c r="D34" s="1690"/>
      <c r="E34" s="1690"/>
    </row>
    <row r="35" spans="1:5" x14ac:dyDescent="0.2">
      <c r="A35" s="1690"/>
      <c r="B35" s="1690"/>
      <c r="C35" s="1690"/>
      <c r="D35" s="1690"/>
      <c r="E35" s="1690"/>
    </row>
    <row r="36" spans="1:5" x14ac:dyDescent="0.2">
      <c r="A36" s="1690"/>
      <c r="B36" s="1690"/>
      <c r="C36" s="1690"/>
      <c r="D36" s="1690"/>
      <c r="E36" s="1690"/>
    </row>
    <row r="37" spans="1:5" x14ac:dyDescent="0.2">
      <c r="A37" s="1690"/>
      <c r="B37" s="1690"/>
      <c r="C37" s="1690"/>
      <c r="D37" s="1690"/>
      <c r="E37" s="1690"/>
    </row>
    <row r="38" spans="1:5" x14ac:dyDescent="0.2">
      <c r="A38" s="1690"/>
      <c r="B38" s="1690"/>
      <c r="C38" s="1690"/>
      <c r="D38" s="1690"/>
      <c r="E38" s="1690"/>
    </row>
    <row r="39" spans="1:5" x14ac:dyDescent="0.2">
      <c r="A39" s="1690"/>
      <c r="B39" s="1690"/>
      <c r="C39" s="1690"/>
      <c r="D39" s="1690"/>
      <c r="E39" s="1690"/>
    </row>
    <row r="40" spans="1:5" x14ac:dyDescent="0.2">
      <c r="A40" s="1690"/>
      <c r="B40" s="1690"/>
      <c r="C40" s="1690"/>
      <c r="D40" s="1690"/>
      <c r="E40" s="1690"/>
    </row>
    <row r="41" spans="1:5" x14ac:dyDescent="0.2">
      <c r="A41" s="1690"/>
      <c r="B41" s="1690"/>
      <c r="C41" s="1690"/>
      <c r="D41" s="1690"/>
      <c r="E41" s="1690"/>
    </row>
    <row r="42" spans="1:5" x14ac:dyDescent="0.2">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dimension ref="A1"/>
  <sheetViews>
    <sheetView topLeftCell="A55" workbookViewId="0">
      <selection activeCell="M77" sqref="M77"/>
    </sheetView>
  </sheetViews>
  <sheetFormatPr baseColWidth="10" defaultColWidth="8.83203125" defaultRowHeight="15" x14ac:dyDescent="0.2"/>
  <sheetData/>
  <phoneticPr fontId="140"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rgb="FF92D050"/>
  </sheetPr>
  <dimension ref="A1:AH115"/>
  <sheetViews>
    <sheetView zoomScale="80" zoomScaleNormal="80" workbookViewId="0">
      <selection activeCell="K20" sqref="K20"/>
    </sheetView>
  </sheetViews>
  <sheetFormatPr baseColWidth="10" defaultColWidth="9" defaultRowHeight="13" x14ac:dyDescent="0.2"/>
  <cols>
    <col min="1" max="1" width="9" style="2412"/>
    <col min="2" max="6" width="9" style="2412" customWidth="1"/>
    <col min="7" max="7" width="9" style="2450"/>
    <col min="8" max="8" width="9" style="2412"/>
    <col min="9" max="12" width="9" style="2412" customWidth="1"/>
    <col min="13" max="13" width="2.1640625" style="2412" customWidth="1"/>
    <col min="14" max="14" width="9" style="2450" customWidth="1"/>
    <col min="15" max="17" width="9" style="2412" customWidth="1"/>
    <col min="18" max="18" width="2.33203125" style="2412" customWidth="1"/>
    <col min="19" max="19" width="7.1640625" style="2450" customWidth="1"/>
    <col min="20" max="22" width="7.1640625" style="2412" customWidth="1"/>
    <col min="23" max="23" width="24.1640625" style="2412" customWidth="1"/>
    <col min="24" max="25" width="9" style="2412"/>
    <col min="26" max="27" width="11.6640625" style="2412" customWidth="1"/>
    <col min="28" max="28" width="9" style="2412"/>
    <col min="29" max="29" width="2" style="2412" customWidth="1"/>
    <col min="30" max="16384" width="9" style="2412"/>
  </cols>
  <sheetData>
    <row r="1" spans="1:34" s="2391" customFormat="1" ht="14" x14ac:dyDescent="0.2">
      <c r="B1" s="3599" t="s">
        <v>1117</v>
      </c>
      <c r="C1" s="3599"/>
      <c r="D1" s="3599"/>
      <c r="E1" s="3599"/>
      <c r="F1" s="3599"/>
      <c r="G1" s="3598" t="s">
        <v>1118</v>
      </c>
      <c r="H1" s="3598"/>
      <c r="I1" s="3598"/>
      <c r="J1" s="3598"/>
      <c r="K1" s="3598"/>
      <c r="L1" s="3598"/>
      <c r="N1" s="3598" t="s">
        <v>1119</v>
      </c>
      <c r="O1" s="3598"/>
      <c r="P1" s="3598"/>
      <c r="Q1" s="3598"/>
      <c r="S1" s="3598" t="s">
        <v>1120</v>
      </c>
      <c r="T1" s="3598"/>
      <c r="U1" s="3598"/>
      <c r="V1" s="3598"/>
      <c r="X1" s="3597" t="s">
        <v>1121</v>
      </c>
      <c r="Y1" s="3598"/>
      <c r="Z1" s="3598"/>
      <c r="AA1" s="3598"/>
      <c r="AB1" s="3598"/>
      <c r="AD1" s="3597" t="s">
        <v>1122</v>
      </c>
      <c r="AE1" s="3598"/>
      <c r="AF1" s="3598"/>
      <c r="AG1" s="3598"/>
      <c r="AH1" s="3598"/>
    </row>
    <row r="2" spans="1:34" s="2392" customFormat="1" ht="15" thickBot="1" x14ac:dyDescent="0.25">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 x14ac:dyDescent="0.2">
      <c r="A3" s="2396" t="s">
        <v>2854</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 x14ac:dyDescent="0.2">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ht="14" x14ac:dyDescent="0.2">
      <c r="A5" s="2414" t="s">
        <v>3245</v>
      </c>
      <c r="B5" s="2415">
        <f>B7*(1+N5)</f>
        <v>481.4103506697644</v>
      </c>
      <c r="C5" s="2415">
        <f>C7*(1+O5)</f>
        <v>347.29066026648707</v>
      </c>
      <c r="D5" s="2415">
        <f t="shared" ref="D5:D6" si="2">C5</f>
        <v>347.29066026648707</v>
      </c>
      <c r="E5" s="2415">
        <f>E7*(1+P5)</f>
        <v>690.85977273901995</v>
      </c>
      <c r="F5" s="2415">
        <f>F7*(1+Q5)</f>
        <v>319.13136737000184</v>
      </c>
      <c r="G5" s="2416">
        <v>2020</v>
      </c>
      <c r="H5" s="2417">
        <v>4</v>
      </c>
      <c r="I5" s="2418">
        <v>0</v>
      </c>
      <c r="J5" s="2418">
        <v>0</v>
      </c>
      <c r="K5" s="2418">
        <v>0</v>
      </c>
      <c r="L5" s="2418">
        <v>0</v>
      </c>
      <c r="N5" s="2420">
        <f t="shared" ref="N5" si="3">I5/100</f>
        <v>0</v>
      </c>
      <c r="O5" s="2420">
        <f t="shared" ref="O5" si="4">J5/100</f>
        <v>0</v>
      </c>
      <c r="P5" s="2420">
        <f t="shared" ref="P5" si="5">K5/100</f>
        <v>0</v>
      </c>
      <c r="Q5" s="2420">
        <f t="shared" ref="Q5" si="6">L5/100</f>
        <v>0</v>
      </c>
      <c r="S5" s="2421"/>
      <c r="W5" s="2422" t="s">
        <v>2855</v>
      </c>
      <c r="X5" s="2423">
        <f>ROUND(IF(项目基本情况!B7="出让",SUMPRODUCT(PRODUCT(1+N5:N$32)),SUMPRODUCT(PRODUCT(1+N5:N$31))),4)</f>
        <v>1.5652999999999999</v>
      </c>
      <c r="Y5" s="2423">
        <f>ROUND(IF(项目基本情况!B7="出让",SUMPRODUCT(PRODUCT(1+O5:O$32)),SUMPRODUCT(PRODUCT(1+O5:O$31))),4)</f>
        <v>1.3472</v>
      </c>
      <c r="Z5" s="2423">
        <f t="shared" ref="Z5:Z6" si="7">Y5</f>
        <v>1.3472</v>
      </c>
      <c r="AA5" s="2423">
        <f>ROUND(IF(项目基本情况!B7="出让",SUMPRODUCT(PRODUCT(1+P5:P$32)),SUMPRODUCT(PRODUCT(1+P5:P$31))),4)</f>
        <v>1.6335999999999999</v>
      </c>
      <c r="AB5" s="2423">
        <f>ROUND(IF(项目基本情况!B7="出让",SUMPRODUCT(PRODUCT(1+Q5:Q$32)),SUMPRODUCT(PRODUCT(1+Q5:Q$31))),4)</f>
        <v>1.3880999999999999</v>
      </c>
      <c r="AD5" s="2424">
        <f>ROUND(AVERAGE(I5:I$32)/100,4)</f>
        <v>1.7299999999999999E-2</v>
      </c>
      <c r="AE5" s="2424">
        <f>ROUND(AVERAGE(J5:J$32)/100,4)</f>
        <v>1.1599999999999999E-2</v>
      </c>
      <c r="AF5" s="2424">
        <f t="shared" ref="AF5:AF6" si="8">AE5</f>
        <v>1.1599999999999999E-2</v>
      </c>
      <c r="AG5" s="2424">
        <f>ROUND(AVERAGE(K5:K$32)/100,4)</f>
        <v>1.9E-2</v>
      </c>
      <c r="AH5" s="2424">
        <f>ROUND(AVERAGE(L5:L$32)/100,4)</f>
        <v>1.23E-2</v>
      </c>
    </row>
    <row r="6" spans="1:34" s="2432" customFormat="1" x14ac:dyDescent="0.2">
      <c r="A6" s="2425" t="s">
        <v>3246</v>
      </c>
      <c r="B6" s="2426">
        <f t="shared" ref="B6" si="9">B7*(1+N6)</f>
        <v>481.4103506697644</v>
      </c>
      <c r="C6" s="2426">
        <f t="shared" ref="C6" si="10">C7*(1+O6)</f>
        <v>347.29066026648707</v>
      </c>
      <c r="D6" s="2426">
        <f t="shared" si="2"/>
        <v>347.29066026648707</v>
      </c>
      <c r="E6" s="2426">
        <f t="shared" ref="E6" si="11">E7*(1+P6)</f>
        <v>690.85977273901995</v>
      </c>
      <c r="F6" s="2426">
        <f t="shared" ref="F6" si="12">F7*(1+Q6)</f>
        <v>319.13136737000184</v>
      </c>
      <c r="G6" s="3129">
        <v>2020</v>
      </c>
      <c r="H6" s="2427">
        <v>3</v>
      </c>
      <c r="I6" s="2389">
        <v>0</v>
      </c>
      <c r="J6" s="2389">
        <v>0</v>
      </c>
      <c r="K6" s="2389">
        <v>0</v>
      </c>
      <c r="L6" s="2390">
        <v>0</v>
      </c>
      <c r="M6" s="2412"/>
      <c r="N6" s="2428">
        <v>0</v>
      </c>
      <c r="O6" s="2413">
        <v>0</v>
      </c>
      <c r="P6" s="2413">
        <v>0</v>
      </c>
      <c r="Q6" s="2413">
        <v>0</v>
      </c>
      <c r="R6" s="2429"/>
      <c r="S6" s="2428"/>
      <c r="T6" s="2413"/>
      <c r="U6" s="2413"/>
      <c r="V6" s="2413"/>
      <c r="W6" s="2430"/>
      <c r="X6" s="2430">
        <f>ROUND(IF(项目基本情况!B7="出让",SUMPRODUCT(PRODUCT(1+N6:N$32)),SUMPRODUCT(PRODUCT(1+N6:N$31))),4)</f>
        <v>1.5652999999999999</v>
      </c>
      <c r="Y6" s="2430">
        <f>ROUND(IF(项目基本情况!B7="出让",SUMPRODUCT(PRODUCT(1+O6:O$32)),SUMPRODUCT(PRODUCT(1+O6:O$31))),4)</f>
        <v>1.3472</v>
      </c>
      <c r="Z6" s="2430">
        <f t="shared" si="7"/>
        <v>1.3472</v>
      </c>
      <c r="AA6" s="2430">
        <f>ROUND(IF(项目基本情况!B7="出让",SUMPRODUCT(PRODUCT(1+P6:P$32)),SUMPRODUCT(PRODUCT(1+P6:P$31))),4)</f>
        <v>1.6335999999999999</v>
      </c>
      <c r="AB6" s="2430">
        <f>ROUND(IF(项目基本情况!B7="出让",SUMPRODUCT(PRODUCT(1+Q6:Q$32)),SUMPRODUCT(PRODUCT(1+Q6:Q$31))),4)</f>
        <v>1.3880999999999999</v>
      </c>
      <c r="AC6" s="2430"/>
      <c r="AD6" s="2431">
        <f>ROUND(AVERAGE(I6:I$32)/100,4)</f>
        <v>1.7899999999999999E-2</v>
      </c>
      <c r="AE6" s="2431">
        <f>ROUND(AVERAGE(J6:J$32)/100,4)</f>
        <v>1.2E-2</v>
      </c>
      <c r="AF6" s="2431">
        <f t="shared" si="8"/>
        <v>1.2E-2</v>
      </c>
      <c r="AG6" s="2431">
        <f>ROUND(AVERAGE(K6:K$32)/100,4)</f>
        <v>1.9699999999999999E-2</v>
      </c>
      <c r="AH6" s="2431">
        <f>ROUND(AVERAGE(L6:L$32)/100,4)</f>
        <v>1.2699999999999999E-2</v>
      </c>
    </row>
    <row r="7" spans="1:34" s="2432" customFormat="1" x14ac:dyDescent="0.2">
      <c r="A7" s="2425" t="s">
        <v>2871</v>
      </c>
      <c r="B7" s="2426">
        <f t="shared" ref="B7" si="13">B8*(1+N7)</f>
        <v>481.4103506697644</v>
      </c>
      <c r="C7" s="2426">
        <f t="shared" ref="C7" si="14">C8*(1+O7)</f>
        <v>347.29066026648707</v>
      </c>
      <c r="D7" s="2426">
        <f t="shared" ref="D7" si="15">C7</f>
        <v>347.29066026648707</v>
      </c>
      <c r="E7" s="2426">
        <f t="shared" ref="E7" si="16">E8*(1+P7)</f>
        <v>690.85977273901995</v>
      </c>
      <c r="F7" s="2426">
        <f t="shared" ref="F7" si="17">F8*(1+Q7)</f>
        <v>319.13136737000184</v>
      </c>
      <c r="G7" s="2416">
        <v>2020</v>
      </c>
      <c r="H7" s="2427">
        <v>2</v>
      </c>
      <c r="I7" s="2389">
        <v>0.31</v>
      </c>
      <c r="J7" s="2389">
        <v>-0.78</v>
      </c>
      <c r="K7" s="2389">
        <v>0.5</v>
      </c>
      <c r="L7" s="2390">
        <v>0.47</v>
      </c>
      <c r="M7" s="2412"/>
      <c r="N7" s="2428">
        <f t="shared" ref="N7" si="18">I7/100</f>
        <v>3.0999999999999999E-3</v>
      </c>
      <c r="O7" s="2413">
        <f t="shared" ref="O7" si="19">J7/100</f>
        <v>-7.8000000000000005E-3</v>
      </c>
      <c r="P7" s="2413">
        <f t="shared" ref="P7" si="20">K7/100</f>
        <v>5.0000000000000001E-3</v>
      </c>
      <c r="Q7" s="2413">
        <f t="shared" ref="Q7" si="21">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22">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23">AE7</f>
        <v>1.2500000000000001E-2</v>
      </c>
      <c r="AG7" s="2431">
        <f>ROUND(AVERAGE(K7:K$32)/100,4)</f>
        <v>2.0400000000000001E-2</v>
      </c>
      <c r="AH7" s="2431">
        <f>ROUND(AVERAGE(L7:L$32)/100,4)</f>
        <v>1.32E-2</v>
      </c>
    </row>
    <row r="8" spans="1:34" s="2432" customFormat="1" x14ac:dyDescent="0.2">
      <c r="A8" s="2425" t="s">
        <v>2869</v>
      </c>
      <c r="B8" s="2426">
        <f t="shared" ref="B8" si="24">B9*(1+N8)</f>
        <v>479.92259063878413</v>
      </c>
      <c r="C8" s="2426">
        <f t="shared" ref="C8" si="25">C9*(1+O8)</f>
        <v>350.02082268341775</v>
      </c>
      <c r="D8" s="2426">
        <f t="shared" ref="D8" si="26">C8</f>
        <v>350.02082268341775</v>
      </c>
      <c r="E8" s="2426">
        <f t="shared" ref="E8" si="27">E9*(1+P8)</f>
        <v>687.42265944181099</v>
      </c>
      <c r="F8" s="2426">
        <f t="shared" ref="F8" si="28">F9*(1+Q8)</f>
        <v>317.63846657708956</v>
      </c>
      <c r="G8" s="2416">
        <v>2020</v>
      </c>
      <c r="H8" s="2427">
        <v>1</v>
      </c>
      <c r="I8" s="2389">
        <v>0.12</v>
      </c>
      <c r="J8" s="2389">
        <v>-0.4</v>
      </c>
      <c r="K8" s="2389">
        <v>0.21</v>
      </c>
      <c r="L8" s="2390">
        <v>0.27</v>
      </c>
      <c r="M8" s="2412"/>
      <c r="N8" s="2428">
        <f t="shared" ref="N8" si="29">I8/100</f>
        <v>1.1999999999999999E-3</v>
      </c>
      <c r="O8" s="2413">
        <f t="shared" ref="O8" si="30">J8/100</f>
        <v>-4.0000000000000001E-3</v>
      </c>
      <c r="P8" s="2413">
        <f t="shared" ref="P8" si="31">K8/100</f>
        <v>2.0999999999999999E-3</v>
      </c>
      <c r="Q8" s="2413">
        <f t="shared" ref="Q8" si="32">L8/100</f>
        <v>2.7000000000000001E-3</v>
      </c>
      <c r="R8" s="2429"/>
      <c r="S8" s="2428">
        <f>B8/B9-1</f>
        <v>1.2000000000000899E-3</v>
      </c>
      <c r="T8" s="2413">
        <f t="shared" ref="T8" si="33">C8/C9-1</f>
        <v>-4.0000000000000036E-3</v>
      </c>
      <c r="U8" s="2413">
        <f t="shared" ref="U8" si="34">D8/D9-1</f>
        <v>-4.0000000000000036E-3</v>
      </c>
      <c r="V8" s="2413">
        <f t="shared" ref="V8" si="35">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36">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37">AE8</f>
        <v>1.3299999999999999E-2</v>
      </c>
      <c r="AG8" s="2431">
        <f>ROUND(AVERAGE(K8:K$32)/100,4)</f>
        <v>2.1100000000000001E-2</v>
      </c>
      <c r="AH8" s="2431">
        <f>ROUND(AVERAGE(L8:L$32)/100,4)</f>
        <v>1.3599999999999999E-2</v>
      </c>
    </row>
    <row r="9" spans="1:34" s="2432" customFormat="1" x14ac:dyDescent="0.2">
      <c r="A9" s="2425" t="s">
        <v>2868</v>
      </c>
      <c r="B9" s="2426">
        <f t="shared" ref="B9" si="38">B10*(1+N9)</f>
        <v>479.34737379023579</v>
      </c>
      <c r="C9" s="2426">
        <f t="shared" ref="C9" si="39">C10*(1+O9)</f>
        <v>351.4265287986122</v>
      </c>
      <c r="D9" s="2426">
        <f t="shared" ref="D9" si="40">C9</f>
        <v>351.4265287986122</v>
      </c>
      <c r="E9" s="2426">
        <f t="shared" ref="E9" si="41">E10*(1+P9)</f>
        <v>685.98209703803116</v>
      </c>
      <c r="F9" s="2426">
        <f t="shared" ref="F9" si="42">F10*(1+Q9)</f>
        <v>316.78315206651001</v>
      </c>
      <c r="G9" s="2416">
        <v>2019</v>
      </c>
      <c r="H9" s="2427">
        <v>4</v>
      </c>
      <c r="I9" s="2427">
        <v>0.45</v>
      </c>
      <c r="J9" s="2427">
        <v>-0.12</v>
      </c>
      <c r="K9" s="2427">
        <v>0.54</v>
      </c>
      <c r="L9" s="2433">
        <v>0.48</v>
      </c>
      <c r="M9" s="2412"/>
      <c r="N9" s="2428">
        <f t="shared" ref="N9:N14" si="43">I9/100</f>
        <v>4.5000000000000005E-3</v>
      </c>
      <c r="O9" s="2413">
        <f t="shared" ref="O9" si="44">J9/100</f>
        <v>-1.1999999999999999E-3</v>
      </c>
      <c r="P9" s="2413">
        <f t="shared" ref="P9" si="45">K9/100</f>
        <v>5.4000000000000003E-3</v>
      </c>
      <c r="Q9" s="2413">
        <f t="shared" ref="Q9" si="46">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47">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48">AE9</f>
        <v>1.4E-2</v>
      </c>
      <c r="AG9" s="2431">
        <f>ROUND(AVERAGE(K9:K$32)/100,4)</f>
        <v>2.1899999999999999E-2</v>
      </c>
      <c r="AH9" s="2431">
        <f>ROUND(AVERAGE(L9:L$32)/100,4)</f>
        <v>1.4E-2</v>
      </c>
    </row>
    <row r="10" spans="1:34" s="2432" customFormat="1" ht="14" thickBot="1" x14ac:dyDescent="0.25">
      <c r="A10" s="2425" t="s">
        <v>2867</v>
      </c>
      <c r="B10" s="2426">
        <f t="shared" ref="B10" si="49">B11*(1+N10)</f>
        <v>477.19997390765138</v>
      </c>
      <c r="C10" s="2426">
        <f t="shared" ref="C10" si="50">C11*(1+O10)</f>
        <v>351.84874729536665</v>
      </c>
      <c r="D10" s="2426">
        <f t="shared" ref="D10" si="51">C10</f>
        <v>351.84874729536665</v>
      </c>
      <c r="E10" s="2426">
        <f t="shared" ref="E10" si="52">E11*(1+P10)</f>
        <v>682.29768951465201</v>
      </c>
      <c r="F10" s="2426">
        <f t="shared" ref="F10" si="53">F11*(1+Q10)</f>
        <v>315.26985675409043</v>
      </c>
      <c r="G10" s="2416">
        <v>2019</v>
      </c>
      <c r="H10" s="2427">
        <v>3</v>
      </c>
      <c r="I10" s="2427">
        <v>0.61</v>
      </c>
      <c r="J10" s="2427">
        <v>0.67</v>
      </c>
      <c r="K10" s="2427">
        <v>0.6</v>
      </c>
      <c r="L10" s="2433">
        <v>1.03</v>
      </c>
      <c r="M10" s="2412"/>
      <c r="N10" s="2428">
        <f t="shared" si="43"/>
        <v>6.0999999999999995E-3</v>
      </c>
      <c r="O10" s="2413">
        <f t="shared" ref="O10" si="54">J10/100</f>
        <v>6.7000000000000002E-3</v>
      </c>
      <c r="P10" s="2413">
        <f t="shared" ref="P10" si="55">K10/100</f>
        <v>6.0000000000000001E-3</v>
      </c>
      <c r="Q10" s="2413">
        <f t="shared" ref="Q10" si="56">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57">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58">AE10</f>
        <v>1.47E-2</v>
      </c>
      <c r="AG10" s="2431">
        <f>ROUND(AVERAGE(K10:K$32)/100,4)</f>
        <v>2.2599999999999999E-2</v>
      </c>
      <c r="AH10" s="2431">
        <f>ROUND(AVERAGE(L10:L$32)/100,4)</f>
        <v>1.44E-2</v>
      </c>
    </row>
    <row r="11" spans="1:34" s="2432" customFormat="1" x14ac:dyDescent="0.2">
      <c r="A11" s="2425" t="s">
        <v>2865</v>
      </c>
      <c r="B11" s="2426">
        <f t="shared" ref="B11" si="59">B12*(1+N11)</f>
        <v>474.30670301923408</v>
      </c>
      <c r="C11" s="2426">
        <f t="shared" ref="C11" si="60">C12*(1+O11)</f>
        <v>349.50705005996491</v>
      </c>
      <c r="D11" s="2426">
        <f t="shared" ref="D11" si="61">C11</f>
        <v>349.50705005996491</v>
      </c>
      <c r="E11" s="2426">
        <f t="shared" ref="E11" si="62">E12*(1+P11)</f>
        <v>678.22831959706957</v>
      </c>
      <c r="F11" s="2426">
        <f t="shared" ref="F11" si="63">F12*(1+Q11)</f>
        <v>312.0556832169558</v>
      </c>
      <c r="G11" s="2416">
        <v>2019</v>
      </c>
      <c r="H11" s="2434">
        <v>2</v>
      </c>
      <c r="I11" s="2434">
        <v>1.53</v>
      </c>
      <c r="J11" s="2434">
        <v>1.01</v>
      </c>
      <c r="K11" s="2434">
        <v>1.62</v>
      </c>
      <c r="L11" s="2435">
        <v>1.25</v>
      </c>
      <c r="M11" s="2412"/>
      <c r="N11" s="2428">
        <f t="shared" si="43"/>
        <v>1.5300000000000001E-2</v>
      </c>
      <c r="O11" s="2413">
        <f t="shared" ref="O11" si="64">J11/100</f>
        <v>1.01E-2</v>
      </c>
      <c r="P11" s="2413">
        <f t="shared" ref="P11" si="65">K11/100</f>
        <v>1.6200000000000003E-2</v>
      </c>
      <c r="Q11" s="2413">
        <f t="shared" ref="Q11" si="66">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67">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68">AE11</f>
        <v>1.4999999999999999E-2</v>
      </c>
      <c r="AG11" s="2431">
        <f>ROUND(AVERAGE(K11:K$32)/100,4)</f>
        <v>2.3300000000000001E-2</v>
      </c>
      <c r="AH11" s="2431">
        <f>ROUND(AVERAGE(L11:L$32)/100,4)</f>
        <v>1.46E-2</v>
      </c>
    </row>
    <row r="12" spans="1:34" s="2432" customFormat="1" ht="14" thickBot="1" x14ac:dyDescent="0.25">
      <c r="A12" s="2425" t="s">
        <v>2863</v>
      </c>
      <c r="B12" s="2426">
        <f t="shared" ref="B12" si="69">B13*(1+N12)</f>
        <v>467.15916775261894</v>
      </c>
      <c r="C12" s="2426">
        <f t="shared" ref="C12" si="70">C13*(1+O12)</f>
        <v>346.01232557169084</v>
      </c>
      <c r="D12" s="2426">
        <f t="shared" ref="D12" si="71">C12</f>
        <v>346.01232557169084</v>
      </c>
      <c r="E12" s="2426">
        <f t="shared" ref="E12" si="72">E13*(1+P12)</f>
        <v>667.41617752122568</v>
      </c>
      <c r="F12" s="2426">
        <f t="shared" ref="F12" si="73">F13*(1+Q12)</f>
        <v>308.20314391798104</v>
      </c>
      <c r="G12" s="2416">
        <v>2019</v>
      </c>
      <c r="H12" s="2427">
        <v>1</v>
      </c>
      <c r="I12" s="2427">
        <v>0.6</v>
      </c>
      <c r="J12" s="2427">
        <v>0.37</v>
      </c>
      <c r="K12" s="2427">
        <v>0.63</v>
      </c>
      <c r="L12" s="2433">
        <v>1.1299999999999999</v>
      </c>
      <c r="M12" s="2412"/>
      <c r="N12" s="2428">
        <f t="shared" si="43"/>
        <v>6.0000000000000001E-3</v>
      </c>
      <c r="O12" s="2413">
        <f t="shared" ref="O12" si="74">J12/100</f>
        <v>3.7000000000000002E-3</v>
      </c>
      <c r="P12" s="2413">
        <f t="shared" ref="P12" si="75">K12/100</f>
        <v>6.3E-3</v>
      </c>
      <c r="Q12" s="2413">
        <f t="shared" ref="Q12" si="76">L12/100</f>
        <v>1.1299999999999999E-2</v>
      </c>
      <c r="R12" s="2429"/>
      <c r="S12" s="2428">
        <f>B12/B13-1</f>
        <v>6.0000000000000053E-3</v>
      </c>
      <c r="T12" s="2413">
        <f t="shared" ref="T12" si="77">C12/C13-1</f>
        <v>3.7000000000000366E-3</v>
      </c>
      <c r="U12" s="2413">
        <f t="shared" ref="U12" si="78">D12/D13-1</f>
        <v>3.7000000000000366E-3</v>
      </c>
      <c r="V12" s="2413">
        <f t="shared" ref="V12" si="79">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80">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81">AE12</f>
        <v>1.5299999999999999E-2</v>
      </c>
      <c r="AG12" s="2431">
        <f>ROUND(AVERAGE(K12:K$32)/100,4)</f>
        <v>2.3699999999999999E-2</v>
      </c>
      <c r="AH12" s="2431">
        <f>ROUND(AVERAGE(L12:L$32)/100,4)</f>
        <v>1.47E-2</v>
      </c>
    </row>
    <row r="13" spans="1:34" s="2432" customFormat="1" x14ac:dyDescent="0.2">
      <c r="A13" s="2425" t="s">
        <v>2866</v>
      </c>
      <c r="B13" s="2436">
        <f t="shared" ref="B13" si="82">B14*(1+N13)</f>
        <v>464.37293017158942</v>
      </c>
      <c r="C13" s="2436">
        <f t="shared" ref="C13" si="83">C14*(1+O13)</f>
        <v>344.73679941385956</v>
      </c>
      <c r="D13" s="2436">
        <f t="shared" ref="D13" si="84">C13</f>
        <v>344.73679941385956</v>
      </c>
      <c r="E13" s="2436">
        <f t="shared" ref="E13" si="85">E14*(1+P13)</f>
        <v>663.2377795103107</v>
      </c>
      <c r="F13" s="2437">
        <f t="shared" ref="F13" si="86">F14*(1+Q13)</f>
        <v>304.75936311478398</v>
      </c>
      <c r="G13" s="3595">
        <v>2018</v>
      </c>
      <c r="H13" s="2434">
        <v>4</v>
      </c>
      <c r="I13" s="2434">
        <v>0.96</v>
      </c>
      <c r="J13" s="2434">
        <v>1.03</v>
      </c>
      <c r="K13" s="2434">
        <v>0.92</v>
      </c>
      <c r="L13" s="2435">
        <v>1.29</v>
      </c>
      <c r="M13" s="2412"/>
      <c r="N13" s="2428">
        <f t="shared" si="43"/>
        <v>9.5999999999999992E-3</v>
      </c>
      <c r="O13" s="2413">
        <f t="shared" ref="O13" si="87">J13/100</f>
        <v>1.03E-2</v>
      </c>
      <c r="P13" s="2413">
        <f t="shared" ref="P13" si="88">K13/100</f>
        <v>9.1999999999999998E-3</v>
      </c>
      <c r="Q13" s="2413">
        <f t="shared" ref="Q13" si="89">L13/100</f>
        <v>1.29E-2</v>
      </c>
      <c r="R13" s="2429"/>
      <c r="S13" s="2428"/>
      <c r="T13" s="2413"/>
      <c r="U13" s="2413"/>
      <c r="V13" s="2413"/>
      <c r="W13" s="2430"/>
      <c r="X13" s="2430">
        <f>ROUND(SUMPRODUCT(PRODUCT(1+N13:N$31)),4)</f>
        <v>1.5099</v>
      </c>
      <c r="Y13" s="2430">
        <f>ROUND(SUMPRODUCT(PRODUCT(1+O13:O$31)),4)</f>
        <v>1.3372999999999999</v>
      </c>
      <c r="Z13" s="2430">
        <f t="shared" ref="Z13" si="90">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91">AE13</f>
        <v>1.5800000000000002E-2</v>
      </c>
      <c r="AG13" s="2431">
        <f>ROUND(AVERAGE(K13:K$32)/100,4)</f>
        <v>2.4500000000000001E-2</v>
      </c>
      <c r="AH13" s="2431">
        <f>ROUND(AVERAGE(L13:L$32)/100,4)</f>
        <v>1.49E-2</v>
      </c>
    </row>
    <row r="14" spans="1:34" s="2432" customFormat="1" ht="14.5" customHeight="1" x14ac:dyDescent="0.2">
      <c r="A14" s="2425" t="s">
        <v>2861</v>
      </c>
      <c r="B14" s="2426">
        <f t="shared" ref="B14" si="92">B15*(1+N14)</f>
        <v>459.95733971036987</v>
      </c>
      <c r="C14" s="2426">
        <f t="shared" ref="C14" si="93">C15*(1+O14)</f>
        <v>341.22221064422405</v>
      </c>
      <c r="D14" s="2426">
        <f t="shared" ref="D14" si="94">C14</f>
        <v>341.22221064422405</v>
      </c>
      <c r="E14" s="2426">
        <f t="shared" ref="E14" si="95">E15*(1+P14)</f>
        <v>657.19161663724799</v>
      </c>
      <c r="F14" s="2426">
        <f t="shared" ref="F14" si="96">F15*(1+Q14)</f>
        <v>300.87803644464805</v>
      </c>
      <c r="G14" s="3595"/>
      <c r="H14" s="2427">
        <v>3</v>
      </c>
      <c r="I14" s="2427">
        <v>1.51</v>
      </c>
      <c r="J14" s="2427">
        <v>1.41</v>
      </c>
      <c r="K14" s="2427">
        <v>1.52</v>
      </c>
      <c r="L14" s="2433">
        <v>1.74</v>
      </c>
      <c r="M14" s="2412"/>
      <c r="N14" s="2428">
        <f t="shared" si="43"/>
        <v>1.5100000000000001E-2</v>
      </c>
      <c r="O14" s="2413">
        <f t="shared" ref="O14" si="97">J14/100</f>
        <v>1.41E-2</v>
      </c>
      <c r="P14" s="2413">
        <f t="shared" ref="P14" si="98">K14/100</f>
        <v>1.52E-2</v>
      </c>
      <c r="Q14" s="2413">
        <f t="shared" ref="Q14" si="99">L14/100</f>
        <v>1.7399999999999999E-2</v>
      </c>
      <c r="R14" s="2429"/>
      <c r="S14" s="2428"/>
      <c r="T14" s="2413"/>
      <c r="U14" s="2413"/>
      <c r="V14" s="2413"/>
      <c r="W14" s="2430"/>
      <c r="X14" s="2430">
        <f>ROUND(SUMPRODUCT(PRODUCT(1+N14:N$31)),4)</f>
        <v>1.4956</v>
      </c>
      <c r="Y14" s="2430">
        <f>ROUND(SUMPRODUCT(PRODUCT(1+O14:O$31)),4)</f>
        <v>1.3237000000000001</v>
      </c>
      <c r="Z14" s="2430">
        <f t="shared" ref="Z14" si="100">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01">AE14</f>
        <v>1.61E-2</v>
      </c>
      <c r="AG14" s="2431">
        <f>ROUND(AVERAGE(K14:K$32)/100,4)</f>
        <v>2.53E-2</v>
      </c>
      <c r="AH14" s="2431">
        <f>ROUND(AVERAGE(L14:L$32)/100,4)</f>
        <v>1.4999999999999999E-2</v>
      </c>
    </row>
    <row r="15" spans="1:34" s="2432" customFormat="1" ht="14.5" customHeight="1" x14ac:dyDescent="0.2">
      <c r="A15" s="2425" t="s">
        <v>2860</v>
      </c>
      <c r="B15" s="2426">
        <f t="shared" ref="B15" si="102">B16*(1+N15)</f>
        <v>453.11529869999993</v>
      </c>
      <c r="C15" s="2426">
        <f t="shared" ref="C15" si="103">C16*(1+O15)</f>
        <v>336.47787264000004</v>
      </c>
      <c r="D15" s="2426">
        <f t="shared" ref="D15" si="104">C15</f>
        <v>336.47787264000004</v>
      </c>
      <c r="E15" s="2426">
        <f t="shared" ref="E15" si="105">E16*(1+P15)</f>
        <v>647.35186823999993</v>
      </c>
      <c r="F15" s="2426">
        <f t="shared" ref="F15" si="106">F16*(1+Q15)</f>
        <v>295.73229452000004</v>
      </c>
      <c r="G15" s="3595"/>
      <c r="H15" s="2438">
        <v>2</v>
      </c>
      <c r="I15" s="2438">
        <v>1.49</v>
      </c>
      <c r="J15" s="2438">
        <v>0.96</v>
      </c>
      <c r="K15" s="2438">
        <v>1.58</v>
      </c>
      <c r="L15" s="2439">
        <v>2.44</v>
      </c>
      <c r="M15" s="2412"/>
      <c r="N15" s="2428">
        <f t="shared" ref="N15" si="107">I15/100</f>
        <v>1.49E-2</v>
      </c>
      <c r="O15" s="2413">
        <f t="shared" ref="O15" si="108">J15/100</f>
        <v>9.5999999999999992E-3</v>
      </c>
      <c r="P15" s="2413">
        <f t="shared" ref="P15" si="109">K15/100</f>
        <v>1.5800000000000002E-2</v>
      </c>
      <c r="Q15" s="2413">
        <f t="shared" ref="Q15" si="110">L15/100</f>
        <v>2.4399999999999998E-2</v>
      </c>
      <c r="R15" s="2429"/>
      <c r="S15" s="2428"/>
      <c r="T15" s="2413"/>
      <c r="U15" s="2413"/>
      <c r="V15" s="2413"/>
      <c r="W15" s="2430"/>
      <c r="X15" s="2430">
        <f>ROUND(SUMPRODUCT(PRODUCT(1+N15:N$31)),4)</f>
        <v>1.4733000000000001</v>
      </c>
      <c r="Y15" s="2430">
        <f>ROUND(SUMPRODUCT(PRODUCT(1+O15:O$31)),4)</f>
        <v>1.3052999999999999</v>
      </c>
      <c r="Z15" s="2430">
        <f t="shared" ref="Z15" si="111">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12">AE15</f>
        <v>1.6199999999999999E-2</v>
      </c>
      <c r="AG15" s="2431">
        <f>ROUND(AVERAGE(K15:K$32)/100,4)</f>
        <v>2.5899999999999999E-2</v>
      </c>
      <c r="AH15" s="2431">
        <f>ROUND(AVERAGE(L15:L$32)/100,4)</f>
        <v>1.49E-2</v>
      </c>
    </row>
    <row r="16" spans="1:34" s="2432" customFormat="1" ht="15" customHeight="1" thickBot="1" x14ac:dyDescent="0.25">
      <c r="A16" s="2425" t="s">
        <v>2853</v>
      </c>
      <c r="B16" s="2426">
        <f t="shared" ref="B16" si="113">B17*(1+N16)</f>
        <v>446.46299999999997</v>
      </c>
      <c r="C16" s="2426">
        <f t="shared" ref="C16" si="114">C17*(1+O16)</f>
        <v>333.27840000000003</v>
      </c>
      <c r="D16" s="2426">
        <f t="shared" ref="D16" si="115">C16</f>
        <v>333.27840000000003</v>
      </c>
      <c r="E16" s="2426">
        <f t="shared" ref="E16" si="116">E17*(1+P16)</f>
        <v>637.28279999999995</v>
      </c>
      <c r="F16" s="2426">
        <f t="shared" ref="F16" si="117">F17*(1+Q16)</f>
        <v>288.68830000000003</v>
      </c>
      <c r="G16" s="3604"/>
      <c r="H16" s="2427">
        <v>1</v>
      </c>
      <c r="I16" s="2427">
        <v>1.7</v>
      </c>
      <c r="J16" s="2427">
        <v>1.92</v>
      </c>
      <c r="K16" s="2427">
        <v>1.64</v>
      </c>
      <c r="L16" s="2433">
        <v>2.0099999999999998</v>
      </c>
      <c r="M16" s="2412"/>
      <c r="N16" s="2428">
        <f t="shared" ref="N16:N21" si="118">I16/100</f>
        <v>1.7000000000000001E-2</v>
      </c>
      <c r="O16" s="2413">
        <f t="shared" ref="O16" si="119">J16/100</f>
        <v>1.9199999999999998E-2</v>
      </c>
      <c r="P16" s="2413">
        <f t="shared" ref="P16" si="120">K16/100</f>
        <v>1.6399999999999998E-2</v>
      </c>
      <c r="Q16" s="2413">
        <f t="shared" ref="Q16" si="121">L16/100</f>
        <v>2.0099999999999996E-2</v>
      </c>
      <c r="R16" s="2429"/>
      <c r="S16" s="2428">
        <f>B16/B17-1</f>
        <v>1.6999999999999904E-2</v>
      </c>
      <c r="T16" s="2413">
        <f t="shared" ref="T16" si="122">C16/C17-1</f>
        <v>1.9200000000000106E-2</v>
      </c>
      <c r="U16" s="2413">
        <f t="shared" ref="U16" si="123">D16/D17-1</f>
        <v>1.9200000000000106E-2</v>
      </c>
      <c r="V16" s="2413">
        <f t="shared" ref="V16" si="124">E16/E17-1</f>
        <v>1.639999999999997E-2</v>
      </c>
      <c r="W16" s="2430"/>
      <c r="X16" s="2430">
        <f>ROUND(SUMPRODUCT(PRODUCT(1+N16:N$31)),4)</f>
        <v>1.4517</v>
      </c>
      <c r="Y16" s="2430">
        <f>ROUND(SUMPRODUCT(PRODUCT(1+O16:O$31)),4)</f>
        <v>1.2928999999999999</v>
      </c>
      <c r="Z16" s="2430">
        <f t="shared" ref="Z16" si="125">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26">AE16</f>
        <v>1.66E-2</v>
      </c>
      <c r="AG16" s="2431">
        <f>ROUND(AVERAGE(K16:K$32)/100,4)</f>
        <v>2.6499999999999999E-2</v>
      </c>
      <c r="AH16" s="2431">
        <f>ROUND(AVERAGE(L16:L$32)/100,4)</f>
        <v>1.43E-2</v>
      </c>
    </row>
    <row r="17" spans="1:34" x14ac:dyDescent="0.2">
      <c r="A17" s="2425" t="s">
        <v>2851</v>
      </c>
      <c r="B17" s="2440">
        <v>439</v>
      </c>
      <c r="C17" s="2440">
        <v>327</v>
      </c>
      <c r="D17" s="2440">
        <f>C17</f>
        <v>327</v>
      </c>
      <c r="E17" s="2440">
        <v>627</v>
      </c>
      <c r="F17" s="2441">
        <v>283</v>
      </c>
      <c r="G17" s="3600">
        <v>2017</v>
      </c>
      <c r="H17" s="2434">
        <v>4</v>
      </c>
      <c r="I17" s="2434">
        <v>1.71</v>
      </c>
      <c r="J17" s="2434">
        <v>1.78</v>
      </c>
      <c r="K17" s="2434">
        <v>1.71</v>
      </c>
      <c r="L17" s="2435">
        <v>1.43</v>
      </c>
      <c r="N17" s="2428">
        <f t="shared" si="118"/>
        <v>1.7100000000000001E-2</v>
      </c>
      <c r="O17" s="2413">
        <f t="shared" ref="O17" si="127">J17/100</f>
        <v>1.78E-2</v>
      </c>
      <c r="P17" s="2413">
        <f t="shared" ref="P17" si="128">K17/100</f>
        <v>1.7100000000000001E-2</v>
      </c>
      <c r="Q17" s="2413">
        <f t="shared" ref="Q17" si="129">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5" customHeight="1" x14ac:dyDescent="0.2">
      <c r="A18" s="2425" t="s">
        <v>2852</v>
      </c>
      <c r="B18" s="2426">
        <f t="shared" ref="B18:B19" si="130">B19*(1+N18)</f>
        <v>431.80730811680002</v>
      </c>
      <c r="C18" s="2426">
        <f t="shared" ref="C18:C19" si="131">C19*(1+O18)</f>
        <v>320.57880516480003</v>
      </c>
      <c r="D18" s="2426">
        <f t="shared" ref="D18:D19" si="132">C18</f>
        <v>320.57880516480003</v>
      </c>
      <c r="E18" s="2426">
        <f t="shared" ref="E18:E19" si="133">E19*(1+P18)</f>
        <v>615.96110553196797</v>
      </c>
      <c r="F18" s="2426">
        <f t="shared" ref="F18:F19" si="134">F19*(1+Q18)</f>
        <v>279.46777300108801</v>
      </c>
      <c r="G18" s="3595"/>
      <c r="H18" s="2427">
        <v>3</v>
      </c>
      <c r="I18" s="2427">
        <v>2.98</v>
      </c>
      <c r="J18" s="2427">
        <v>2.11</v>
      </c>
      <c r="K18" s="2427">
        <v>3.24</v>
      </c>
      <c r="L18" s="2433">
        <v>1.72</v>
      </c>
      <c r="M18" s="2412"/>
      <c r="N18" s="2428">
        <f t="shared" si="118"/>
        <v>2.98E-2</v>
      </c>
      <c r="O18" s="2413">
        <f t="shared" ref="O18" si="135">J18/100</f>
        <v>2.1099999999999997E-2</v>
      </c>
      <c r="P18" s="2413">
        <f t="shared" ref="P18" si="136">K18/100</f>
        <v>3.2400000000000005E-2</v>
      </c>
      <c r="Q18" s="2413">
        <f t="shared" ref="Q18" si="137">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5" customHeight="1" x14ac:dyDescent="0.2">
      <c r="A19" s="2425" t="s">
        <v>1351</v>
      </c>
      <c r="B19" s="2426">
        <f t="shared" si="130"/>
        <v>419.31181600000002</v>
      </c>
      <c r="C19" s="2426">
        <f t="shared" si="131"/>
        <v>313.95436800000004</v>
      </c>
      <c r="D19" s="2426">
        <f t="shared" si="132"/>
        <v>313.95436800000004</v>
      </c>
      <c r="E19" s="2426">
        <f t="shared" si="133"/>
        <v>596.63028431999999</v>
      </c>
      <c r="F19" s="2426">
        <f t="shared" si="134"/>
        <v>274.74220703999998</v>
      </c>
      <c r="G19" s="3595"/>
      <c r="H19" s="2438">
        <v>2</v>
      </c>
      <c r="I19" s="2438">
        <v>3.4</v>
      </c>
      <c r="J19" s="2438">
        <v>2</v>
      </c>
      <c r="K19" s="2438">
        <v>3.82</v>
      </c>
      <c r="L19" s="2439">
        <v>1.68</v>
      </c>
      <c r="M19" s="2412"/>
      <c r="N19" s="2428">
        <f t="shared" si="118"/>
        <v>3.4000000000000002E-2</v>
      </c>
      <c r="O19" s="2413">
        <f t="shared" ref="O19" si="138">J19/100</f>
        <v>0.02</v>
      </c>
      <c r="P19" s="2413">
        <f t="shared" ref="P19" si="139">K19/100</f>
        <v>3.8199999999999998E-2</v>
      </c>
      <c r="Q19" s="2413">
        <f t="shared" ref="Q19" si="140">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x14ac:dyDescent="0.25">
      <c r="A20" s="2425" t="s">
        <v>1128</v>
      </c>
      <c r="B20" s="2426">
        <f>B21*(1+N20)</f>
        <v>405.524</v>
      </c>
      <c r="C20" s="2426">
        <f>C21*(1+O20)</f>
        <v>307.79840000000002</v>
      </c>
      <c r="D20" s="2426">
        <f>C20</f>
        <v>307.79840000000002</v>
      </c>
      <c r="E20" s="2426">
        <f>E21*(1+P20)</f>
        <v>574.67759999999998</v>
      </c>
      <c r="F20" s="2426">
        <f>F21*(1+Q20)</f>
        <v>270.20280000000002</v>
      </c>
      <c r="G20" s="3604"/>
      <c r="H20" s="2427">
        <v>1</v>
      </c>
      <c r="I20" s="2427">
        <v>3.45</v>
      </c>
      <c r="J20" s="2427">
        <v>1.92</v>
      </c>
      <c r="K20" s="2427">
        <v>3.92</v>
      </c>
      <c r="L20" s="2433">
        <v>1.58</v>
      </c>
      <c r="M20" s="2412"/>
      <c r="N20" s="2428">
        <f t="shared" si="118"/>
        <v>3.4500000000000003E-2</v>
      </c>
      <c r="O20" s="2413">
        <f t="shared" ref="O20:Q35" si="141">J20/100</f>
        <v>1.9199999999999998E-2</v>
      </c>
      <c r="P20" s="2413">
        <f t="shared" si="141"/>
        <v>3.9199999999999999E-2</v>
      </c>
      <c r="Q20" s="2413">
        <f t="shared" si="141"/>
        <v>1.5800000000000002E-2</v>
      </c>
      <c r="R20" s="2429"/>
      <c r="S20" s="2428">
        <f>B20/B21-1</f>
        <v>3.4499999999999975E-2</v>
      </c>
      <c r="T20" s="2413">
        <f t="shared" ref="T20:V20" si="142">C20/C21-1</f>
        <v>1.9200000000000106E-2</v>
      </c>
      <c r="U20" s="2413">
        <f t="shared" si="142"/>
        <v>1.9200000000000106E-2</v>
      </c>
      <c r="V20" s="2413">
        <f t="shared" si="142"/>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x14ac:dyDescent="0.2">
      <c r="A21" s="2425" t="s">
        <v>154</v>
      </c>
      <c r="B21" s="2440">
        <v>392</v>
      </c>
      <c r="C21" s="2440">
        <v>302</v>
      </c>
      <c r="D21" s="2440">
        <f>C21</f>
        <v>302</v>
      </c>
      <c r="E21" s="2440">
        <v>553</v>
      </c>
      <c r="F21" s="2441">
        <v>266</v>
      </c>
      <c r="G21" s="3600">
        <v>2016</v>
      </c>
      <c r="H21" s="2434">
        <v>4</v>
      </c>
      <c r="I21" s="2434">
        <v>4.5599999999999996</v>
      </c>
      <c r="J21" s="2434">
        <v>2.15</v>
      </c>
      <c r="K21" s="2434">
        <v>5.32</v>
      </c>
      <c r="L21" s="2435">
        <v>1.57</v>
      </c>
      <c r="N21" s="2428">
        <f t="shared" si="118"/>
        <v>4.5599999999999995E-2</v>
      </c>
      <c r="O21" s="2413">
        <f t="shared" si="141"/>
        <v>2.1499999999999998E-2</v>
      </c>
      <c r="P21" s="2413">
        <f t="shared" si="141"/>
        <v>5.3200000000000004E-2</v>
      </c>
      <c r="Q21" s="2413">
        <f t="shared" si="141"/>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x14ac:dyDescent="0.2">
      <c r="A22" s="2425" t="s">
        <v>153</v>
      </c>
      <c r="B22" s="2426">
        <f t="shared" ref="B22:C24" si="143">B21/(1+N21)</f>
        <v>374.90436113236416</v>
      </c>
      <c r="C22" s="2426">
        <f t="shared" si="143"/>
        <v>295.64366128242779</v>
      </c>
      <c r="D22" s="2426">
        <f t="shared" ref="D22:D81" si="144">C22</f>
        <v>295.64366128242779</v>
      </c>
      <c r="E22" s="2426">
        <f t="shared" ref="E22:F24" si="145">E21/(1+P21)</f>
        <v>525.06646410938095</v>
      </c>
      <c r="F22" s="2426">
        <f t="shared" si="145"/>
        <v>261.88835286009646</v>
      </c>
      <c r="G22" s="3595"/>
      <c r="H22" s="2427">
        <v>3</v>
      </c>
      <c r="I22" s="2427">
        <v>4.12</v>
      </c>
      <c r="J22" s="2427">
        <v>2</v>
      </c>
      <c r="K22" s="2427">
        <v>4.79</v>
      </c>
      <c r="L22" s="2433">
        <v>1.97</v>
      </c>
      <c r="N22" s="2428">
        <f t="shared" ref="N22:Q56" si="146">I22/100</f>
        <v>4.1200000000000001E-2</v>
      </c>
      <c r="O22" s="2413">
        <f t="shared" si="141"/>
        <v>0.02</v>
      </c>
      <c r="P22" s="2413">
        <f t="shared" si="141"/>
        <v>4.7899999999999998E-2</v>
      </c>
      <c r="Q22" s="2413">
        <f t="shared" si="141"/>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x14ac:dyDescent="0.2">
      <c r="A23" s="2425" t="s">
        <v>143</v>
      </c>
      <c r="B23" s="2426">
        <f t="shared" si="143"/>
        <v>360.06949782209392</v>
      </c>
      <c r="C23" s="2426">
        <f t="shared" si="143"/>
        <v>289.84672674747821</v>
      </c>
      <c r="D23" s="2426">
        <f t="shared" si="144"/>
        <v>289.84672674747821</v>
      </c>
      <c r="E23" s="2426">
        <f t="shared" si="145"/>
        <v>501.06543001181495</v>
      </c>
      <c r="F23" s="2426">
        <f t="shared" si="145"/>
        <v>256.82882500744967</v>
      </c>
      <c r="G23" s="3595"/>
      <c r="H23" s="2438">
        <v>2</v>
      </c>
      <c r="I23" s="2438">
        <v>3.85</v>
      </c>
      <c r="J23" s="2438">
        <v>1.95</v>
      </c>
      <c r="K23" s="2438">
        <v>4.4800000000000004</v>
      </c>
      <c r="L23" s="2439">
        <v>1.41</v>
      </c>
      <c r="N23" s="2428">
        <f t="shared" si="146"/>
        <v>3.85E-2</v>
      </c>
      <c r="O23" s="2413">
        <f t="shared" si="141"/>
        <v>1.95E-2</v>
      </c>
      <c r="P23" s="2413">
        <f t="shared" si="141"/>
        <v>4.4800000000000006E-2</v>
      </c>
      <c r="Q23" s="2413">
        <f t="shared" si="141"/>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4" thickBot="1" x14ac:dyDescent="0.25">
      <c r="A24" s="2425" t="s">
        <v>152</v>
      </c>
      <c r="B24" s="2426">
        <f t="shared" si="143"/>
        <v>346.720748986128</v>
      </c>
      <c r="C24" s="2426">
        <f t="shared" si="143"/>
        <v>284.30282172386285</v>
      </c>
      <c r="D24" s="2426">
        <f t="shared" si="144"/>
        <v>284.30282172386285</v>
      </c>
      <c r="E24" s="2426">
        <f t="shared" si="145"/>
        <v>479.58023546306947</v>
      </c>
      <c r="F24" s="2426">
        <f t="shared" si="145"/>
        <v>253.25788877571213</v>
      </c>
      <c r="G24" s="3596"/>
      <c r="H24" s="2427">
        <v>1</v>
      </c>
      <c r="I24" s="2427">
        <v>4.09</v>
      </c>
      <c r="J24" s="2427">
        <v>2.93</v>
      </c>
      <c r="K24" s="2427">
        <v>4.54</v>
      </c>
      <c r="L24" s="2433">
        <v>1.48</v>
      </c>
      <c r="N24" s="2428">
        <f t="shared" si="146"/>
        <v>4.0899999999999999E-2</v>
      </c>
      <c r="O24" s="2413">
        <f t="shared" si="141"/>
        <v>2.9300000000000003E-2</v>
      </c>
      <c r="P24" s="2413">
        <f t="shared" si="141"/>
        <v>4.5400000000000003E-2</v>
      </c>
      <c r="Q24" s="2413">
        <f t="shared" si="141"/>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4" thickBot="1" x14ac:dyDescent="0.25">
      <c r="A25" s="2425" t="s">
        <v>151</v>
      </c>
      <c r="B25" s="2440">
        <v>333</v>
      </c>
      <c r="C25" s="2440">
        <v>277</v>
      </c>
      <c r="D25" s="2440">
        <f t="shared" si="144"/>
        <v>277</v>
      </c>
      <c r="E25" s="2440">
        <v>459</v>
      </c>
      <c r="F25" s="2441">
        <v>249</v>
      </c>
      <c r="G25" s="3594">
        <v>2015</v>
      </c>
      <c r="H25" s="2446">
        <v>4</v>
      </c>
      <c r="I25" s="2446">
        <v>1.63</v>
      </c>
      <c r="J25" s="2446">
        <v>1.1100000000000001</v>
      </c>
      <c r="K25" s="2446">
        <v>1.77</v>
      </c>
      <c r="L25" s="2447">
        <v>1.89</v>
      </c>
      <c r="N25" s="2448">
        <f t="shared" si="146"/>
        <v>1.6299999999999999E-2</v>
      </c>
      <c r="O25" s="2449">
        <f t="shared" si="141"/>
        <v>1.11E-2</v>
      </c>
      <c r="P25" s="2449">
        <f t="shared" si="141"/>
        <v>1.77E-2</v>
      </c>
      <c r="Q25" s="2449">
        <f t="shared" si="141"/>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x14ac:dyDescent="0.2">
      <c r="A26" s="2425" t="s">
        <v>150</v>
      </c>
      <c r="B26" s="2426">
        <f t="shared" ref="B26:C28" si="147">B25/(1+N25)</f>
        <v>327.65915576109415</v>
      </c>
      <c r="C26" s="2426">
        <f t="shared" si="147"/>
        <v>273.95905449510434</v>
      </c>
      <c r="D26" s="2426">
        <f t="shared" si="144"/>
        <v>273.95905449510434</v>
      </c>
      <c r="E26" s="2426">
        <f t="shared" ref="E26:F28" si="148">E25/(1+P25)</f>
        <v>451.01699911565294</v>
      </c>
      <c r="F26" s="2426">
        <f t="shared" si="148"/>
        <v>244.38119540681129</v>
      </c>
      <c r="G26" s="3595"/>
      <c r="H26" s="2451">
        <v>3</v>
      </c>
      <c r="I26" s="2451">
        <v>1.65</v>
      </c>
      <c r="J26" s="2451">
        <v>0.92</v>
      </c>
      <c r="K26" s="2451">
        <v>1.88</v>
      </c>
      <c r="L26" s="2452">
        <v>1.26</v>
      </c>
      <c r="N26" s="2428">
        <f t="shared" si="146"/>
        <v>1.6500000000000001E-2</v>
      </c>
      <c r="O26" s="2453">
        <f t="shared" si="141"/>
        <v>9.1999999999999998E-3</v>
      </c>
      <c r="P26" s="2453">
        <f t="shared" si="141"/>
        <v>1.8799999999999997E-2</v>
      </c>
      <c r="Q26" s="2453">
        <f t="shared" si="141"/>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x14ac:dyDescent="0.2">
      <c r="A27" s="2425" t="s">
        <v>149</v>
      </c>
      <c r="B27" s="2426">
        <f t="shared" si="147"/>
        <v>322.34053690220776</v>
      </c>
      <c r="C27" s="2426">
        <f t="shared" si="147"/>
        <v>271.46160770422546</v>
      </c>
      <c r="D27" s="2426">
        <f t="shared" si="144"/>
        <v>271.46160770422546</v>
      </c>
      <c r="E27" s="2426">
        <f t="shared" si="148"/>
        <v>442.69434542172456</v>
      </c>
      <c r="F27" s="2426">
        <f t="shared" si="148"/>
        <v>241.34030753190925</v>
      </c>
      <c r="G27" s="3595"/>
      <c r="H27" s="2438">
        <v>2</v>
      </c>
      <c r="I27" s="2438">
        <v>0.77</v>
      </c>
      <c r="J27" s="2438">
        <v>0.69</v>
      </c>
      <c r="K27" s="2438">
        <v>0.8</v>
      </c>
      <c r="L27" s="2439">
        <v>0.88</v>
      </c>
      <c r="N27" s="2428">
        <f t="shared" si="146"/>
        <v>7.7000000000000002E-3</v>
      </c>
      <c r="O27" s="2453">
        <f t="shared" si="141"/>
        <v>6.8999999999999999E-3</v>
      </c>
      <c r="P27" s="2453">
        <f t="shared" si="141"/>
        <v>8.0000000000000002E-3</v>
      </c>
      <c r="Q27" s="2453">
        <f t="shared" si="141"/>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x14ac:dyDescent="0.2">
      <c r="A28" s="2425" t="s">
        <v>148</v>
      </c>
      <c r="B28" s="2426">
        <f t="shared" si="147"/>
        <v>319.87748030386797</v>
      </c>
      <c r="C28" s="2426">
        <f t="shared" si="147"/>
        <v>269.60135833173649</v>
      </c>
      <c r="D28" s="2426">
        <f t="shared" si="144"/>
        <v>269.60135833173649</v>
      </c>
      <c r="E28" s="2426">
        <f t="shared" si="148"/>
        <v>439.18089823583784</v>
      </c>
      <c r="F28" s="2426">
        <f t="shared" si="148"/>
        <v>239.23503918706311</v>
      </c>
      <c r="G28" s="3596"/>
      <c r="H28" s="2427">
        <v>1</v>
      </c>
      <c r="I28" s="2427">
        <v>0.51</v>
      </c>
      <c r="J28" s="2427">
        <v>0.54</v>
      </c>
      <c r="K28" s="2427">
        <v>0.48</v>
      </c>
      <c r="L28" s="2433">
        <v>0.93</v>
      </c>
      <c r="N28" s="2444">
        <f t="shared" si="146"/>
        <v>5.1000000000000004E-3</v>
      </c>
      <c r="O28" s="2445">
        <f t="shared" si="141"/>
        <v>5.4000000000000003E-3</v>
      </c>
      <c r="P28" s="2445">
        <f t="shared" si="141"/>
        <v>4.7999999999999996E-3</v>
      </c>
      <c r="Q28" s="2445">
        <f t="shared" si="141"/>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4" thickBot="1" x14ac:dyDescent="0.25">
      <c r="A29" s="2425" t="s">
        <v>147</v>
      </c>
      <c r="B29" s="2454">
        <v>318</v>
      </c>
      <c r="C29" s="2454">
        <v>268</v>
      </c>
      <c r="D29" s="2454">
        <f t="shared" si="144"/>
        <v>268</v>
      </c>
      <c r="E29" s="2454">
        <v>437</v>
      </c>
      <c r="F29" s="2455">
        <v>237</v>
      </c>
      <c r="G29" s="3594">
        <v>2014</v>
      </c>
      <c r="H29" s="2446">
        <v>4</v>
      </c>
      <c r="I29" s="2446">
        <v>0.21</v>
      </c>
      <c r="J29" s="2446">
        <v>0.41</v>
      </c>
      <c r="K29" s="2446">
        <v>0.12</v>
      </c>
      <c r="L29" s="2447">
        <v>0.89</v>
      </c>
      <c r="N29" s="2428">
        <f t="shared" si="146"/>
        <v>2.0999999999999999E-3</v>
      </c>
      <c r="O29" s="2413">
        <f t="shared" si="141"/>
        <v>4.0999999999999995E-3</v>
      </c>
      <c r="P29" s="2413">
        <f t="shared" si="141"/>
        <v>1.1999999999999999E-3</v>
      </c>
      <c r="Q29" s="2413">
        <f t="shared" si="141"/>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x14ac:dyDescent="0.2">
      <c r="A30" s="2425" t="s">
        <v>146</v>
      </c>
      <c r="B30" s="2426">
        <f t="shared" ref="B30:C32" si="149">B29/(1+N29)</f>
        <v>317.33359944117353</v>
      </c>
      <c r="C30" s="2426">
        <f t="shared" si="149"/>
        <v>266.90568668459315</v>
      </c>
      <c r="D30" s="2426">
        <f t="shared" si="144"/>
        <v>266.90568668459315</v>
      </c>
      <c r="E30" s="2426">
        <f t="shared" ref="E30:F32" si="150">E29/(1+P29)</f>
        <v>436.47622852576905</v>
      </c>
      <c r="F30" s="2426">
        <f t="shared" si="150"/>
        <v>234.90930716622066</v>
      </c>
      <c r="G30" s="3595"/>
      <c r="H30" s="2456">
        <v>3</v>
      </c>
      <c r="I30" s="2456">
        <v>0.83</v>
      </c>
      <c r="J30" s="2456">
        <v>1.47</v>
      </c>
      <c r="K30" s="2456">
        <v>0.65</v>
      </c>
      <c r="L30" s="2457">
        <v>0.72</v>
      </c>
      <c r="N30" s="2428">
        <f t="shared" si="146"/>
        <v>8.3000000000000001E-3</v>
      </c>
      <c r="O30" s="2413">
        <f t="shared" si="141"/>
        <v>1.47E-2</v>
      </c>
      <c r="P30" s="2413">
        <f t="shared" si="141"/>
        <v>6.5000000000000006E-3</v>
      </c>
      <c r="Q30" s="2413">
        <f t="shared" si="141"/>
        <v>7.1999999999999998E-3</v>
      </c>
      <c r="R30" s="2429"/>
      <c r="S30" s="2428"/>
      <c r="T30" s="2413"/>
      <c r="U30" s="2413"/>
      <c r="V30" s="2413"/>
      <c r="X30" s="2412">
        <f>ROUND(SUMPRODUCT(PRODUCT(1+N30:N$31)),4)</f>
        <v>1.0325</v>
      </c>
      <c r="Y30" s="2412">
        <f>ROUND(SUMPRODUCT(PRODUCT(1+O30:O$31)),4)</f>
        <v>1.0353000000000001</v>
      </c>
      <c r="Z30" s="2412">
        <f t="shared" ref="Z30:Z31" si="151">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4" thickBot="1" x14ac:dyDescent="0.25">
      <c r="A31" s="2425" t="s">
        <v>145</v>
      </c>
      <c r="B31" s="2426">
        <f t="shared" si="149"/>
        <v>314.72141172386546</v>
      </c>
      <c r="C31" s="2426">
        <f t="shared" si="149"/>
        <v>263.03901319069001</v>
      </c>
      <c r="D31" s="2426">
        <f t="shared" si="144"/>
        <v>263.03901319069001</v>
      </c>
      <c r="E31" s="2426">
        <f t="shared" si="150"/>
        <v>433.65745506782821</v>
      </c>
      <c r="F31" s="2426">
        <f t="shared" si="150"/>
        <v>233.23005080045735</v>
      </c>
      <c r="G31" s="3595"/>
      <c r="H31" s="2446">
        <v>2</v>
      </c>
      <c r="I31" s="2446">
        <v>2.4</v>
      </c>
      <c r="J31" s="2446">
        <v>2.0299999999999998</v>
      </c>
      <c r="K31" s="2446">
        <v>2.59</v>
      </c>
      <c r="L31" s="2447">
        <v>1.52</v>
      </c>
      <c r="N31" s="2428">
        <f t="shared" si="146"/>
        <v>2.4E-2</v>
      </c>
      <c r="O31" s="2413">
        <f t="shared" si="141"/>
        <v>2.0299999999999999E-2</v>
      </c>
      <c r="P31" s="2413">
        <f t="shared" si="141"/>
        <v>2.5899999999999999E-2</v>
      </c>
      <c r="Q31" s="2413">
        <f t="shared" si="141"/>
        <v>1.52E-2</v>
      </c>
      <c r="R31" s="2429"/>
      <c r="S31" s="2428"/>
      <c r="T31" s="2413"/>
      <c r="U31" s="2413"/>
      <c r="V31" s="2413"/>
      <c r="X31" s="2412">
        <f>1+N31</f>
        <v>1.024</v>
      </c>
      <c r="Y31" s="2412">
        <f>1+O31</f>
        <v>1.0203</v>
      </c>
      <c r="Z31" s="2412">
        <f t="shared" si="151"/>
        <v>1.0203</v>
      </c>
      <c r="AA31" s="2412">
        <f>1+P31</f>
        <v>1.0259</v>
      </c>
      <c r="AB31" s="2412">
        <f>1+Q31</f>
        <v>1.0152000000000001</v>
      </c>
      <c r="AD31" s="2413">
        <f>ROUND(AVERAGE(I31:I$32)/100,4)</f>
        <v>2.69E-2</v>
      </c>
      <c r="AE31" s="2413">
        <f>ROUND(AVERAGE(J31:J$32)/100,4)</f>
        <v>2.1899999999999999E-2</v>
      </c>
      <c r="AF31" s="2413">
        <f t="shared" ref="AF31" si="152">AE31</f>
        <v>2.1899999999999999E-2</v>
      </c>
      <c r="AG31" s="2413">
        <f>ROUND(AVERAGE(K31:K$32)/100,4)</f>
        <v>2.9399999999999999E-2</v>
      </c>
      <c r="AH31" s="2413">
        <f>ROUND(AVERAGE(L31:L$32)/100,4)</f>
        <v>1.44E-2</v>
      </c>
    </row>
    <row r="32" spans="1:34" s="2462" customFormat="1" ht="15" thickBot="1" x14ac:dyDescent="0.25">
      <c r="A32" s="2458" t="s">
        <v>144</v>
      </c>
      <c r="B32" s="2459">
        <f t="shared" si="149"/>
        <v>307.34512863658733</v>
      </c>
      <c r="C32" s="2459">
        <f t="shared" si="149"/>
        <v>257.80556031626975</v>
      </c>
      <c r="D32" s="2459">
        <f t="shared" si="144"/>
        <v>257.80556031626975</v>
      </c>
      <c r="E32" s="2459">
        <f t="shared" si="150"/>
        <v>422.70928459677179</v>
      </c>
      <c r="F32" s="2459">
        <f t="shared" si="150"/>
        <v>229.73803270336617</v>
      </c>
      <c r="G32" s="3596"/>
      <c r="H32" s="2460">
        <v>1</v>
      </c>
      <c r="I32" s="2460">
        <v>2.97</v>
      </c>
      <c r="J32" s="2460">
        <v>2.34</v>
      </c>
      <c r="K32" s="2460">
        <v>3.28</v>
      </c>
      <c r="L32" s="2461">
        <v>1.36</v>
      </c>
      <c r="N32" s="2463">
        <f t="shared" si="146"/>
        <v>2.9700000000000001E-2</v>
      </c>
      <c r="O32" s="2464">
        <f t="shared" si="141"/>
        <v>2.3399999999999997E-2</v>
      </c>
      <c r="P32" s="2464">
        <f t="shared" si="141"/>
        <v>3.2799999999999996E-2</v>
      </c>
      <c r="Q32" s="2464">
        <f t="shared" si="141"/>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4" thickBot="1" x14ac:dyDescent="0.25">
      <c r="A33" s="2425" t="s">
        <v>1130</v>
      </c>
      <c r="B33" s="2440">
        <v>299</v>
      </c>
      <c r="C33" s="2440">
        <v>252</v>
      </c>
      <c r="D33" s="2440">
        <f t="shared" si="144"/>
        <v>252</v>
      </c>
      <c r="E33" s="2440">
        <v>409</v>
      </c>
      <c r="F33" s="2441">
        <v>227</v>
      </c>
      <c r="G33" s="3601">
        <v>2013</v>
      </c>
      <c r="H33" s="2470">
        <v>4</v>
      </c>
      <c r="I33" s="2470">
        <v>1.83</v>
      </c>
      <c r="J33" s="2470">
        <v>1.68</v>
      </c>
      <c r="K33" s="2470">
        <v>1.97</v>
      </c>
      <c r="L33" s="2471">
        <v>0.87</v>
      </c>
      <c r="N33" s="2448">
        <f t="shared" si="146"/>
        <v>1.83E-2</v>
      </c>
      <c r="O33" s="2449">
        <f t="shared" si="141"/>
        <v>1.6799999999999999E-2</v>
      </c>
      <c r="P33" s="2449">
        <f t="shared" si="141"/>
        <v>1.9699999999999999E-2</v>
      </c>
      <c r="Q33" s="2449">
        <f t="shared" si="141"/>
        <v>8.6999999999999994E-3</v>
      </c>
      <c r="R33" s="2429"/>
      <c r="S33" s="2442"/>
      <c r="T33" s="2443"/>
      <c r="U33" s="2443"/>
      <c r="V33" s="2443"/>
      <c r="X33" s="2443"/>
      <c r="Y33" s="2443"/>
      <c r="Z33" s="2443"/>
    </row>
    <row r="34" spans="1:26" x14ac:dyDescent="0.2">
      <c r="A34" s="2425" t="s">
        <v>1131</v>
      </c>
      <c r="B34" s="2426">
        <f t="shared" ref="B34:C36" si="153">B33/(1+N33)</f>
        <v>293.62663262299913</v>
      </c>
      <c r="C34" s="2426">
        <f t="shared" si="153"/>
        <v>247.83634933123525</v>
      </c>
      <c r="D34" s="2426">
        <f t="shared" si="144"/>
        <v>247.83634933123525</v>
      </c>
      <c r="E34" s="2426">
        <f t="shared" ref="E34:F36" si="154">E33/(1+P33)</f>
        <v>401.09836226341076</v>
      </c>
      <c r="F34" s="2426">
        <f t="shared" si="154"/>
        <v>225.04213343908003</v>
      </c>
      <c r="G34" s="3602"/>
      <c r="H34" s="2451">
        <v>3</v>
      </c>
      <c r="I34" s="2451">
        <v>1.86</v>
      </c>
      <c r="J34" s="2451">
        <v>1.72</v>
      </c>
      <c r="K34" s="2451">
        <v>1.98</v>
      </c>
      <c r="L34" s="2452">
        <v>0.88</v>
      </c>
      <c r="N34" s="2428">
        <f t="shared" si="146"/>
        <v>1.8600000000000002E-2</v>
      </c>
      <c r="O34" s="2453">
        <f t="shared" si="141"/>
        <v>1.72E-2</v>
      </c>
      <c r="P34" s="2453">
        <f t="shared" si="141"/>
        <v>1.9799999999999998E-2</v>
      </c>
      <c r="Q34" s="2453">
        <f t="shared" si="141"/>
        <v>8.8000000000000005E-3</v>
      </c>
      <c r="R34" s="2429"/>
      <c r="S34" s="2428"/>
      <c r="T34" s="2413"/>
      <c r="U34" s="2413"/>
      <c r="V34" s="2413"/>
    </row>
    <row r="35" spans="1:26" ht="14" x14ac:dyDescent="0.2">
      <c r="A35" s="2425" t="s">
        <v>1132</v>
      </c>
      <c r="B35" s="2426">
        <f t="shared" si="153"/>
        <v>288.2649053828776</v>
      </c>
      <c r="C35" s="2426">
        <f t="shared" si="153"/>
        <v>243.64564425013293</v>
      </c>
      <c r="D35" s="2426">
        <f t="shared" si="144"/>
        <v>243.64564425013293</v>
      </c>
      <c r="E35" s="2426">
        <f t="shared" si="154"/>
        <v>393.31080825986544</v>
      </c>
      <c r="F35" s="2426">
        <f t="shared" si="154"/>
        <v>223.07903790551154</v>
      </c>
      <c r="G35" s="3602"/>
      <c r="H35" s="2438">
        <v>2</v>
      </c>
      <c r="I35" s="2438">
        <v>2.04</v>
      </c>
      <c r="J35" s="2438">
        <v>2.33</v>
      </c>
      <c r="K35" s="2438">
        <v>2.0699999999999998</v>
      </c>
      <c r="L35" s="2439">
        <v>0.69</v>
      </c>
      <c r="N35" s="2428">
        <f t="shared" si="146"/>
        <v>2.0400000000000001E-2</v>
      </c>
      <c r="O35" s="2453">
        <f t="shared" si="141"/>
        <v>2.3300000000000001E-2</v>
      </c>
      <c r="P35" s="2453">
        <f t="shared" si="141"/>
        <v>2.07E-2</v>
      </c>
      <c r="Q35" s="2453">
        <f t="shared" si="141"/>
        <v>6.8999999999999999E-3</v>
      </c>
      <c r="R35" s="2429"/>
      <c r="S35" s="2428"/>
      <c r="T35" s="2413"/>
      <c r="U35" s="2413"/>
      <c r="V35" s="2413"/>
      <c r="X35" s="2472"/>
      <c r="Y35" s="2473"/>
    </row>
    <row r="36" spans="1:26" x14ac:dyDescent="0.2">
      <c r="A36" s="2425" t="s">
        <v>1133</v>
      </c>
      <c r="B36" s="2426">
        <f t="shared" si="153"/>
        <v>282.50186729015837</v>
      </c>
      <c r="C36" s="2426">
        <f t="shared" si="153"/>
        <v>238.09796174155468</v>
      </c>
      <c r="D36" s="2426">
        <f t="shared" si="144"/>
        <v>238.09796174155468</v>
      </c>
      <c r="E36" s="2426">
        <f t="shared" si="154"/>
        <v>385.33438646014054</v>
      </c>
      <c r="F36" s="2426">
        <f t="shared" si="154"/>
        <v>221.55034055567739</v>
      </c>
      <c r="G36" s="3603"/>
      <c r="H36" s="2427">
        <v>1</v>
      </c>
      <c r="I36" s="2427">
        <v>1.67</v>
      </c>
      <c r="J36" s="2427">
        <v>1.31</v>
      </c>
      <c r="K36" s="2427">
        <v>1.85</v>
      </c>
      <c r="L36" s="2433">
        <v>0.96</v>
      </c>
      <c r="N36" s="2444">
        <f t="shared" si="146"/>
        <v>1.67E-2</v>
      </c>
      <c r="O36" s="2445">
        <f t="shared" si="146"/>
        <v>1.3100000000000001E-2</v>
      </c>
      <c r="P36" s="2445">
        <f t="shared" si="146"/>
        <v>1.8500000000000003E-2</v>
      </c>
      <c r="Q36" s="2445">
        <f t="shared" si="146"/>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4" thickBot="1" x14ac:dyDescent="0.25">
      <c r="A37" s="2425" t="s">
        <v>1134</v>
      </c>
      <c r="B37" s="2475">
        <v>278</v>
      </c>
      <c r="C37" s="2475">
        <v>234</v>
      </c>
      <c r="D37" s="2475">
        <f t="shared" si="144"/>
        <v>234</v>
      </c>
      <c r="E37" s="2475">
        <v>379</v>
      </c>
      <c r="F37" s="2476">
        <v>220</v>
      </c>
      <c r="G37" s="3594">
        <v>2012</v>
      </c>
      <c r="H37" s="2446">
        <v>4</v>
      </c>
      <c r="I37" s="2446">
        <v>0.91</v>
      </c>
      <c r="J37" s="2446">
        <v>0.68</v>
      </c>
      <c r="K37" s="2446">
        <v>0.98</v>
      </c>
      <c r="L37" s="2447">
        <v>0.9</v>
      </c>
      <c r="N37" s="2428">
        <f t="shared" si="146"/>
        <v>9.1000000000000004E-3</v>
      </c>
      <c r="O37" s="2413">
        <f t="shared" si="146"/>
        <v>6.8000000000000005E-3</v>
      </c>
      <c r="P37" s="2413">
        <f t="shared" si="146"/>
        <v>9.7999999999999997E-3</v>
      </c>
      <c r="Q37" s="2413">
        <f t="shared" si="146"/>
        <v>9.0000000000000011E-3</v>
      </c>
      <c r="R37" s="2429"/>
      <c r="S37" s="2442"/>
      <c r="T37" s="2443"/>
      <c r="U37" s="2443"/>
      <c r="V37" s="2443"/>
      <c r="X37" s="2443"/>
      <c r="Y37" s="2443"/>
      <c r="Z37" s="2443"/>
    </row>
    <row r="38" spans="1:26" x14ac:dyDescent="0.2">
      <c r="A38" s="2425" t="s">
        <v>1135</v>
      </c>
      <c r="B38" s="2426">
        <f>B37/(1+N37)</f>
        <v>275.49301357645425</v>
      </c>
      <c r="C38" s="2426">
        <f>C37/(1+O37)</f>
        <v>232.41954707985698</v>
      </c>
      <c r="D38" s="2426">
        <f t="shared" si="144"/>
        <v>232.41954707985698</v>
      </c>
      <c r="E38" s="2426">
        <f t="shared" ref="E38:F40" si="155">E37/(1+P37)</f>
        <v>375.32184591008121</v>
      </c>
      <c r="F38" s="2426">
        <f t="shared" si="155"/>
        <v>218.03766105054513</v>
      </c>
      <c r="G38" s="3595"/>
      <c r="H38" s="2451">
        <v>3</v>
      </c>
      <c r="I38" s="2451">
        <v>0.09</v>
      </c>
      <c r="J38" s="2451">
        <v>0.28999999999999998</v>
      </c>
      <c r="K38" s="2451">
        <v>-0.01</v>
      </c>
      <c r="L38" s="2452">
        <v>0.57999999999999996</v>
      </c>
      <c r="N38" s="2428">
        <f t="shared" si="146"/>
        <v>8.9999999999999998E-4</v>
      </c>
      <c r="O38" s="2413">
        <f t="shared" si="146"/>
        <v>2.8999999999999998E-3</v>
      </c>
      <c r="P38" s="2413">
        <f t="shared" si="146"/>
        <v>-1E-4</v>
      </c>
      <c r="Q38" s="2413">
        <f t="shared" si="146"/>
        <v>5.7999999999999996E-3</v>
      </c>
      <c r="R38" s="2429"/>
      <c r="S38" s="2428"/>
      <c r="T38" s="2413"/>
      <c r="U38" s="2413"/>
      <c r="V38" s="2413"/>
    </row>
    <row r="39" spans="1:26" x14ac:dyDescent="0.2">
      <c r="A39" s="2425" t="s">
        <v>1136</v>
      </c>
      <c r="B39" s="2426">
        <f>B38/(1+N38)</f>
        <v>275.24529281292263</v>
      </c>
      <c r="C39" s="2426">
        <f>C38/(1+O38)</f>
        <v>231.74747938962707</v>
      </c>
      <c r="D39" s="2426">
        <f t="shared" si="144"/>
        <v>231.74747938962707</v>
      </c>
      <c r="E39" s="2426">
        <f t="shared" si="155"/>
        <v>375.35938184826603</v>
      </c>
      <c r="F39" s="2426">
        <f t="shared" si="155"/>
        <v>216.78033510692495</v>
      </c>
      <c r="G39" s="3595"/>
      <c r="H39" s="2438">
        <v>2</v>
      </c>
      <c r="I39" s="2438">
        <v>0.02</v>
      </c>
      <c r="J39" s="2438">
        <v>0.12</v>
      </c>
      <c r="K39" s="2438">
        <v>-0.08</v>
      </c>
      <c r="L39" s="2439">
        <v>1.24</v>
      </c>
      <c r="N39" s="2428">
        <f t="shared" si="146"/>
        <v>2.0000000000000001E-4</v>
      </c>
      <c r="O39" s="2413">
        <f t="shared" si="146"/>
        <v>1.1999999999999999E-3</v>
      </c>
      <c r="P39" s="2413">
        <f t="shared" si="146"/>
        <v>-8.0000000000000004E-4</v>
      </c>
      <c r="Q39" s="2413">
        <f t="shared" si="146"/>
        <v>1.24E-2</v>
      </c>
      <c r="R39" s="2429"/>
      <c r="S39" s="2428"/>
      <c r="T39" s="2413"/>
      <c r="U39" s="2413"/>
      <c r="V39" s="2413"/>
    </row>
    <row r="40" spans="1:26" ht="14" thickBot="1" x14ac:dyDescent="0.25">
      <c r="A40" s="2425" t="s">
        <v>1137</v>
      </c>
      <c r="B40" s="2426">
        <f>B39/(1+N39)</f>
        <v>275.19025476197027</v>
      </c>
      <c r="C40" s="2477">
        <v>232</v>
      </c>
      <c r="D40" s="2477">
        <f t="shared" si="144"/>
        <v>232</v>
      </c>
      <c r="E40" s="2426">
        <f t="shared" si="155"/>
        <v>375.65990977608692</v>
      </c>
      <c r="F40" s="2426">
        <f t="shared" si="155"/>
        <v>214.12518283971252</v>
      </c>
      <c r="G40" s="3596"/>
      <c r="H40" s="2427">
        <v>1</v>
      </c>
      <c r="I40" s="2427">
        <v>0.02</v>
      </c>
      <c r="J40" s="2427">
        <v>0.13</v>
      </c>
      <c r="K40" s="2427">
        <v>-0.04</v>
      </c>
      <c r="L40" s="2433">
        <v>0.46</v>
      </c>
      <c r="N40" s="2428">
        <f t="shared" si="146"/>
        <v>2.0000000000000001E-4</v>
      </c>
      <c r="O40" s="2413">
        <f t="shared" si="146"/>
        <v>1.2999999999999999E-3</v>
      </c>
      <c r="P40" s="2413">
        <f t="shared" si="146"/>
        <v>-4.0000000000000002E-4</v>
      </c>
      <c r="Q40" s="2413">
        <f t="shared" si="146"/>
        <v>4.5999999999999999E-3</v>
      </c>
      <c r="R40" s="2429"/>
      <c r="S40" s="2444">
        <f>B40/B41-1</f>
        <v>6.9183549807361189E-4</v>
      </c>
      <c r="T40" s="2445">
        <f>C40/C41-1</f>
        <v>0</v>
      </c>
      <c r="U40" s="2445">
        <f>E40/E41-1</f>
        <v>-9.0449527636460303E-4</v>
      </c>
      <c r="V40" s="2445">
        <f>F40/F41-1</f>
        <v>5.2825485432512753E-3</v>
      </c>
      <c r="X40" s="2413"/>
      <c r="Y40" s="2413"/>
      <c r="Z40" s="2413"/>
    </row>
    <row r="41" spans="1:26" ht="14" thickBot="1" x14ac:dyDescent="0.25">
      <c r="A41" s="2425" t="s">
        <v>1138</v>
      </c>
      <c r="B41" s="2440">
        <v>275</v>
      </c>
      <c r="C41" s="2440">
        <v>232</v>
      </c>
      <c r="D41" s="2440">
        <f t="shared" si="144"/>
        <v>232</v>
      </c>
      <c r="E41" s="2440">
        <v>376</v>
      </c>
      <c r="F41" s="2441">
        <v>213</v>
      </c>
      <c r="G41" s="3594">
        <v>2011</v>
      </c>
      <c r="H41" s="2446">
        <v>4</v>
      </c>
      <c r="I41" s="2446">
        <v>-0.2</v>
      </c>
      <c r="J41" s="2446">
        <v>0.04</v>
      </c>
      <c r="K41" s="2446">
        <v>-0.34</v>
      </c>
      <c r="L41" s="2447">
        <v>0.46</v>
      </c>
      <c r="N41" s="2448">
        <f t="shared" si="146"/>
        <v>-2E-3</v>
      </c>
      <c r="O41" s="2449">
        <f t="shared" si="146"/>
        <v>4.0000000000000002E-4</v>
      </c>
      <c r="P41" s="2449">
        <f t="shared" si="146"/>
        <v>-3.4000000000000002E-3</v>
      </c>
      <c r="Q41" s="2449">
        <f t="shared" si="146"/>
        <v>4.5999999999999999E-3</v>
      </c>
      <c r="R41" s="2429"/>
      <c r="S41" s="2442"/>
      <c r="T41" s="2443"/>
      <c r="U41" s="2443"/>
      <c r="V41" s="2443"/>
      <c r="X41" s="2443"/>
      <c r="Y41" s="2443"/>
      <c r="Z41" s="2443"/>
    </row>
    <row r="42" spans="1:26" x14ac:dyDescent="0.2">
      <c r="A42" s="2425" t="s">
        <v>1139</v>
      </c>
      <c r="B42" s="2426">
        <f t="shared" ref="B42:C44" si="156">B41/(1+N41)</f>
        <v>275.55110220440883</v>
      </c>
      <c r="C42" s="2426">
        <f t="shared" si="156"/>
        <v>231.90723710515795</v>
      </c>
      <c r="D42" s="2426">
        <f t="shared" si="144"/>
        <v>231.90723710515795</v>
      </c>
      <c r="E42" s="2426">
        <f t="shared" ref="E42:F44" si="157">E41/(1+P41)</f>
        <v>377.28276138872161</v>
      </c>
      <c r="F42" s="2426">
        <f t="shared" si="157"/>
        <v>212.02468644236512</v>
      </c>
      <c r="G42" s="3595">
        <v>2011</v>
      </c>
      <c r="H42" s="2451">
        <v>3</v>
      </c>
      <c r="I42" s="2451">
        <v>0.13</v>
      </c>
      <c r="J42" s="2451">
        <v>0.75</v>
      </c>
      <c r="K42" s="2451">
        <v>-0.08</v>
      </c>
      <c r="L42" s="2452">
        <v>0.53</v>
      </c>
      <c r="N42" s="2428">
        <f t="shared" si="146"/>
        <v>1.2999999999999999E-3</v>
      </c>
      <c r="O42" s="2453">
        <f t="shared" si="146"/>
        <v>7.4999999999999997E-3</v>
      </c>
      <c r="P42" s="2453">
        <f t="shared" si="146"/>
        <v>-8.0000000000000004E-4</v>
      </c>
      <c r="Q42" s="2453">
        <f t="shared" si="146"/>
        <v>5.3E-3</v>
      </c>
      <c r="R42" s="2429"/>
      <c r="S42" s="2428"/>
      <c r="T42" s="2413"/>
      <c r="U42" s="2413"/>
      <c r="V42" s="2413"/>
    </row>
    <row r="43" spans="1:26" x14ac:dyDescent="0.2">
      <c r="A43" s="2425" t="s">
        <v>1140</v>
      </c>
      <c r="B43" s="2426">
        <f t="shared" si="156"/>
        <v>275.19335084830601</v>
      </c>
      <c r="C43" s="2426">
        <f t="shared" si="156"/>
        <v>230.18088050139744</v>
      </c>
      <c r="D43" s="2426">
        <f t="shared" si="144"/>
        <v>230.18088050139744</v>
      </c>
      <c r="E43" s="2426">
        <f t="shared" si="157"/>
        <v>377.58482925212331</v>
      </c>
      <c r="F43" s="2426">
        <f t="shared" si="157"/>
        <v>210.90687997847917</v>
      </c>
      <c r="G43" s="3595">
        <v>2011</v>
      </c>
      <c r="H43" s="2438">
        <v>2</v>
      </c>
      <c r="I43" s="2438">
        <v>-0.4</v>
      </c>
      <c r="J43" s="2438">
        <v>0.17</v>
      </c>
      <c r="K43" s="2438">
        <v>-0.57999999999999996</v>
      </c>
      <c r="L43" s="2439">
        <v>-0.2</v>
      </c>
      <c r="N43" s="2428">
        <f t="shared" si="146"/>
        <v>-4.0000000000000001E-3</v>
      </c>
      <c r="O43" s="2453">
        <f t="shared" si="146"/>
        <v>1.7000000000000001E-3</v>
      </c>
      <c r="P43" s="2453">
        <f t="shared" si="146"/>
        <v>-5.7999999999999996E-3</v>
      </c>
      <c r="Q43" s="2453">
        <f t="shared" si="146"/>
        <v>-2E-3</v>
      </c>
      <c r="R43" s="2429"/>
      <c r="S43" s="2428"/>
      <c r="T43" s="2413"/>
      <c r="U43" s="2413"/>
      <c r="V43" s="2413"/>
    </row>
    <row r="44" spans="1:26" ht="14" thickBot="1" x14ac:dyDescent="0.25">
      <c r="A44" s="2425" t="s">
        <v>1141</v>
      </c>
      <c r="B44" s="2426">
        <f t="shared" si="156"/>
        <v>276.29854502841971</v>
      </c>
      <c r="C44" s="2426">
        <f t="shared" si="156"/>
        <v>229.79023709833027</v>
      </c>
      <c r="D44" s="2426">
        <f t="shared" si="144"/>
        <v>229.79023709833027</v>
      </c>
      <c r="E44" s="2426">
        <f t="shared" si="157"/>
        <v>379.78759731655936</v>
      </c>
      <c r="F44" s="2426">
        <f t="shared" si="157"/>
        <v>211.32953905659235</v>
      </c>
      <c r="G44" s="3596">
        <v>2011</v>
      </c>
      <c r="H44" s="2427">
        <v>1</v>
      </c>
      <c r="I44" s="2427">
        <v>2.65</v>
      </c>
      <c r="J44" s="2427">
        <v>3.76</v>
      </c>
      <c r="K44" s="2427">
        <v>1.89</v>
      </c>
      <c r="L44" s="2433">
        <v>7.95</v>
      </c>
      <c r="N44" s="2444">
        <f t="shared" si="146"/>
        <v>2.6499999999999999E-2</v>
      </c>
      <c r="O44" s="2445">
        <f t="shared" si="146"/>
        <v>3.7599999999999995E-2</v>
      </c>
      <c r="P44" s="2445">
        <f t="shared" si="146"/>
        <v>1.89E-2</v>
      </c>
      <c r="Q44" s="2445">
        <f t="shared" si="146"/>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4" thickBot="1" x14ac:dyDescent="0.25">
      <c r="A45" s="2425" t="s">
        <v>1142</v>
      </c>
      <c r="B45" s="2440">
        <v>269</v>
      </c>
      <c r="C45" s="2440">
        <v>221</v>
      </c>
      <c r="D45" s="2440">
        <f t="shared" si="144"/>
        <v>221</v>
      </c>
      <c r="E45" s="2440">
        <v>373</v>
      </c>
      <c r="F45" s="2441">
        <v>196</v>
      </c>
      <c r="G45" s="3594">
        <v>2010</v>
      </c>
      <c r="H45" s="2446">
        <v>4</v>
      </c>
      <c r="I45" s="2446">
        <v>5.72</v>
      </c>
      <c r="J45" s="2446">
        <v>6.57</v>
      </c>
      <c r="K45" s="2446">
        <v>5.72</v>
      </c>
      <c r="L45" s="2447">
        <v>2.72</v>
      </c>
      <c r="N45" s="2428">
        <f t="shared" si="146"/>
        <v>5.7200000000000001E-2</v>
      </c>
      <c r="O45" s="2413">
        <f t="shared" si="146"/>
        <v>6.5700000000000008E-2</v>
      </c>
      <c r="P45" s="2413">
        <f t="shared" si="146"/>
        <v>5.7200000000000001E-2</v>
      </c>
      <c r="Q45" s="2413">
        <f t="shared" si="146"/>
        <v>2.7200000000000002E-2</v>
      </c>
      <c r="R45" s="2429"/>
      <c r="S45" s="2442"/>
      <c r="T45" s="2443"/>
      <c r="U45" s="2443"/>
      <c r="V45" s="2443"/>
      <c r="X45" s="2443"/>
      <c r="Y45" s="2443"/>
      <c r="Z45" s="2443"/>
    </row>
    <row r="46" spans="1:26" x14ac:dyDescent="0.2">
      <c r="A46" s="2425" t="s">
        <v>1143</v>
      </c>
      <c r="B46" s="2426">
        <f t="shared" ref="B46:C48" si="158">B45/(1+N45)</f>
        <v>254.44570563753314</v>
      </c>
      <c r="C46" s="2426">
        <f t="shared" si="158"/>
        <v>207.37543398705074</v>
      </c>
      <c r="D46" s="2426">
        <f t="shared" si="144"/>
        <v>207.37543398705074</v>
      </c>
      <c r="E46" s="2426">
        <f t="shared" ref="E46:F48" si="159">E45/(1+P45)</f>
        <v>352.81876655315932</v>
      </c>
      <c r="F46" s="2426">
        <f t="shared" si="159"/>
        <v>190.809968847352</v>
      </c>
      <c r="G46" s="3595">
        <v>2010</v>
      </c>
      <c r="H46" s="2451">
        <v>3</v>
      </c>
      <c r="I46" s="2451">
        <v>4.7300000000000004</v>
      </c>
      <c r="J46" s="2451">
        <v>3.9</v>
      </c>
      <c r="K46" s="2451">
        <v>5.03</v>
      </c>
      <c r="L46" s="2452">
        <v>4.21</v>
      </c>
      <c r="N46" s="2428">
        <f t="shared" si="146"/>
        <v>4.7300000000000002E-2</v>
      </c>
      <c r="O46" s="2413">
        <f t="shared" si="146"/>
        <v>3.9E-2</v>
      </c>
      <c r="P46" s="2413">
        <f t="shared" si="146"/>
        <v>5.0300000000000004E-2</v>
      </c>
      <c r="Q46" s="2413">
        <f t="shared" si="146"/>
        <v>4.2099999999999999E-2</v>
      </c>
      <c r="R46" s="2429"/>
      <c r="S46" s="2428"/>
      <c r="T46" s="2413"/>
      <c r="U46" s="2413"/>
      <c r="V46" s="2413"/>
    </row>
    <row r="47" spans="1:26" x14ac:dyDescent="0.2">
      <c r="A47" s="2425" t="s">
        <v>1144</v>
      </c>
      <c r="B47" s="2426">
        <f t="shared" si="158"/>
        <v>242.95398227588385</v>
      </c>
      <c r="C47" s="2426">
        <f t="shared" si="158"/>
        <v>199.59137053614126</v>
      </c>
      <c r="D47" s="2426">
        <f t="shared" si="144"/>
        <v>199.59137053614126</v>
      </c>
      <c r="E47" s="2426">
        <f t="shared" si="159"/>
        <v>335.92189522342125</v>
      </c>
      <c r="F47" s="2426">
        <f t="shared" si="159"/>
        <v>183.10139991109489</v>
      </c>
      <c r="G47" s="3595">
        <v>2010</v>
      </c>
      <c r="H47" s="2438">
        <v>2</v>
      </c>
      <c r="I47" s="2438">
        <v>4.6900000000000004</v>
      </c>
      <c r="J47" s="2438">
        <v>3.55</v>
      </c>
      <c r="K47" s="2438">
        <v>5.07</v>
      </c>
      <c r="L47" s="2439">
        <v>4.2300000000000004</v>
      </c>
      <c r="N47" s="2428">
        <f t="shared" si="146"/>
        <v>4.6900000000000004E-2</v>
      </c>
      <c r="O47" s="2413">
        <f t="shared" si="146"/>
        <v>3.5499999999999997E-2</v>
      </c>
      <c r="P47" s="2413">
        <f t="shared" si="146"/>
        <v>5.0700000000000002E-2</v>
      </c>
      <c r="Q47" s="2413">
        <f t="shared" si="146"/>
        <v>4.2300000000000004E-2</v>
      </c>
      <c r="R47" s="2429"/>
      <c r="S47" s="2428"/>
      <c r="T47" s="2413"/>
      <c r="U47" s="2413"/>
      <c r="V47" s="2413"/>
    </row>
    <row r="48" spans="1:26" ht="14" thickBot="1" x14ac:dyDescent="0.25">
      <c r="A48" s="2425" t="s">
        <v>1145</v>
      </c>
      <c r="B48" s="2426">
        <f t="shared" si="158"/>
        <v>232.06990378821649</v>
      </c>
      <c r="C48" s="2426">
        <f t="shared" si="158"/>
        <v>192.74878854286936</v>
      </c>
      <c r="D48" s="2426">
        <f t="shared" si="144"/>
        <v>192.74878854286936</v>
      </c>
      <c r="E48" s="2426">
        <f t="shared" si="159"/>
        <v>319.71247284992984</v>
      </c>
      <c r="F48" s="2426">
        <f t="shared" si="159"/>
        <v>175.67053622862409</v>
      </c>
      <c r="G48" s="3596">
        <v>2010</v>
      </c>
      <c r="H48" s="2427">
        <v>1</v>
      </c>
      <c r="I48" s="2427">
        <v>5.4</v>
      </c>
      <c r="J48" s="2427">
        <v>3.2</v>
      </c>
      <c r="K48" s="2427">
        <v>6.16</v>
      </c>
      <c r="L48" s="2433">
        <v>4.51</v>
      </c>
      <c r="N48" s="2428">
        <f t="shared" si="146"/>
        <v>5.4000000000000006E-2</v>
      </c>
      <c r="O48" s="2413">
        <f t="shared" si="146"/>
        <v>3.2000000000000001E-2</v>
      </c>
      <c r="P48" s="2413">
        <f t="shared" si="146"/>
        <v>6.1600000000000002E-2</v>
      </c>
      <c r="Q48" s="2413">
        <f t="shared" si="146"/>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4" thickBot="1" x14ac:dyDescent="0.25">
      <c r="A49" s="2425" t="s">
        <v>1146</v>
      </c>
      <c r="B49" s="2440">
        <v>220</v>
      </c>
      <c r="C49" s="2440">
        <v>187</v>
      </c>
      <c r="D49" s="2440">
        <f t="shared" si="144"/>
        <v>187</v>
      </c>
      <c r="E49" s="2440">
        <v>301</v>
      </c>
      <c r="F49" s="2441">
        <v>168</v>
      </c>
      <c r="G49" s="3594">
        <v>2009</v>
      </c>
      <c r="H49" s="2446">
        <v>4</v>
      </c>
      <c r="I49" s="2446">
        <v>2.2999999999999998</v>
      </c>
      <c r="J49" s="2446">
        <v>1.04</v>
      </c>
      <c r="K49" s="2446">
        <v>2.84</v>
      </c>
      <c r="L49" s="2447">
        <v>0.67</v>
      </c>
      <c r="N49" s="2448">
        <f t="shared" si="146"/>
        <v>2.3E-2</v>
      </c>
      <c r="O49" s="2449">
        <f t="shared" si="146"/>
        <v>1.04E-2</v>
      </c>
      <c r="P49" s="2449">
        <f t="shared" si="146"/>
        <v>2.8399999999999998E-2</v>
      </c>
      <c r="Q49" s="2449">
        <f t="shared" si="146"/>
        <v>6.7000000000000002E-3</v>
      </c>
      <c r="R49" s="2429"/>
      <c r="S49" s="2442"/>
      <c r="T49" s="2443"/>
      <c r="U49" s="2443"/>
      <c r="V49" s="2443"/>
      <c r="X49" s="2443"/>
      <c r="Y49" s="2443"/>
      <c r="Z49" s="2443"/>
    </row>
    <row r="50" spans="1:26" x14ac:dyDescent="0.2">
      <c r="A50" s="2425" t="s">
        <v>1147</v>
      </c>
      <c r="B50" s="2426">
        <f t="shared" ref="B50:C52" si="160">B49/(1+N49)</f>
        <v>215.05376344086022</v>
      </c>
      <c r="C50" s="2426">
        <f t="shared" si="160"/>
        <v>185.0752177355503</v>
      </c>
      <c r="D50" s="2426">
        <f t="shared" si="144"/>
        <v>185.0752177355503</v>
      </c>
      <c r="E50" s="2426">
        <f t="shared" ref="E50:F52" si="161">E49/(1+P49)</f>
        <v>292.68767016725008</v>
      </c>
      <c r="F50" s="2426">
        <f t="shared" si="161"/>
        <v>166.88189132810174</v>
      </c>
      <c r="G50" s="3595">
        <v>2009</v>
      </c>
      <c r="H50" s="2451">
        <v>3</v>
      </c>
      <c r="I50" s="2451">
        <v>2.1</v>
      </c>
      <c r="J50" s="2451">
        <v>1.86</v>
      </c>
      <c r="K50" s="2451">
        <v>2.29</v>
      </c>
      <c r="L50" s="2452">
        <v>0.85</v>
      </c>
      <c r="N50" s="2428">
        <f t="shared" si="146"/>
        <v>2.1000000000000001E-2</v>
      </c>
      <c r="O50" s="2453">
        <f t="shared" si="146"/>
        <v>1.8600000000000002E-2</v>
      </c>
      <c r="P50" s="2453">
        <f t="shared" si="146"/>
        <v>2.29E-2</v>
      </c>
      <c r="Q50" s="2453">
        <f t="shared" si="146"/>
        <v>8.5000000000000006E-3</v>
      </c>
      <c r="R50" s="2429"/>
      <c r="S50" s="2428"/>
      <c r="T50" s="2413"/>
      <c r="U50" s="2413"/>
      <c r="V50" s="2413"/>
    </row>
    <row r="51" spans="1:26" x14ac:dyDescent="0.2">
      <c r="A51" s="2425" t="s">
        <v>1148</v>
      </c>
      <c r="B51" s="2426">
        <f t="shared" si="160"/>
        <v>210.630522469011</v>
      </c>
      <c r="C51" s="2426">
        <f t="shared" si="160"/>
        <v>181.69567812247232</v>
      </c>
      <c r="D51" s="2426">
        <f t="shared" si="144"/>
        <v>181.69567812247232</v>
      </c>
      <c r="E51" s="2426">
        <f t="shared" si="161"/>
        <v>286.13517466736738</v>
      </c>
      <c r="F51" s="2426">
        <f t="shared" si="161"/>
        <v>165.47535084591149</v>
      </c>
      <c r="G51" s="3595">
        <v>2009</v>
      </c>
      <c r="H51" s="2438">
        <v>2</v>
      </c>
      <c r="I51" s="2438">
        <v>0.86</v>
      </c>
      <c r="J51" s="2438">
        <v>-1.1299999999999999</v>
      </c>
      <c r="K51" s="2438">
        <v>1.79</v>
      </c>
      <c r="L51" s="2439">
        <v>-2.0699999999999998</v>
      </c>
      <c r="N51" s="2428">
        <f t="shared" si="146"/>
        <v>8.6E-3</v>
      </c>
      <c r="O51" s="2453">
        <f t="shared" si="146"/>
        <v>-1.1299999999999999E-2</v>
      </c>
      <c r="P51" s="2453">
        <f t="shared" si="146"/>
        <v>1.7899999999999999E-2</v>
      </c>
      <c r="Q51" s="2453">
        <f t="shared" si="146"/>
        <v>-2.07E-2</v>
      </c>
      <c r="R51" s="2429"/>
      <c r="S51" s="2428"/>
      <c r="T51" s="2413"/>
      <c r="U51" s="2413"/>
      <c r="V51" s="2413"/>
    </row>
    <row r="52" spans="1:26" x14ac:dyDescent="0.2">
      <c r="A52" s="2425" t="s">
        <v>1149</v>
      </c>
      <c r="B52" s="2426">
        <f t="shared" si="160"/>
        <v>208.83454537875372</v>
      </c>
      <c r="C52" s="2426">
        <f t="shared" si="160"/>
        <v>183.77230517090351</v>
      </c>
      <c r="D52" s="2426">
        <f t="shared" si="144"/>
        <v>183.77230517090351</v>
      </c>
      <c r="E52" s="2426">
        <f t="shared" si="161"/>
        <v>281.10342338870947</v>
      </c>
      <c r="F52" s="2426">
        <f t="shared" si="161"/>
        <v>168.97309388942256</v>
      </c>
      <c r="G52" s="3596">
        <v>2009</v>
      </c>
      <c r="H52" s="2427">
        <v>1</v>
      </c>
      <c r="I52" s="2427">
        <v>-2.64</v>
      </c>
      <c r="J52" s="2427">
        <v>-2.5299999999999998</v>
      </c>
      <c r="K52" s="2427">
        <v>-3.02</v>
      </c>
      <c r="L52" s="2433">
        <v>1.52</v>
      </c>
      <c r="N52" s="2444">
        <f t="shared" si="146"/>
        <v>-2.64E-2</v>
      </c>
      <c r="O52" s="2445">
        <f t="shared" si="146"/>
        <v>-2.53E-2</v>
      </c>
      <c r="P52" s="2445">
        <f t="shared" si="146"/>
        <v>-3.0200000000000001E-2</v>
      </c>
      <c r="Q52" s="2445">
        <f t="shared" si="146"/>
        <v>1.52E-2</v>
      </c>
      <c r="R52" s="2429"/>
      <c r="S52" s="2444">
        <f>B52/B53-1</f>
        <v>-2.4137638417038754E-2</v>
      </c>
      <c r="T52" s="2445">
        <f>C52/C53-1</f>
        <v>-2.248773845264096E-2</v>
      </c>
      <c r="U52" s="2445">
        <f>E52/E53-1</f>
        <v>-2.7323794502735366E-2</v>
      </c>
      <c r="V52" s="2445">
        <f>F52/F53-1</f>
        <v>1.7910204153148035E-2</v>
      </c>
      <c r="X52" s="2413"/>
      <c r="Y52" s="2413"/>
      <c r="Z52" s="2413"/>
    </row>
    <row r="53" spans="1:26" ht="14" thickBot="1" x14ac:dyDescent="0.25">
      <c r="A53" s="2425" t="s">
        <v>1150</v>
      </c>
      <c r="B53" s="2475">
        <v>214</v>
      </c>
      <c r="C53" s="2475">
        <v>188</v>
      </c>
      <c r="D53" s="2475">
        <f t="shared" si="144"/>
        <v>188</v>
      </c>
      <c r="E53" s="2475">
        <v>289</v>
      </c>
      <c r="F53" s="2476">
        <v>166</v>
      </c>
      <c r="G53" s="3594">
        <v>2008</v>
      </c>
      <c r="H53" s="2446">
        <v>4</v>
      </c>
      <c r="I53" s="2446">
        <v>1.73</v>
      </c>
      <c r="J53" s="2446">
        <v>0.03</v>
      </c>
      <c r="K53" s="2446">
        <v>2.59</v>
      </c>
      <c r="L53" s="2447">
        <v>-1.66</v>
      </c>
      <c r="N53" s="2428">
        <f t="shared" si="146"/>
        <v>1.7299999999999999E-2</v>
      </c>
      <c r="O53" s="2413">
        <f t="shared" si="146"/>
        <v>2.9999999999999997E-4</v>
      </c>
      <c r="P53" s="2413">
        <f t="shared" si="146"/>
        <v>2.5899999999999999E-2</v>
      </c>
      <c r="Q53" s="2413">
        <f t="shared" si="146"/>
        <v>-1.66E-2</v>
      </c>
      <c r="R53" s="2429"/>
      <c r="S53" s="2442"/>
      <c r="T53" s="2443"/>
      <c r="U53" s="2443"/>
      <c r="V53" s="2443"/>
      <c r="X53" s="2443"/>
      <c r="Y53" s="2443"/>
      <c r="Z53" s="2443"/>
    </row>
    <row r="54" spans="1:26" x14ac:dyDescent="0.2">
      <c r="A54" s="2425" t="s">
        <v>1151</v>
      </c>
      <c r="B54" s="2426">
        <f t="shared" ref="B54:C56" si="162">B53/(1+N53)</f>
        <v>210.36075887152265</v>
      </c>
      <c r="C54" s="2426">
        <f t="shared" si="162"/>
        <v>187.94361691492554</v>
      </c>
      <c r="D54" s="2426">
        <f t="shared" si="144"/>
        <v>187.94361691492554</v>
      </c>
      <c r="E54" s="2426">
        <f t="shared" ref="E54:F56" si="163">E53/(1+P53)</f>
        <v>281.70386977288234</v>
      </c>
      <c r="F54" s="2426">
        <f t="shared" si="163"/>
        <v>168.80211511083994</v>
      </c>
      <c r="G54" s="3595">
        <v>2008</v>
      </c>
      <c r="H54" s="2451">
        <v>3</v>
      </c>
      <c r="I54" s="2451">
        <v>1.96</v>
      </c>
      <c r="J54" s="2451">
        <v>2.36</v>
      </c>
      <c r="K54" s="2451">
        <v>1.82</v>
      </c>
      <c r="L54" s="2452">
        <v>2.2200000000000002</v>
      </c>
      <c r="N54" s="2428">
        <f t="shared" si="146"/>
        <v>1.9599999999999999E-2</v>
      </c>
      <c r="O54" s="2413">
        <f t="shared" si="146"/>
        <v>2.3599999999999999E-2</v>
      </c>
      <c r="P54" s="2413">
        <f t="shared" si="146"/>
        <v>1.8200000000000001E-2</v>
      </c>
      <c r="Q54" s="2413">
        <f t="shared" si="146"/>
        <v>2.2200000000000001E-2</v>
      </c>
      <c r="R54" s="2429"/>
      <c r="S54" s="2428"/>
      <c r="T54" s="2413"/>
      <c r="U54" s="2413"/>
      <c r="V54" s="2413"/>
    </row>
    <row r="55" spans="1:26" x14ac:dyDescent="0.2">
      <c r="A55" s="2425" t="s">
        <v>1152</v>
      </c>
      <c r="B55" s="2426">
        <f t="shared" si="162"/>
        <v>206.31694671589116</v>
      </c>
      <c r="C55" s="2426">
        <f t="shared" si="162"/>
        <v>183.61041121036101</v>
      </c>
      <c r="D55" s="2426">
        <f t="shared" si="144"/>
        <v>183.61041121036101</v>
      </c>
      <c r="E55" s="2426">
        <f t="shared" si="163"/>
        <v>276.66850301795557</v>
      </c>
      <c r="F55" s="2426">
        <f t="shared" si="163"/>
        <v>165.1360938278614</v>
      </c>
      <c r="G55" s="3595">
        <v>2008</v>
      </c>
      <c r="H55" s="2438">
        <v>2</v>
      </c>
      <c r="I55" s="2438">
        <v>4.93</v>
      </c>
      <c r="J55" s="2438">
        <v>7.38</v>
      </c>
      <c r="K55" s="2438">
        <v>3.98</v>
      </c>
      <c r="L55" s="2439">
        <v>6.86</v>
      </c>
      <c r="N55" s="2428">
        <f t="shared" si="146"/>
        <v>4.9299999999999997E-2</v>
      </c>
      <c r="O55" s="2413">
        <f t="shared" si="146"/>
        <v>7.3800000000000004E-2</v>
      </c>
      <c r="P55" s="2413">
        <f t="shared" si="146"/>
        <v>3.9800000000000002E-2</v>
      </c>
      <c r="Q55" s="2413">
        <f t="shared" si="146"/>
        <v>6.8600000000000008E-2</v>
      </c>
      <c r="R55" s="2429"/>
      <c r="S55" s="2428"/>
      <c r="T55" s="2413"/>
      <c r="U55" s="2413"/>
      <c r="V55" s="2413"/>
    </row>
    <row r="56" spans="1:26" s="2481" customFormat="1" ht="14" thickBot="1" x14ac:dyDescent="0.25">
      <c r="A56" s="2425" t="s">
        <v>1153</v>
      </c>
      <c r="B56" s="2478">
        <f t="shared" si="162"/>
        <v>196.62341248059772</v>
      </c>
      <c r="C56" s="2478">
        <f t="shared" si="162"/>
        <v>170.99125648199012</v>
      </c>
      <c r="D56" s="2478">
        <f t="shared" si="144"/>
        <v>170.99125648199012</v>
      </c>
      <c r="E56" s="2478">
        <f t="shared" si="163"/>
        <v>266.07857570490052</v>
      </c>
      <c r="F56" s="2478">
        <f t="shared" si="163"/>
        <v>154.53499328828505</v>
      </c>
      <c r="G56" s="3596">
        <v>2008</v>
      </c>
      <c r="H56" s="2479">
        <v>1</v>
      </c>
      <c r="I56" s="2479">
        <v>4.1399999999999997</v>
      </c>
      <c r="J56" s="2479">
        <v>3.45</v>
      </c>
      <c r="K56" s="2479">
        <v>4.95</v>
      </c>
      <c r="L56" s="2480">
        <v>4.82</v>
      </c>
      <c r="N56" s="2482">
        <f t="shared" si="146"/>
        <v>4.1399999999999999E-2</v>
      </c>
      <c r="O56" s="2483">
        <f t="shared" si="146"/>
        <v>3.4500000000000003E-2</v>
      </c>
      <c r="P56" s="2483">
        <f t="shared" si="146"/>
        <v>4.9500000000000002E-2</v>
      </c>
      <c r="Q56" s="2483">
        <f t="shared" si="146"/>
        <v>4.82E-2</v>
      </c>
      <c r="R56" s="2484"/>
      <c r="S56" s="2482">
        <f>B56/B57-1</f>
        <v>4.5869215322328349E-2</v>
      </c>
      <c r="T56" s="2483">
        <f>C56/C57-1</f>
        <v>3.6310645345394743E-2</v>
      </c>
      <c r="U56" s="2483">
        <f>E56/E57-1</f>
        <v>4.7553447657088688E-2</v>
      </c>
      <c r="V56" s="2483">
        <f>F56/F57-1</f>
        <v>4.4155360055980086E-2</v>
      </c>
      <c r="X56" s="2483"/>
      <c r="Y56" s="2483"/>
      <c r="Z56" s="2483"/>
    </row>
    <row r="57" spans="1:26" ht="14" thickBot="1" x14ac:dyDescent="0.25">
      <c r="A57" s="2425" t="s">
        <v>1154</v>
      </c>
      <c r="B57" s="2440">
        <v>188</v>
      </c>
      <c r="C57" s="2440">
        <v>165</v>
      </c>
      <c r="D57" s="2440">
        <f t="shared" si="144"/>
        <v>165</v>
      </c>
      <c r="E57" s="2440">
        <v>254</v>
      </c>
      <c r="F57" s="2441">
        <v>148</v>
      </c>
      <c r="G57" s="3594">
        <v>2007</v>
      </c>
      <c r="H57" s="2485">
        <v>4</v>
      </c>
      <c r="I57" s="2485">
        <v>5.51</v>
      </c>
      <c r="J57" s="2485">
        <v>4.8899999999999997</v>
      </c>
      <c r="K57" s="2485">
        <v>6.43</v>
      </c>
      <c r="L57" s="2486">
        <v>5.36</v>
      </c>
      <c r="N57" s="2487">
        <f t="shared" ref="N57:O60" si="164">B57/B58-1</f>
        <v>4.1339718365245526E-2</v>
      </c>
      <c r="O57" s="2488">
        <f t="shared" si="164"/>
        <v>4.0324492593776018E-2</v>
      </c>
      <c r="P57" s="2488">
        <f t="shared" ref="P57:Q60" si="165">E57/E58-1</f>
        <v>6.1625555347990968E-2</v>
      </c>
      <c r="Q57" s="2488">
        <f t="shared" si="165"/>
        <v>4.6757569250590603E-2</v>
      </c>
      <c r="R57" s="2429"/>
      <c r="S57" s="2442"/>
      <c r="T57" s="2443"/>
      <c r="U57" s="2443"/>
      <c r="V57" s="2443"/>
      <c r="X57" s="2443"/>
      <c r="Y57" s="2443"/>
      <c r="Z57" s="2443"/>
    </row>
    <row r="58" spans="1:26" x14ac:dyDescent="0.2">
      <c r="A58" s="2425" t="s">
        <v>1155</v>
      </c>
      <c r="B58" s="2426">
        <f t="shared" ref="B58:C60" si="166">B59+(B$57-B$61)*I58/SUM(I$57:I$60)</f>
        <v>180.5366651097618</v>
      </c>
      <c r="C58" s="2426">
        <f t="shared" si="166"/>
        <v>158.60435967302453</v>
      </c>
      <c r="D58" s="2426">
        <f t="shared" si="144"/>
        <v>158.60435967302453</v>
      </c>
      <c r="E58" s="2426">
        <f t="shared" ref="E58:F60" si="167">E59+(E$57-E$61)*K58/SUM(K$57:K$60)</f>
        <v>239.25573260785075</v>
      </c>
      <c r="F58" s="2426">
        <f t="shared" si="167"/>
        <v>141.38899430740037</v>
      </c>
      <c r="G58" s="3595">
        <v>2007</v>
      </c>
      <c r="H58" s="2451">
        <v>3</v>
      </c>
      <c r="I58" s="2451">
        <v>8.65</v>
      </c>
      <c r="J58" s="2451">
        <v>8.06</v>
      </c>
      <c r="K58" s="2451">
        <v>9.94</v>
      </c>
      <c r="L58" s="2452">
        <v>5.8</v>
      </c>
      <c r="N58" s="2487">
        <f t="shared" si="164"/>
        <v>6.940217571740015E-2</v>
      </c>
      <c r="O58" s="2488">
        <f t="shared" si="164"/>
        <v>7.1197482471153428E-2</v>
      </c>
      <c r="P58" s="2488">
        <f t="shared" si="165"/>
        <v>0.10529679922579582</v>
      </c>
      <c r="Q58" s="2488">
        <f t="shared" si="165"/>
        <v>5.3292245059512133E-2</v>
      </c>
      <c r="R58" s="2429"/>
      <c r="S58" s="2428"/>
      <c r="T58" s="2413"/>
      <c r="U58" s="2413"/>
      <c r="V58" s="2413"/>
      <c r="X58" s="2489"/>
      <c r="Y58" s="2489"/>
      <c r="Z58" s="2489"/>
    </row>
    <row r="59" spans="1:26" x14ac:dyDescent="0.2">
      <c r="A59" s="2425" t="s">
        <v>1156</v>
      </c>
      <c r="B59" s="2426">
        <f t="shared" si="166"/>
        <v>168.82017748715555</v>
      </c>
      <c r="C59" s="2426">
        <f t="shared" si="166"/>
        <v>148.06267029972753</v>
      </c>
      <c r="D59" s="2426">
        <f t="shared" si="144"/>
        <v>148.06267029972753</v>
      </c>
      <c r="E59" s="2426">
        <f t="shared" si="167"/>
        <v>216.46288379323747</v>
      </c>
      <c r="F59" s="2426">
        <f t="shared" si="167"/>
        <v>134.23529411764704</v>
      </c>
      <c r="G59" s="3595">
        <v>2007</v>
      </c>
      <c r="H59" s="2438">
        <v>2</v>
      </c>
      <c r="I59" s="2438">
        <v>3.67</v>
      </c>
      <c r="J59" s="2438">
        <v>2.3199999999999998</v>
      </c>
      <c r="K59" s="2438">
        <v>5.0199999999999996</v>
      </c>
      <c r="L59" s="2439">
        <v>6.71</v>
      </c>
      <c r="N59" s="2487">
        <f t="shared" si="164"/>
        <v>3.0339138143848032E-2</v>
      </c>
      <c r="O59" s="2488">
        <f t="shared" si="164"/>
        <v>2.0922341588790472E-2</v>
      </c>
      <c r="P59" s="2488">
        <f t="shared" si="165"/>
        <v>5.6164796592717003E-2</v>
      </c>
      <c r="Q59" s="2488">
        <f t="shared" si="165"/>
        <v>6.5704536723887319E-2</v>
      </c>
      <c r="R59" s="2429"/>
      <c r="S59" s="2428"/>
      <c r="T59" s="2413"/>
      <c r="U59" s="2413"/>
      <c r="V59" s="2413"/>
      <c r="X59" s="2489"/>
      <c r="Y59" s="2489"/>
      <c r="Z59" s="2489"/>
    </row>
    <row r="60" spans="1:26" x14ac:dyDescent="0.2">
      <c r="A60" s="2425" t="s">
        <v>1157</v>
      </c>
      <c r="B60" s="2426">
        <f t="shared" si="166"/>
        <v>163.84913591779542</v>
      </c>
      <c r="C60" s="2426">
        <f t="shared" si="166"/>
        <v>145.0283378746594</v>
      </c>
      <c r="D60" s="2426">
        <f t="shared" si="144"/>
        <v>145.0283378746594</v>
      </c>
      <c r="E60" s="2426">
        <f t="shared" si="167"/>
        <v>204.95180722891567</v>
      </c>
      <c r="F60" s="2426">
        <f t="shared" si="167"/>
        <v>125.95920303605313</v>
      </c>
      <c r="G60" s="3596">
        <v>2007</v>
      </c>
      <c r="H60" s="2427">
        <v>1</v>
      </c>
      <c r="I60" s="2427">
        <v>3.58</v>
      </c>
      <c r="J60" s="2427">
        <v>3.08</v>
      </c>
      <c r="K60" s="2427">
        <v>4.34</v>
      </c>
      <c r="L60" s="2433">
        <v>3.21</v>
      </c>
      <c r="N60" s="2490">
        <f t="shared" si="164"/>
        <v>3.0497710174814063E-2</v>
      </c>
      <c r="O60" s="2491">
        <f t="shared" si="164"/>
        <v>2.8569772160704998E-2</v>
      </c>
      <c r="P60" s="2491">
        <f t="shared" si="165"/>
        <v>5.1034908866234296E-2</v>
      </c>
      <c r="Q60" s="2491">
        <f t="shared" si="165"/>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4" thickBot="1" x14ac:dyDescent="0.25">
      <c r="A61" s="2425" t="s">
        <v>1158</v>
      </c>
      <c r="B61" s="2454">
        <v>159</v>
      </c>
      <c r="C61" s="2454">
        <v>141</v>
      </c>
      <c r="D61" s="2454">
        <f t="shared" si="144"/>
        <v>141</v>
      </c>
      <c r="E61" s="2454">
        <v>195</v>
      </c>
      <c r="F61" s="2455">
        <v>122</v>
      </c>
      <c r="G61" s="3594">
        <v>2006</v>
      </c>
      <c r="H61" s="2446">
        <v>4</v>
      </c>
      <c r="I61" s="2446">
        <v>3.79</v>
      </c>
      <c r="J61" s="2446">
        <v>2.21</v>
      </c>
      <c r="K61" s="2446">
        <v>5.65</v>
      </c>
      <c r="L61" s="2447">
        <v>5.41</v>
      </c>
      <c r="N61" s="2487">
        <f t="shared" ref="N61:O64" si="168">I61/SUM(I$61:I$64)*(B$61/B$65-1)</f>
        <v>7.245466462748526E-2</v>
      </c>
      <c r="O61" s="2488">
        <f t="shared" si="168"/>
        <v>2.3237230038062766E-2</v>
      </c>
      <c r="P61" s="2488">
        <f t="shared" ref="P61:Q64" si="169">K61/SUM(K$61:K$64)*(E$61/E$65-1)</f>
        <v>0.16146893866323722</v>
      </c>
      <c r="Q61" s="2488">
        <f t="shared" si="169"/>
        <v>5.0755230321793784E-2</v>
      </c>
      <c r="R61" s="2429"/>
      <c r="S61" s="2442"/>
      <c r="T61" s="2443"/>
      <c r="U61" s="2443"/>
      <c r="V61" s="2443"/>
      <c r="X61" s="2489"/>
      <c r="Y61" s="2489"/>
      <c r="Z61" s="2489"/>
    </row>
    <row r="62" spans="1:26" x14ac:dyDescent="0.2">
      <c r="A62" s="2425" t="s">
        <v>1159</v>
      </c>
      <c r="B62" s="2426">
        <f t="shared" ref="B62:C64" si="170">B63+(B$61-B$65)*I62/SUM(I$61:I$64)</f>
        <v>149.00125628140702</v>
      </c>
      <c r="C62" s="2426">
        <f t="shared" si="170"/>
        <v>137.95592286501378</v>
      </c>
      <c r="D62" s="2426">
        <f t="shared" si="144"/>
        <v>137.95592286501378</v>
      </c>
      <c r="E62" s="2426">
        <f t="shared" ref="E62:F64" si="171">E63+(E$61-E$65)*K62/SUM(K$61:K$64)</f>
        <v>169.97231450719823</v>
      </c>
      <c r="F62" s="2426">
        <f t="shared" si="171"/>
        <v>116.21390374331551</v>
      </c>
      <c r="G62" s="3595">
        <v>2006</v>
      </c>
      <c r="H62" s="2451">
        <v>3</v>
      </c>
      <c r="I62" s="2451">
        <v>0.92</v>
      </c>
      <c r="J62" s="2451">
        <v>1.08</v>
      </c>
      <c r="K62" s="2451">
        <v>0.73</v>
      </c>
      <c r="L62" s="2452">
        <v>1.08</v>
      </c>
      <c r="N62" s="2487">
        <f t="shared" si="168"/>
        <v>1.7587939698492462E-2</v>
      </c>
      <c r="O62" s="2488">
        <f t="shared" si="168"/>
        <v>1.1355750425840628E-2</v>
      </c>
      <c r="P62" s="2488">
        <f t="shared" si="169"/>
        <v>2.0862358446754544E-2</v>
      </c>
      <c r="Q62" s="2488">
        <f t="shared" si="169"/>
        <v>1.0132282578103011E-2</v>
      </c>
      <c r="R62" s="2429"/>
      <c r="S62" s="2428"/>
      <c r="T62" s="2413"/>
      <c r="U62" s="2413"/>
      <c r="V62" s="2413"/>
      <c r="X62" s="2489"/>
      <c r="Y62" s="2489"/>
      <c r="Z62" s="2489"/>
    </row>
    <row r="63" spans="1:26" x14ac:dyDescent="0.2">
      <c r="A63" s="2425" t="s">
        <v>1160</v>
      </c>
      <c r="B63" s="2426">
        <f t="shared" si="170"/>
        <v>146.57412060301507</v>
      </c>
      <c r="C63" s="2426">
        <f t="shared" si="170"/>
        <v>136.46831955922866</v>
      </c>
      <c r="D63" s="2426">
        <f t="shared" si="144"/>
        <v>136.46831955922866</v>
      </c>
      <c r="E63" s="2426">
        <f t="shared" si="171"/>
        <v>166.73864894795128</v>
      </c>
      <c r="F63" s="2426">
        <f t="shared" si="171"/>
        <v>115.05882352941177</v>
      </c>
      <c r="G63" s="3595">
        <v>2006</v>
      </c>
      <c r="H63" s="2438">
        <v>2</v>
      </c>
      <c r="I63" s="2438">
        <v>0.96</v>
      </c>
      <c r="J63" s="2438">
        <v>0.25</v>
      </c>
      <c r="K63" s="2438">
        <v>1.9</v>
      </c>
      <c r="L63" s="2439">
        <v>0.95</v>
      </c>
      <c r="N63" s="2487">
        <f t="shared" si="168"/>
        <v>1.8352632728861701E-2</v>
      </c>
      <c r="O63" s="2488">
        <f t="shared" si="168"/>
        <v>2.6286459319075526E-3</v>
      </c>
      <c r="P63" s="2488">
        <f t="shared" si="169"/>
        <v>5.4299289107991269E-2</v>
      </c>
      <c r="Q63" s="2488">
        <f t="shared" si="169"/>
        <v>8.9126559714794995E-3</v>
      </c>
      <c r="R63" s="2429"/>
      <c r="S63" s="2428"/>
      <c r="T63" s="2413"/>
      <c r="U63" s="2413"/>
      <c r="V63" s="2413"/>
      <c r="X63" s="2489"/>
      <c r="Y63" s="2489"/>
      <c r="Z63" s="2489"/>
    </row>
    <row r="64" spans="1:26" x14ac:dyDescent="0.2">
      <c r="A64" s="2425" t="s">
        <v>1161</v>
      </c>
      <c r="B64" s="2426">
        <f t="shared" si="170"/>
        <v>144.04145728643215</v>
      </c>
      <c r="C64" s="2426">
        <f t="shared" si="170"/>
        <v>136.12396694214877</v>
      </c>
      <c r="D64" s="2426">
        <f t="shared" si="144"/>
        <v>136.12396694214877</v>
      </c>
      <c r="E64" s="2426">
        <f t="shared" si="171"/>
        <v>158.32225913621264</v>
      </c>
      <c r="F64" s="2426">
        <f t="shared" si="171"/>
        <v>114.04278074866311</v>
      </c>
      <c r="G64" s="3596">
        <v>2006</v>
      </c>
      <c r="H64" s="2427">
        <v>1</v>
      </c>
      <c r="I64" s="2427">
        <v>2.29</v>
      </c>
      <c r="J64" s="2427">
        <v>3.72</v>
      </c>
      <c r="K64" s="2427">
        <v>0.75</v>
      </c>
      <c r="L64" s="2433">
        <v>0.04</v>
      </c>
      <c r="N64" s="2490">
        <f t="shared" si="168"/>
        <v>4.3778675988638847E-2</v>
      </c>
      <c r="O64" s="2491">
        <f t="shared" si="168"/>
        <v>3.9114251466784385E-2</v>
      </c>
      <c r="P64" s="2491">
        <f t="shared" si="169"/>
        <v>2.1433929911049188E-2</v>
      </c>
      <c r="Q64" s="2491">
        <f t="shared" si="169"/>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4" thickBot="1" x14ac:dyDescent="0.25">
      <c r="A65" s="2425" t="s">
        <v>1162</v>
      </c>
      <c r="B65" s="2454">
        <v>138</v>
      </c>
      <c r="C65" s="2454">
        <v>131</v>
      </c>
      <c r="D65" s="2454">
        <f t="shared" si="144"/>
        <v>131</v>
      </c>
      <c r="E65" s="2454">
        <v>155</v>
      </c>
      <c r="F65" s="2455">
        <v>114</v>
      </c>
      <c r="G65" s="3594">
        <v>2005</v>
      </c>
      <c r="H65" s="2446">
        <v>4</v>
      </c>
      <c r="I65" s="2446">
        <v>3.29</v>
      </c>
      <c r="J65" s="2446">
        <v>1.44</v>
      </c>
      <c r="K65" s="2446">
        <v>0.66</v>
      </c>
      <c r="L65" s="2447">
        <v>7.78</v>
      </c>
      <c r="N65" s="2487">
        <f t="shared" ref="N65:O68" si="172">I65/SUM(I$65:I$68)*(B$65/B$69-1)</f>
        <v>9.9404603216919935E-2</v>
      </c>
      <c r="O65" s="2488">
        <f t="shared" si="172"/>
        <v>4.7636550760861554E-2</v>
      </c>
      <c r="P65" s="2488">
        <f t="shared" ref="P65:Q68" si="173">K65/SUM(K$65:K$68)*(E$65/E$69-1)</f>
        <v>8.3756345177664976E-2</v>
      </c>
      <c r="Q65" s="2488">
        <f t="shared" si="173"/>
        <v>5.2148766661559584E-2</v>
      </c>
      <c r="R65" s="2429"/>
      <c r="S65" s="2442"/>
      <c r="T65" s="2443"/>
      <c r="U65" s="2443"/>
      <c r="V65" s="2443"/>
      <c r="X65" s="2489"/>
      <c r="Y65" s="2489"/>
      <c r="Z65" s="2489"/>
    </row>
    <row r="66" spans="1:26" x14ac:dyDescent="0.2">
      <c r="A66" s="2425" t="s">
        <v>1163</v>
      </c>
      <c r="B66" s="2426">
        <f t="shared" ref="B66:C68" si="174">B67+(B$65-B$69)*I66/SUM(I$65:I$68)</f>
        <v>125.9720430107527</v>
      </c>
      <c r="C66" s="2426">
        <f t="shared" si="174"/>
        <v>125.1883408071749</v>
      </c>
      <c r="D66" s="2426">
        <f t="shared" si="144"/>
        <v>125.1883408071749</v>
      </c>
      <c r="E66" s="2426">
        <f t="shared" ref="E66:F68" si="175">E67+(E$65-E$69)*K66/SUM(K$65:K$68)</f>
        <v>144.61421319796952</v>
      </c>
      <c r="F66" s="2426">
        <f t="shared" si="175"/>
        <v>108.42008196721311</v>
      </c>
      <c r="G66" s="3595">
        <v>2005</v>
      </c>
      <c r="H66" s="2451">
        <v>3</v>
      </c>
      <c r="I66" s="2451">
        <v>0.46</v>
      </c>
      <c r="J66" s="2451">
        <v>0.32</v>
      </c>
      <c r="K66" s="2451">
        <v>0.42</v>
      </c>
      <c r="L66" s="2452">
        <v>0.64</v>
      </c>
      <c r="N66" s="2487">
        <f t="shared" si="172"/>
        <v>1.3898515951301874E-2</v>
      </c>
      <c r="O66" s="2488">
        <f t="shared" si="172"/>
        <v>1.0585900169080346E-2</v>
      </c>
      <c r="P66" s="2488">
        <f t="shared" si="173"/>
        <v>5.3299492385786795E-2</v>
      </c>
      <c r="Q66" s="2488">
        <f t="shared" si="173"/>
        <v>4.2898728359123568E-3</v>
      </c>
      <c r="R66" s="2429"/>
      <c r="S66" s="2428"/>
      <c r="T66" s="2413"/>
      <c r="U66" s="2413"/>
      <c r="V66" s="2413"/>
      <c r="X66" s="2489"/>
      <c r="Y66" s="2489"/>
      <c r="Z66" s="2489"/>
    </row>
    <row r="67" spans="1:26" x14ac:dyDescent="0.2">
      <c r="A67" s="2425" t="s">
        <v>1164</v>
      </c>
      <c r="B67" s="2426">
        <f t="shared" si="174"/>
        <v>124.29032258064517</v>
      </c>
      <c r="C67" s="2426">
        <f t="shared" si="174"/>
        <v>123.8968609865471</v>
      </c>
      <c r="D67" s="2426">
        <f t="shared" si="144"/>
        <v>123.8968609865471</v>
      </c>
      <c r="E67" s="2426">
        <f t="shared" si="175"/>
        <v>138.00507614213197</v>
      </c>
      <c r="F67" s="2426">
        <f t="shared" si="175"/>
        <v>107.96106557377048</v>
      </c>
      <c r="G67" s="3595">
        <v>2005</v>
      </c>
      <c r="H67" s="2438">
        <v>2</v>
      </c>
      <c r="I67" s="2438">
        <v>0.47</v>
      </c>
      <c r="J67" s="2438">
        <v>0.1</v>
      </c>
      <c r="K67" s="2438">
        <v>0.52</v>
      </c>
      <c r="L67" s="2439">
        <v>0.79</v>
      </c>
      <c r="N67" s="2487">
        <f t="shared" si="172"/>
        <v>1.420065760241713E-2</v>
      </c>
      <c r="O67" s="2488">
        <f t="shared" si="172"/>
        <v>3.3080938028376083E-3</v>
      </c>
      <c r="P67" s="2488">
        <f t="shared" si="173"/>
        <v>6.598984771573603E-2</v>
      </c>
      <c r="Q67" s="2488">
        <f t="shared" si="173"/>
        <v>5.2953117818293153E-3</v>
      </c>
      <c r="R67" s="2429"/>
      <c r="S67" s="2428"/>
      <c r="T67" s="2413"/>
      <c r="U67" s="2413"/>
      <c r="V67" s="2413"/>
      <c r="X67" s="2489"/>
      <c r="Y67" s="2489"/>
      <c r="Z67" s="2489"/>
    </row>
    <row r="68" spans="1:26" x14ac:dyDescent="0.2">
      <c r="A68" s="2425" t="s">
        <v>1165</v>
      </c>
      <c r="B68" s="2426">
        <f t="shared" si="174"/>
        <v>122.57204301075269</v>
      </c>
      <c r="C68" s="2426">
        <f t="shared" si="174"/>
        <v>123.4932735426009</v>
      </c>
      <c r="D68" s="2426">
        <f t="shared" si="144"/>
        <v>123.4932735426009</v>
      </c>
      <c r="E68" s="2426">
        <f t="shared" si="175"/>
        <v>129.82233502538071</v>
      </c>
      <c r="F68" s="2426">
        <f t="shared" si="175"/>
        <v>107.39446721311475</v>
      </c>
      <c r="G68" s="3596">
        <v>2005</v>
      </c>
      <c r="H68" s="2427">
        <v>1</v>
      </c>
      <c r="I68" s="2427">
        <v>0.43</v>
      </c>
      <c r="J68" s="2427">
        <v>0.37</v>
      </c>
      <c r="K68" s="2427">
        <v>0.37</v>
      </c>
      <c r="L68" s="2433">
        <v>0.55000000000000004</v>
      </c>
      <c r="N68" s="2490">
        <f t="shared" si="172"/>
        <v>1.2992090997956099E-2</v>
      </c>
      <c r="O68" s="2491">
        <f t="shared" si="172"/>
        <v>1.2239947070499151E-2</v>
      </c>
      <c r="P68" s="2491">
        <f t="shared" si="173"/>
        <v>4.6954314720812178E-2</v>
      </c>
      <c r="Q68" s="2491">
        <f t="shared" si="173"/>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4" thickBot="1" x14ac:dyDescent="0.25">
      <c r="A69" s="2425" t="s">
        <v>1166</v>
      </c>
      <c r="B69" s="2475">
        <v>121</v>
      </c>
      <c r="C69" s="2475">
        <v>122</v>
      </c>
      <c r="D69" s="2475">
        <f t="shared" si="144"/>
        <v>122</v>
      </c>
      <c r="E69" s="2475">
        <v>124</v>
      </c>
      <c r="F69" s="2476">
        <v>107</v>
      </c>
      <c r="G69" s="3594">
        <v>2004</v>
      </c>
      <c r="H69" s="2446">
        <v>4</v>
      </c>
      <c r="I69" s="2446">
        <v>0.33</v>
      </c>
      <c r="J69" s="2446">
        <v>0.5</v>
      </c>
      <c r="K69" s="2446">
        <v>0.5</v>
      </c>
      <c r="L69" s="2447">
        <v>0</v>
      </c>
      <c r="N69" s="2487">
        <f t="shared" ref="N69:O72" si="176">I69/SUM(I$69:I$72)*(B$69/B$73-1)</f>
        <v>1.3391770148526898E-2</v>
      </c>
      <c r="O69" s="2488">
        <f t="shared" si="176"/>
        <v>1.063264221158958E-2</v>
      </c>
      <c r="P69" s="2488">
        <f t="shared" ref="P69:Q72" si="177">K69/SUM(K$69:K$72)*(E$69/E$73-1)</f>
        <v>2.2244466688911134E-2</v>
      </c>
      <c r="Q69" s="2488">
        <f t="shared" si="177"/>
        <v>0</v>
      </c>
      <c r="R69" s="2429"/>
      <c r="S69" s="2442"/>
      <c r="T69" s="2443"/>
      <c r="U69" s="2443"/>
      <c r="V69" s="2443"/>
      <c r="X69" s="2489"/>
      <c r="Y69" s="2489"/>
      <c r="Z69" s="2489"/>
    </row>
    <row r="70" spans="1:26" x14ac:dyDescent="0.2">
      <c r="A70" s="2425" t="s">
        <v>1167</v>
      </c>
      <c r="B70" s="2426">
        <f t="shared" ref="B70:C72" si="178">B71+(B$69-B$73)*I70/SUM(I$69:I$72)</f>
        <v>119.51351351351352</v>
      </c>
      <c r="C70" s="2426">
        <f t="shared" si="178"/>
        <v>120.7878787878788</v>
      </c>
      <c r="D70" s="2426">
        <f t="shared" si="144"/>
        <v>120.7878787878788</v>
      </c>
      <c r="E70" s="2426">
        <f t="shared" ref="E70:F72" si="179">E71+(E$69-E$73)*K70/SUM(K$69:K$72)</f>
        <v>121.5975975975976</v>
      </c>
      <c r="F70" s="2426">
        <f t="shared" si="179"/>
        <v>107</v>
      </c>
      <c r="G70" s="3595">
        <v>2004</v>
      </c>
      <c r="H70" s="2451">
        <v>3</v>
      </c>
      <c r="I70" s="2451">
        <v>0.56000000000000005</v>
      </c>
      <c r="J70" s="2451">
        <v>0.8</v>
      </c>
      <c r="K70" s="2451">
        <v>0.83</v>
      </c>
      <c r="L70" s="2452">
        <v>0.06</v>
      </c>
      <c r="N70" s="2487">
        <f t="shared" si="176"/>
        <v>2.2725428130833527E-2</v>
      </c>
      <c r="O70" s="2488">
        <f t="shared" si="176"/>
        <v>1.7012227538543329E-2</v>
      </c>
      <c r="P70" s="2488">
        <f t="shared" si="177"/>
        <v>3.6925814703592477E-2</v>
      </c>
      <c r="Q70" s="2488">
        <f t="shared" si="177"/>
        <v>2.8846153846153744E-2</v>
      </c>
      <c r="R70" s="2429"/>
      <c r="S70" s="2428"/>
      <c r="T70" s="2413"/>
      <c r="U70" s="2413"/>
      <c r="V70" s="2413"/>
      <c r="X70" s="2489"/>
      <c r="Y70" s="2489"/>
      <c r="Z70" s="2489"/>
    </row>
    <row r="71" spans="1:26" x14ac:dyDescent="0.2">
      <c r="A71" s="2425" t="s">
        <v>1168</v>
      </c>
      <c r="B71" s="2426">
        <f t="shared" si="178"/>
        <v>116.99099099099099</v>
      </c>
      <c r="C71" s="2426">
        <f t="shared" si="178"/>
        <v>118.84848484848486</v>
      </c>
      <c r="D71" s="2426">
        <f t="shared" si="144"/>
        <v>118.84848484848486</v>
      </c>
      <c r="E71" s="2426">
        <f t="shared" si="179"/>
        <v>117.60960960960961</v>
      </c>
      <c r="F71" s="2426">
        <f t="shared" si="179"/>
        <v>104</v>
      </c>
      <c r="G71" s="3595">
        <v>2004</v>
      </c>
      <c r="H71" s="2438">
        <v>2</v>
      </c>
      <c r="I71" s="2438">
        <v>1</v>
      </c>
      <c r="J71" s="2438">
        <v>1.5</v>
      </c>
      <c r="K71" s="2438">
        <v>1.5</v>
      </c>
      <c r="L71" s="2439">
        <v>0</v>
      </c>
      <c r="N71" s="2487">
        <f t="shared" si="176"/>
        <v>4.0581121662202721E-2</v>
      </c>
      <c r="O71" s="2488">
        <f t="shared" si="176"/>
        <v>3.1897926634768738E-2</v>
      </c>
      <c r="P71" s="2488">
        <f t="shared" si="177"/>
        <v>6.6733400066733395E-2</v>
      </c>
      <c r="Q71" s="2488">
        <f t="shared" si="177"/>
        <v>0</v>
      </c>
      <c r="R71" s="2429"/>
      <c r="S71" s="2428"/>
      <c r="T71" s="2413"/>
      <c r="U71" s="2413"/>
      <c r="V71" s="2413"/>
      <c r="X71" s="2489"/>
      <c r="Y71" s="2489"/>
      <c r="Z71" s="2489"/>
    </row>
    <row r="72" spans="1:26" s="2481" customFormat="1" ht="14" thickBot="1" x14ac:dyDescent="0.25">
      <c r="A72" s="2425" t="s">
        <v>1169</v>
      </c>
      <c r="B72" s="2478">
        <f t="shared" si="178"/>
        <v>112.48648648648648</v>
      </c>
      <c r="C72" s="2478">
        <f t="shared" si="178"/>
        <v>115.21212121212122</v>
      </c>
      <c r="D72" s="2478">
        <f t="shared" si="144"/>
        <v>115.21212121212122</v>
      </c>
      <c r="E72" s="2478">
        <f t="shared" si="179"/>
        <v>110.4024024024024</v>
      </c>
      <c r="F72" s="2478">
        <f t="shared" si="179"/>
        <v>104</v>
      </c>
      <c r="G72" s="3596">
        <v>2004</v>
      </c>
      <c r="H72" s="2479">
        <v>1</v>
      </c>
      <c r="I72" s="2479">
        <v>0.33</v>
      </c>
      <c r="J72" s="2479">
        <v>0.5</v>
      </c>
      <c r="K72" s="2479">
        <v>0.5</v>
      </c>
      <c r="L72" s="2480">
        <v>0</v>
      </c>
      <c r="N72" s="2492">
        <f t="shared" si="176"/>
        <v>1.3391770148526898E-2</v>
      </c>
      <c r="O72" s="2493">
        <f t="shared" si="176"/>
        <v>1.063264221158958E-2</v>
      </c>
      <c r="P72" s="2493">
        <f t="shared" si="177"/>
        <v>2.2244466688911134E-2</v>
      </c>
      <c r="Q72" s="2493">
        <f t="shared" si="177"/>
        <v>0</v>
      </c>
      <c r="R72" s="2484"/>
      <c r="S72" s="2482">
        <f>B72/B73-1</f>
        <v>1.3391770148526883E-2</v>
      </c>
      <c r="T72" s="2483">
        <f>C72/C73-1</f>
        <v>1.063264221158966E-2</v>
      </c>
      <c r="U72" s="2483">
        <f>E72/E73-1</f>
        <v>2.2244466688911224E-2</v>
      </c>
      <c r="V72" s="2483">
        <f>F72/F73-1</f>
        <v>0</v>
      </c>
      <c r="X72" s="2494"/>
      <c r="Y72" s="2494"/>
      <c r="Z72" s="2494"/>
    </row>
    <row r="73" spans="1:26" ht="14" thickBot="1" x14ac:dyDescent="0.25">
      <c r="A73" s="2425" t="s">
        <v>1170</v>
      </c>
      <c r="B73" s="2495">
        <v>111</v>
      </c>
      <c r="C73" s="2495">
        <v>114</v>
      </c>
      <c r="D73" s="2495">
        <f t="shared" si="144"/>
        <v>114</v>
      </c>
      <c r="E73" s="2495">
        <v>108</v>
      </c>
      <c r="F73" s="2496">
        <v>104</v>
      </c>
      <c r="G73" s="3594">
        <v>2003</v>
      </c>
      <c r="H73" s="2485">
        <v>4</v>
      </c>
      <c r="I73" s="2497"/>
      <c r="J73" s="2497"/>
      <c r="K73" s="2497"/>
      <c r="L73" s="2497"/>
      <c r="N73" s="2498"/>
      <c r="O73" s="2497"/>
      <c r="P73" s="2497"/>
      <c r="Q73" s="2497"/>
      <c r="S73" s="2498"/>
      <c r="T73" s="2497"/>
      <c r="U73" s="2497"/>
      <c r="V73" s="2497"/>
      <c r="X73" s="2489"/>
      <c r="Y73" s="2489"/>
      <c r="Z73" s="2489"/>
    </row>
    <row r="74" spans="1:26" x14ac:dyDescent="0.2">
      <c r="A74" s="2425" t="s">
        <v>1171</v>
      </c>
      <c r="B74" s="2499">
        <f t="shared" ref="B74:C76" si="180">B75+(B$73-B$77)/4</f>
        <v>109.75</v>
      </c>
      <c r="C74" s="2499">
        <f t="shared" si="180"/>
        <v>112.25</v>
      </c>
      <c r="D74" s="2499">
        <f t="shared" si="144"/>
        <v>112.25</v>
      </c>
      <c r="E74" s="2499">
        <f t="shared" ref="E74:F76" si="181">E75+(E$73-E$77)/4</f>
        <v>107.25</v>
      </c>
      <c r="F74" s="2499">
        <f t="shared" si="181"/>
        <v>103.5</v>
      </c>
      <c r="G74" s="3595">
        <v>2003</v>
      </c>
      <c r="H74" s="2451">
        <v>3</v>
      </c>
      <c r="I74" s="2497"/>
      <c r="J74" s="2497"/>
      <c r="K74" s="2497"/>
      <c r="L74" s="2497"/>
      <c r="X74" s="2489"/>
      <c r="Y74" s="2489"/>
      <c r="Z74" s="2489"/>
    </row>
    <row r="75" spans="1:26" x14ac:dyDescent="0.2">
      <c r="A75" s="2425" t="s">
        <v>1172</v>
      </c>
      <c r="B75" s="2499">
        <f t="shared" si="180"/>
        <v>108.5</v>
      </c>
      <c r="C75" s="2499">
        <f t="shared" si="180"/>
        <v>110.5</v>
      </c>
      <c r="D75" s="2499">
        <f t="shared" si="144"/>
        <v>110.5</v>
      </c>
      <c r="E75" s="2499">
        <f t="shared" si="181"/>
        <v>106.5</v>
      </c>
      <c r="F75" s="2499">
        <f t="shared" si="181"/>
        <v>103</v>
      </c>
      <c r="G75" s="3595">
        <v>2003</v>
      </c>
      <c r="H75" s="2438">
        <v>2</v>
      </c>
      <c r="I75" s="2497"/>
      <c r="J75" s="2497"/>
      <c r="K75" s="2497"/>
      <c r="L75" s="2497"/>
      <c r="X75" s="2489"/>
      <c r="Y75" s="2489"/>
      <c r="Z75" s="2489"/>
    </row>
    <row r="76" spans="1:26" ht="14" thickBot="1" x14ac:dyDescent="0.25">
      <c r="A76" s="2425" t="s">
        <v>1173</v>
      </c>
      <c r="B76" s="2499">
        <f t="shared" si="180"/>
        <v>107.25</v>
      </c>
      <c r="C76" s="2499">
        <f t="shared" si="180"/>
        <v>108.75</v>
      </c>
      <c r="D76" s="2499">
        <f t="shared" si="144"/>
        <v>108.75</v>
      </c>
      <c r="E76" s="2499">
        <f t="shared" si="181"/>
        <v>105.75</v>
      </c>
      <c r="F76" s="2499">
        <f t="shared" si="181"/>
        <v>102.5</v>
      </c>
      <c r="G76" s="3596">
        <v>2003</v>
      </c>
      <c r="H76" s="2500">
        <v>1</v>
      </c>
      <c r="I76" s="2497"/>
      <c r="J76" s="2497"/>
      <c r="K76" s="2497"/>
      <c r="L76" s="2497"/>
      <c r="S76" s="2428"/>
      <c r="T76" s="2413"/>
      <c r="U76" s="2413"/>
      <c r="X76" s="2489"/>
      <c r="Y76" s="2489"/>
      <c r="Z76" s="2489"/>
    </row>
    <row r="77" spans="1:26" ht="14" thickBot="1" x14ac:dyDescent="0.25">
      <c r="A77" s="2425" t="s">
        <v>1174</v>
      </c>
      <c r="B77" s="2501">
        <v>106</v>
      </c>
      <c r="C77" s="2501">
        <v>107</v>
      </c>
      <c r="D77" s="2501">
        <f t="shared" si="144"/>
        <v>107</v>
      </c>
      <c r="E77" s="2501">
        <v>105</v>
      </c>
      <c r="F77" s="2502">
        <v>102</v>
      </c>
      <c r="G77" s="3594">
        <v>2002</v>
      </c>
      <c r="H77" s="2446">
        <v>4</v>
      </c>
      <c r="I77" s="2497"/>
      <c r="J77" s="2497"/>
      <c r="K77" s="2497"/>
      <c r="L77" s="2497"/>
      <c r="N77" s="2498"/>
      <c r="O77" s="2497"/>
      <c r="P77" s="2497"/>
      <c r="Q77" s="2497"/>
      <c r="S77" s="2498"/>
      <c r="T77" s="2497"/>
      <c r="U77" s="2497"/>
      <c r="V77" s="2497"/>
      <c r="X77" s="2489"/>
      <c r="Y77" s="2489"/>
      <c r="Z77" s="2489"/>
    </row>
    <row r="78" spans="1:26" x14ac:dyDescent="0.2">
      <c r="A78" s="2425" t="s">
        <v>1175</v>
      </c>
      <c r="B78" s="2499">
        <f t="shared" ref="B78:C80" si="182">B79+(B$77-B$81)/4</f>
        <v>105</v>
      </c>
      <c r="C78" s="2499">
        <f t="shared" si="182"/>
        <v>106</v>
      </c>
      <c r="D78" s="2499">
        <f t="shared" si="144"/>
        <v>106</v>
      </c>
      <c r="E78" s="2499">
        <f t="shared" ref="E78:F80" si="183">E79+(E$77-E$81)/4</f>
        <v>104.5</v>
      </c>
      <c r="F78" s="2499">
        <f t="shared" si="183"/>
        <v>101.5</v>
      </c>
      <c r="G78" s="3595">
        <v>2002</v>
      </c>
      <c r="H78" s="2451">
        <v>3</v>
      </c>
      <c r="I78" s="2497"/>
      <c r="J78" s="2497"/>
      <c r="K78" s="2497"/>
      <c r="L78" s="2497"/>
      <c r="X78" s="2489"/>
      <c r="Y78" s="2489"/>
      <c r="Z78" s="2489"/>
    </row>
    <row r="79" spans="1:26" x14ac:dyDescent="0.2">
      <c r="A79" s="2425" t="s">
        <v>1176</v>
      </c>
      <c r="B79" s="2499">
        <f t="shared" si="182"/>
        <v>104</v>
      </c>
      <c r="C79" s="2499">
        <f t="shared" si="182"/>
        <v>105</v>
      </c>
      <c r="D79" s="2499">
        <f t="shared" si="144"/>
        <v>105</v>
      </c>
      <c r="E79" s="2499">
        <f t="shared" si="183"/>
        <v>104</v>
      </c>
      <c r="F79" s="2499">
        <f t="shared" si="183"/>
        <v>101</v>
      </c>
      <c r="G79" s="3595">
        <v>2002</v>
      </c>
      <c r="H79" s="2438">
        <v>2</v>
      </c>
      <c r="I79" s="2497"/>
      <c r="J79" s="2497"/>
      <c r="K79" s="2497"/>
      <c r="L79" s="2497"/>
      <c r="X79" s="2489"/>
      <c r="Y79" s="2489"/>
      <c r="Z79" s="2489"/>
    </row>
    <row r="80" spans="1:26" s="2462" customFormat="1" ht="14" thickBot="1" x14ac:dyDescent="0.25">
      <c r="A80" s="2458" t="s">
        <v>1177</v>
      </c>
      <c r="B80" s="2465">
        <f t="shared" si="182"/>
        <v>103</v>
      </c>
      <c r="C80" s="2465">
        <f t="shared" si="182"/>
        <v>104</v>
      </c>
      <c r="D80" s="2465">
        <f t="shared" si="144"/>
        <v>104</v>
      </c>
      <c r="E80" s="2465">
        <f t="shared" si="183"/>
        <v>103.5</v>
      </c>
      <c r="F80" s="2465">
        <f t="shared" si="183"/>
        <v>100.5</v>
      </c>
      <c r="G80" s="3596">
        <v>2002</v>
      </c>
      <c r="H80" s="2503">
        <v>1</v>
      </c>
      <c r="I80" s="2504"/>
      <c r="J80" s="2504"/>
      <c r="K80" s="2504"/>
      <c r="L80" s="2504"/>
      <c r="N80" s="2505"/>
      <c r="S80" s="2505"/>
      <c r="X80" s="2506"/>
      <c r="Y80" s="2506"/>
      <c r="Z80" s="2506"/>
    </row>
    <row r="81" spans="1:26" ht="14" thickBot="1" x14ac:dyDescent="0.25">
      <c r="B81" s="2507">
        <v>102</v>
      </c>
      <c r="C81" s="2508">
        <v>103</v>
      </c>
      <c r="D81" s="2508">
        <f t="shared" si="144"/>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ht="14" x14ac:dyDescent="0.2">
      <c r="A83" s="2510" t="s">
        <v>1178</v>
      </c>
      <c r="G83" s="2512"/>
      <c r="N83" s="2512"/>
      <c r="S83" s="2512"/>
    </row>
    <row r="84" spans="1:26" s="2511" customFormat="1" ht="14" x14ac:dyDescent="0.2">
      <c r="A84" s="2511" t="s">
        <v>1179</v>
      </c>
      <c r="G84" s="2512"/>
      <c r="N84" s="2512"/>
      <c r="S84" s="2512"/>
    </row>
    <row r="85" spans="1:26" s="2511" customFormat="1" ht="14" x14ac:dyDescent="0.2">
      <c r="A85" s="2511" t="s">
        <v>1180</v>
      </c>
      <c r="G85" s="2512"/>
      <c r="I85" s="2513"/>
      <c r="J85" s="2513"/>
      <c r="K85" s="2513"/>
      <c r="L85" s="2513"/>
      <c r="N85" s="2514"/>
      <c r="O85" s="2513"/>
      <c r="P85" s="2513"/>
      <c r="Q85" s="2513"/>
      <c r="S85" s="2514"/>
      <c r="T85" s="2513"/>
      <c r="U85" s="2513"/>
      <c r="V85" s="2513"/>
    </row>
    <row r="86" spans="1:26" s="2511" customFormat="1" ht="14" x14ac:dyDescent="0.2">
      <c r="A86" s="2511" t="s">
        <v>1181</v>
      </c>
      <c r="G86" s="2512"/>
      <c r="N86" s="2512"/>
      <c r="S86" s="2512"/>
    </row>
    <row r="93" spans="1:26" ht="14" thickBot="1" x14ac:dyDescent="0.25"/>
    <row r="94" spans="1:26" ht="14" x14ac:dyDescent="0.2">
      <c r="G94" s="2412"/>
      <c r="S94" s="2515" t="s">
        <v>1182</v>
      </c>
      <c r="T94" s="2516" t="s">
        <v>1183</v>
      </c>
      <c r="U94" s="2516" t="s">
        <v>1184</v>
      </c>
      <c r="V94" s="2516" t="s">
        <v>1185</v>
      </c>
    </row>
    <row r="95" spans="1:26" x14ac:dyDescent="0.2">
      <c r="G95" s="2412"/>
      <c r="N95" s="2442"/>
      <c r="O95" s="2443"/>
      <c r="P95" s="2443"/>
      <c r="Q95" s="2443"/>
      <c r="S95" s="2517">
        <v>2006</v>
      </c>
      <c r="T95" s="2518">
        <v>15.1</v>
      </c>
      <c r="U95" s="2518">
        <v>7.43</v>
      </c>
      <c r="V95" s="2518">
        <v>26.26</v>
      </c>
    </row>
    <row r="96" spans="1:26" x14ac:dyDescent="0.2">
      <c r="G96" s="2412"/>
      <c r="N96" s="2442"/>
      <c r="O96" s="2443"/>
      <c r="P96" s="2443"/>
      <c r="Q96" s="2443"/>
      <c r="S96" s="2519">
        <v>2005</v>
      </c>
      <c r="T96" s="2520">
        <v>13.9</v>
      </c>
      <c r="U96" s="2520">
        <v>7.49</v>
      </c>
      <c r="V96" s="2520">
        <v>24.92</v>
      </c>
    </row>
    <row r="97" spans="7:22" x14ac:dyDescent="0.2">
      <c r="G97" s="2412"/>
      <c r="N97" s="2442"/>
      <c r="O97" s="2443"/>
      <c r="P97" s="2443"/>
      <c r="Q97" s="2443"/>
      <c r="S97" s="2517">
        <v>2004</v>
      </c>
      <c r="T97" s="2518">
        <v>9.48</v>
      </c>
      <c r="U97" s="2518">
        <v>7.2</v>
      </c>
      <c r="V97" s="2518">
        <v>14.68</v>
      </c>
    </row>
    <row r="98" spans="7:22" x14ac:dyDescent="0.2">
      <c r="G98" s="2412"/>
      <c r="N98" s="2442"/>
      <c r="O98" s="2443"/>
      <c r="P98" s="2443"/>
      <c r="Q98" s="2443"/>
      <c r="S98" s="2519">
        <v>2003</v>
      </c>
      <c r="T98" s="2520">
        <v>4.5</v>
      </c>
      <c r="U98" s="2520">
        <v>6.12</v>
      </c>
      <c r="V98" s="2520">
        <v>2.34</v>
      </c>
    </row>
    <row r="99" spans="7:22" ht="14" thickBot="1" x14ac:dyDescent="0.25">
      <c r="G99" s="2412"/>
      <c r="N99" s="2442"/>
      <c r="O99" s="2443"/>
      <c r="P99" s="2443"/>
      <c r="Q99" s="2443"/>
      <c r="S99" s="2521">
        <v>2002</v>
      </c>
      <c r="T99" s="2522">
        <v>3.59</v>
      </c>
      <c r="U99" s="2522">
        <v>4.54</v>
      </c>
      <c r="V99" s="2522">
        <v>2.5499999999999998</v>
      </c>
    </row>
    <row r="100" spans="7:22" x14ac:dyDescent="0.2">
      <c r="G100" s="2412"/>
      <c r="N100" s="2442"/>
      <c r="O100" s="2443"/>
      <c r="P100" s="2443"/>
      <c r="Q100" s="2443"/>
    </row>
    <row r="101" spans="7:22" x14ac:dyDescent="0.2">
      <c r="G101" s="2412"/>
      <c r="N101" s="2442"/>
      <c r="O101" s="2443"/>
      <c r="P101" s="2443"/>
      <c r="Q101" s="2443"/>
    </row>
    <row r="102" spans="7:22" x14ac:dyDescent="0.2">
      <c r="G102" s="2412"/>
      <c r="N102" s="2442"/>
      <c r="O102" s="2443"/>
      <c r="P102" s="2443"/>
      <c r="Q102" s="2443"/>
    </row>
    <row r="103" spans="7:22" x14ac:dyDescent="0.2">
      <c r="G103" s="2412"/>
      <c r="N103" s="2442"/>
      <c r="O103" s="2443"/>
      <c r="P103" s="2443"/>
      <c r="Q103" s="2443"/>
    </row>
    <row r="104" spans="7:22" x14ac:dyDescent="0.2">
      <c r="G104" s="2412"/>
      <c r="N104" s="2442"/>
      <c r="O104" s="2443"/>
      <c r="P104" s="2443"/>
      <c r="Q104" s="2443"/>
    </row>
    <row r="105" spans="7:22" x14ac:dyDescent="0.2">
      <c r="G105" s="2412"/>
      <c r="N105" s="2442"/>
      <c r="O105" s="2443"/>
      <c r="P105" s="2443"/>
      <c r="Q105" s="2443"/>
    </row>
    <row r="106" spans="7:22" x14ac:dyDescent="0.2">
      <c r="G106" s="2412"/>
      <c r="N106" s="2442"/>
      <c r="O106" s="2443"/>
      <c r="P106" s="2443"/>
      <c r="Q106" s="2443"/>
    </row>
    <row r="107" spans="7:22" x14ac:dyDescent="0.2">
      <c r="G107" s="2412"/>
      <c r="N107" s="2442"/>
      <c r="O107" s="2443"/>
      <c r="P107" s="2443"/>
      <c r="Q107" s="2443"/>
    </row>
    <row r="108" spans="7:22" x14ac:dyDescent="0.2">
      <c r="G108" s="2412"/>
      <c r="N108" s="2442"/>
      <c r="O108" s="2443"/>
      <c r="P108" s="2443"/>
      <c r="Q108" s="2443"/>
    </row>
    <row r="109" spans="7:22" x14ac:dyDescent="0.2">
      <c r="G109" s="2412"/>
      <c r="N109" s="2442"/>
      <c r="O109" s="2443"/>
      <c r="P109" s="2443"/>
      <c r="Q109" s="2443"/>
    </row>
    <row r="110" spans="7:22" x14ac:dyDescent="0.2">
      <c r="G110" s="2412"/>
      <c r="N110" s="2442"/>
      <c r="O110" s="2443"/>
      <c r="P110" s="2443"/>
      <c r="Q110" s="2443"/>
      <c r="S110" s="2412"/>
    </row>
    <row r="111" spans="7:22" x14ac:dyDescent="0.2">
      <c r="G111" s="2412"/>
      <c r="N111" s="2442"/>
      <c r="O111" s="2443"/>
      <c r="P111" s="2443"/>
      <c r="Q111" s="2443"/>
      <c r="S111" s="2412"/>
    </row>
    <row r="112" spans="7:22" x14ac:dyDescent="0.2">
      <c r="G112" s="2412"/>
      <c r="N112" s="2442"/>
      <c r="O112" s="2443"/>
      <c r="P112" s="2443"/>
      <c r="Q112" s="2443"/>
      <c r="S112" s="2412"/>
    </row>
    <row r="113" spans="7:19" x14ac:dyDescent="0.2">
      <c r="G113" s="2412"/>
      <c r="N113" s="2442"/>
      <c r="O113" s="2443"/>
      <c r="P113" s="2443"/>
      <c r="Q113" s="2443"/>
      <c r="S113" s="2412"/>
    </row>
    <row r="114" spans="7:19" x14ac:dyDescent="0.2">
      <c r="G114" s="2412"/>
      <c r="N114" s="2442"/>
      <c r="O114" s="2443"/>
      <c r="P114" s="2443"/>
      <c r="Q114" s="2443"/>
      <c r="S114" s="2412"/>
    </row>
    <row r="115" spans="7:19" x14ac:dyDescent="0.2">
      <c r="G115" s="2412"/>
      <c r="N115" s="2442"/>
      <c r="O115" s="2443"/>
      <c r="P115" s="2443"/>
      <c r="Q115" s="2443"/>
      <c r="S115" s="2412"/>
    </row>
  </sheetData>
  <sheetProtection password="C66D"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baseColWidth="10" defaultColWidth="9" defaultRowHeight="13" x14ac:dyDescent="0.2"/>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x14ac:dyDescent="0.25">
      <c r="A1" s="151"/>
      <c r="B1" s="1114" t="s">
        <v>2823</v>
      </c>
      <c r="C1" s="3608" t="s">
        <v>2824</v>
      </c>
      <c r="D1" s="3609"/>
      <c r="E1" s="3609"/>
      <c r="F1" s="3609"/>
      <c r="G1" s="3609"/>
      <c r="H1" s="3609"/>
      <c r="I1" s="3609"/>
      <c r="J1" s="3609"/>
      <c r="K1" s="3609"/>
      <c r="L1" s="3609"/>
      <c r="M1" s="3609"/>
      <c r="N1" s="3609"/>
      <c r="O1" s="3609"/>
      <c r="P1" s="3609"/>
      <c r="Q1" s="3609"/>
      <c r="R1" s="3609"/>
      <c r="S1" s="3610"/>
      <c r="T1" s="1114" t="s">
        <v>2825</v>
      </c>
    </row>
    <row r="2" spans="1:45" s="663" customFormat="1" ht="14" x14ac:dyDescent="0.2">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x14ac:dyDescent="0.2">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4" thickBot="1" x14ac:dyDescent="0.25">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4" x14ac:dyDescent="0.2">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4" thickBot="1" x14ac:dyDescent="0.25">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4" x14ac:dyDescent="0.2">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4" thickBot="1" x14ac:dyDescent="0.25">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4" x14ac:dyDescent="0.2">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4" thickBot="1" x14ac:dyDescent="0.25">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4" x14ac:dyDescent="0.2">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4" thickBot="1" x14ac:dyDescent="0.25">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4" x14ac:dyDescent="0.2">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4" thickBot="1" x14ac:dyDescent="0.25">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4" x14ac:dyDescent="0.2">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4" thickBot="1" x14ac:dyDescent="0.25">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4" x14ac:dyDescent="0.2">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4" thickBot="1" x14ac:dyDescent="0.25">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ht="14" x14ac:dyDescent="0.2">
      <c r="A19" s="134"/>
      <c r="B19" s="164"/>
      <c r="C19" s="164"/>
      <c r="D19" s="2368" t="s">
        <v>2835</v>
      </c>
      <c r="E19" s="1526"/>
      <c r="F19" s="1526"/>
      <c r="G19" s="1526"/>
      <c r="H19" s="1190"/>
      <c r="I19" s="164"/>
      <c r="J19" s="164"/>
      <c r="K19" s="164"/>
      <c r="L19" s="164"/>
      <c r="M19" s="164"/>
      <c r="N19" s="164"/>
      <c r="O19" s="164"/>
      <c r="P19" s="164"/>
      <c r="Q19" s="164"/>
      <c r="R19" s="727"/>
      <c r="S19" s="134"/>
    </row>
    <row r="20" spans="1:45" ht="17" thickBot="1" x14ac:dyDescent="0.25">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6" x14ac:dyDescent="0.2">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ht="14" x14ac:dyDescent="0.2">
      <c r="A22" s="322" t="s">
        <v>2839</v>
      </c>
      <c r="B22" s="24">
        <f>SUM(B24:B10000)</f>
        <v>100</v>
      </c>
      <c r="C22" s="3605" t="s">
        <v>33</v>
      </c>
      <c r="D22" s="3606"/>
      <c r="E22" s="3606"/>
      <c r="F22" s="3606"/>
      <c r="G22" s="3606"/>
      <c r="H22" s="3606"/>
      <c r="I22" s="3606"/>
      <c r="J22" s="3606"/>
      <c r="K22" s="3606"/>
      <c r="L22" s="3606"/>
      <c r="M22" s="3606"/>
      <c r="N22" s="3606"/>
      <c r="O22" s="3606"/>
      <c r="P22" s="3606"/>
      <c r="Q22" s="3607"/>
      <c r="R22" s="672">
        <f>ROUND(S22*10000/B22,0)</f>
        <v>10000</v>
      </c>
      <c r="S22" s="24">
        <f>SUM(S24:S10000)</f>
        <v>100</v>
      </c>
    </row>
    <row r="23" spans="1:45" s="12" customFormat="1" ht="28" x14ac:dyDescent="0.2">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4" x14ac:dyDescent="0.2">
      <c r="A24" s="674" t="s">
        <v>2845</v>
      </c>
      <c r="B24" s="674">
        <v>100</v>
      </c>
      <c r="C24" s="3048">
        <v>1</v>
      </c>
      <c r="D24" s="3049"/>
      <c r="E24" s="3048">
        <v>1</v>
      </c>
      <c r="F24" s="3049"/>
      <c r="G24" s="3048">
        <v>1</v>
      </c>
      <c r="H24" s="3049"/>
      <c r="I24" s="3048">
        <v>1</v>
      </c>
      <c r="J24" s="3049"/>
      <c r="K24" s="3048">
        <v>1</v>
      </c>
      <c r="L24" s="3049"/>
      <c r="M24" s="3048">
        <v>1</v>
      </c>
      <c r="N24" s="3049"/>
      <c r="O24" s="3048">
        <v>1</v>
      </c>
      <c r="P24" s="3049"/>
      <c r="Q24" s="304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x14ac:dyDescent="0.2">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x14ac:dyDescent="0.2">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x14ac:dyDescent="0.2">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x14ac:dyDescent="0.2">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x14ac:dyDescent="0.2">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x14ac:dyDescent="0.2">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x14ac:dyDescent="0.2">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x14ac:dyDescent="0.2">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x14ac:dyDescent="0.2">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x14ac:dyDescent="0.2">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x14ac:dyDescent="0.2">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x14ac:dyDescent="0.2">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x14ac:dyDescent="0.2">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x14ac:dyDescent="0.2">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x14ac:dyDescent="0.2">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x14ac:dyDescent="0.2">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x14ac:dyDescent="0.2">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x14ac:dyDescent="0.2">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x14ac:dyDescent="0.2">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x14ac:dyDescent="0.2">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x14ac:dyDescent="0.2">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x14ac:dyDescent="0.2">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x14ac:dyDescent="0.2">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x14ac:dyDescent="0.2">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x14ac:dyDescent="0.2">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x14ac:dyDescent="0.2">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x14ac:dyDescent="0.2">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x14ac:dyDescent="0.2">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x14ac:dyDescent="0.2">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x14ac:dyDescent="0.2">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x14ac:dyDescent="0.2">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x14ac:dyDescent="0.2">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x14ac:dyDescent="0.2">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x14ac:dyDescent="0.2">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x14ac:dyDescent="0.2">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x14ac:dyDescent="0.2">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x14ac:dyDescent="0.2">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x14ac:dyDescent="0.2">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x14ac:dyDescent="0.2">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x14ac:dyDescent="0.2">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x14ac:dyDescent="0.2">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x14ac:dyDescent="0.2">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x14ac:dyDescent="0.2">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x14ac:dyDescent="0.2">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x14ac:dyDescent="0.2">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x14ac:dyDescent="0.2">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x14ac:dyDescent="0.2">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x14ac:dyDescent="0.2">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x14ac:dyDescent="0.2">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x14ac:dyDescent="0.2">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x14ac:dyDescent="0.2">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x14ac:dyDescent="0.2">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x14ac:dyDescent="0.2">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x14ac:dyDescent="0.2">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x14ac:dyDescent="0.2">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x14ac:dyDescent="0.2">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x14ac:dyDescent="0.2">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x14ac:dyDescent="0.2">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x14ac:dyDescent="0.2">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x14ac:dyDescent="0.2">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x14ac:dyDescent="0.2">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x14ac:dyDescent="0.2">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x14ac:dyDescent="0.2">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x14ac:dyDescent="0.2">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x14ac:dyDescent="0.2">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x14ac:dyDescent="0.2">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x14ac:dyDescent="0.2">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x14ac:dyDescent="0.2">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x14ac:dyDescent="0.2">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x14ac:dyDescent="0.2">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x14ac:dyDescent="0.2">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x14ac:dyDescent="0.2">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x14ac:dyDescent="0.2">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x14ac:dyDescent="0.2">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x14ac:dyDescent="0.2">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x14ac:dyDescent="0.2">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x14ac:dyDescent="0.2">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x14ac:dyDescent="0.2">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x14ac:dyDescent="0.2">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x14ac:dyDescent="0.2">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x14ac:dyDescent="0.2">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x14ac:dyDescent="0.2">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x14ac:dyDescent="0.2">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x14ac:dyDescent="0.2">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x14ac:dyDescent="0.2">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x14ac:dyDescent="0.2">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x14ac:dyDescent="0.2">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x14ac:dyDescent="0.2">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x14ac:dyDescent="0.2">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x14ac:dyDescent="0.2">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x14ac:dyDescent="0.2">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x14ac:dyDescent="0.2">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x14ac:dyDescent="0.2">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x14ac:dyDescent="0.2">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x14ac:dyDescent="0.2">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x14ac:dyDescent="0.2">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x14ac:dyDescent="0.2">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x14ac:dyDescent="0.2">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x14ac:dyDescent="0.2">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x14ac:dyDescent="0.2">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x14ac:dyDescent="0.2">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x14ac:dyDescent="0.2">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x14ac:dyDescent="0.2">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x14ac:dyDescent="0.2">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x14ac:dyDescent="0.2">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x14ac:dyDescent="0.2">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x14ac:dyDescent="0.2">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x14ac:dyDescent="0.2">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x14ac:dyDescent="0.2">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x14ac:dyDescent="0.2">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x14ac:dyDescent="0.2">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x14ac:dyDescent="0.2">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x14ac:dyDescent="0.2">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x14ac:dyDescent="0.2">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x14ac:dyDescent="0.2">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x14ac:dyDescent="0.2">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x14ac:dyDescent="0.2">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x14ac:dyDescent="0.2">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x14ac:dyDescent="0.2">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x14ac:dyDescent="0.2">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x14ac:dyDescent="0.2">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x14ac:dyDescent="0.2">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x14ac:dyDescent="0.2">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x14ac:dyDescent="0.2">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x14ac:dyDescent="0.2">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x14ac:dyDescent="0.2">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x14ac:dyDescent="0.2">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x14ac:dyDescent="0.2">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x14ac:dyDescent="0.2">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x14ac:dyDescent="0.2">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x14ac:dyDescent="0.2">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x14ac:dyDescent="0.2">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x14ac:dyDescent="0.2">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x14ac:dyDescent="0.2">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x14ac:dyDescent="0.2">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x14ac:dyDescent="0.2">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x14ac:dyDescent="0.2">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x14ac:dyDescent="0.2">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x14ac:dyDescent="0.2">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x14ac:dyDescent="0.2">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x14ac:dyDescent="0.2">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x14ac:dyDescent="0.2">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x14ac:dyDescent="0.2">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x14ac:dyDescent="0.2">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x14ac:dyDescent="0.2">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x14ac:dyDescent="0.2">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x14ac:dyDescent="0.2">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x14ac:dyDescent="0.2">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x14ac:dyDescent="0.2">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x14ac:dyDescent="0.2">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x14ac:dyDescent="0.2">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x14ac:dyDescent="0.2">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x14ac:dyDescent="0.2">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x14ac:dyDescent="0.2">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x14ac:dyDescent="0.2">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x14ac:dyDescent="0.2">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x14ac:dyDescent="0.2">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x14ac:dyDescent="0.2">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x14ac:dyDescent="0.2">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x14ac:dyDescent="0.2">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x14ac:dyDescent="0.2">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x14ac:dyDescent="0.2">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x14ac:dyDescent="0.2">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x14ac:dyDescent="0.2">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x14ac:dyDescent="0.2">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x14ac:dyDescent="0.2">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x14ac:dyDescent="0.2">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x14ac:dyDescent="0.2">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x14ac:dyDescent="0.2">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x14ac:dyDescent="0.2">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x14ac:dyDescent="0.2">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x14ac:dyDescent="0.2">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x14ac:dyDescent="0.2">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x14ac:dyDescent="0.2">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x14ac:dyDescent="0.2">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x14ac:dyDescent="0.2">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x14ac:dyDescent="0.2">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x14ac:dyDescent="0.2">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x14ac:dyDescent="0.2">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x14ac:dyDescent="0.2">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x14ac:dyDescent="0.2">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x14ac:dyDescent="0.2">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x14ac:dyDescent="0.2">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x14ac:dyDescent="0.2">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x14ac:dyDescent="0.2">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x14ac:dyDescent="0.2">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x14ac:dyDescent="0.2">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x14ac:dyDescent="0.2">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x14ac:dyDescent="0.2">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x14ac:dyDescent="0.2">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x14ac:dyDescent="0.2">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x14ac:dyDescent="0.2">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x14ac:dyDescent="0.2">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x14ac:dyDescent="0.2">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x14ac:dyDescent="0.2">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x14ac:dyDescent="0.2">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x14ac:dyDescent="0.2">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x14ac:dyDescent="0.2">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x14ac:dyDescent="0.2">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x14ac:dyDescent="0.2">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x14ac:dyDescent="0.2">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x14ac:dyDescent="0.2">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x14ac:dyDescent="0.2">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x14ac:dyDescent="0.2">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x14ac:dyDescent="0.2">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x14ac:dyDescent="0.2">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x14ac:dyDescent="0.2">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x14ac:dyDescent="0.2">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x14ac:dyDescent="0.2">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x14ac:dyDescent="0.2">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x14ac:dyDescent="0.2">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x14ac:dyDescent="0.2">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x14ac:dyDescent="0.2">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x14ac:dyDescent="0.2">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x14ac:dyDescent="0.2">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x14ac:dyDescent="0.2">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x14ac:dyDescent="0.2">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x14ac:dyDescent="0.2">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x14ac:dyDescent="0.2">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x14ac:dyDescent="0.2">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x14ac:dyDescent="0.2">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x14ac:dyDescent="0.2">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x14ac:dyDescent="0.2">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x14ac:dyDescent="0.2">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x14ac:dyDescent="0.2">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x14ac:dyDescent="0.2">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x14ac:dyDescent="0.2">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x14ac:dyDescent="0.2">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x14ac:dyDescent="0.2">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x14ac:dyDescent="0.2">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x14ac:dyDescent="0.2">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x14ac:dyDescent="0.2">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x14ac:dyDescent="0.2">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x14ac:dyDescent="0.2">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x14ac:dyDescent="0.2">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x14ac:dyDescent="0.2">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x14ac:dyDescent="0.2">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x14ac:dyDescent="0.2">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x14ac:dyDescent="0.2">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x14ac:dyDescent="0.2">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x14ac:dyDescent="0.2">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x14ac:dyDescent="0.2">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x14ac:dyDescent="0.2">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x14ac:dyDescent="0.2">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x14ac:dyDescent="0.2">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x14ac:dyDescent="0.2">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x14ac:dyDescent="0.2">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x14ac:dyDescent="0.2">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x14ac:dyDescent="0.2">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x14ac:dyDescent="0.2">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x14ac:dyDescent="0.2">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x14ac:dyDescent="0.2">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x14ac:dyDescent="0.2">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x14ac:dyDescent="0.2">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x14ac:dyDescent="0.2">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x14ac:dyDescent="0.2">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x14ac:dyDescent="0.2">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x14ac:dyDescent="0.2">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x14ac:dyDescent="0.2">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x14ac:dyDescent="0.2">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x14ac:dyDescent="0.2">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x14ac:dyDescent="0.2">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x14ac:dyDescent="0.2">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x14ac:dyDescent="0.2">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x14ac:dyDescent="0.2">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x14ac:dyDescent="0.2">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x14ac:dyDescent="0.2">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x14ac:dyDescent="0.2">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x14ac:dyDescent="0.2">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x14ac:dyDescent="0.2">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x14ac:dyDescent="0.2">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x14ac:dyDescent="0.2">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x14ac:dyDescent="0.2">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x14ac:dyDescent="0.2">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x14ac:dyDescent="0.2">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x14ac:dyDescent="0.2">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x14ac:dyDescent="0.2">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x14ac:dyDescent="0.2">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x14ac:dyDescent="0.2">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x14ac:dyDescent="0.2">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x14ac:dyDescent="0.2">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x14ac:dyDescent="0.2">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x14ac:dyDescent="0.2">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x14ac:dyDescent="0.2">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x14ac:dyDescent="0.2">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x14ac:dyDescent="0.2">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x14ac:dyDescent="0.2">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x14ac:dyDescent="0.2">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x14ac:dyDescent="0.2">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x14ac:dyDescent="0.2">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x14ac:dyDescent="0.2">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x14ac:dyDescent="0.2">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x14ac:dyDescent="0.2">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x14ac:dyDescent="0.2">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x14ac:dyDescent="0.2">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x14ac:dyDescent="0.2">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x14ac:dyDescent="0.2">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x14ac:dyDescent="0.2">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x14ac:dyDescent="0.2">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x14ac:dyDescent="0.2">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x14ac:dyDescent="0.2">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x14ac:dyDescent="0.2">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x14ac:dyDescent="0.2">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x14ac:dyDescent="0.2">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x14ac:dyDescent="0.2">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x14ac:dyDescent="0.2">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x14ac:dyDescent="0.2">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x14ac:dyDescent="0.2">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x14ac:dyDescent="0.2">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x14ac:dyDescent="0.2">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x14ac:dyDescent="0.2">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x14ac:dyDescent="0.2">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x14ac:dyDescent="0.2">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x14ac:dyDescent="0.2">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x14ac:dyDescent="0.2">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x14ac:dyDescent="0.2">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x14ac:dyDescent="0.2">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x14ac:dyDescent="0.2">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x14ac:dyDescent="0.2">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x14ac:dyDescent="0.2">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x14ac:dyDescent="0.2">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x14ac:dyDescent="0.2">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x14ac:dyDescent="0.2">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x14ac:dyDescent="0.2">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x14ac:dyDescent="0.2">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x14ac:dyDescent="0.2">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x14ac:dyDescent="0.2">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x14ac:dyDescent="0.2">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x14ac:dyDescent="0.2">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x14ac:dyDescent="0.2">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x14ac:dyDescent="0.2">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x14ac:dyDescent="0.2">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x14ac:dyDescent="0.2">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x14ac:dyDescent="0.2">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x14ac:dyDescent="0.2">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x14ac:dyDescent="0.2">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x14ac:dyDescent="0.2">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x14ac:dyDescent="0.2">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x14ac:dyDescent="0.2">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x14ac:dyDescent="0.2">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x14ac:dyDescent="0.2">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x14ac:dyDescent="0.2">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x14ac:dyDescent="0.2">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x14ac:dyDescent="0.2">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x14ac:dyDescent="0.2">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x14ac:dyDescent="0.2">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x14ac:dyDescent="0.2">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x14ac:dyDescent="0.2">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x14ac:dyDescent="0.2">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x14ac:dyDescent="0.2">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x14ac:dyDescent="0.2">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x14ac:dyDescent="0.2">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x14ac:dyDescent="0.2">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x14ac:dyDescent="0.2">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x14ac:dyDescent="0.2">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x14ac:dyDescent="0.2">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x14ac:dyDescent="0.2">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x14ac:dyDescent="0.2">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x14ac:dyDescent="0.2">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x14ac:dyDescent="0.2">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x14ac:dyDescent="0.2">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x14ac:dyDescent="0.2">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x14ac:dyDescent="0.2">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x14ac:dyDescent="0.2">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x14ac:dyDescent="0.2">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x14ac:dyDescent="0.2">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x14ac:dyDescent="0.2">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x14ac:dyDescent="0.2">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x14ac:dyDescent="0.2">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x14ac:dyDescent="0.2">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x14ac:dyDescent="0.2">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x14ac:dyDescent="0.2">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x14ac:dyDescent="0.2">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x14ac:dyDescent="0.2">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x14ac:dyDescent="0.2">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x14ac:dyDescent="0.2">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x14ac:dyDescent="0.2">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x14ac:dyDescent="0.2">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x14ac:dyDescent="0.2">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x14ac:dyDescent="0.2">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x14ac:dyDescent="0.2">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x14ac:dyDescent="0.2">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x14ac:dyDescent="0.2">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x14ac:dyDescent="0.2">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x14ac:dyDescent="0.2">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x14ac:dyDescent="0.2">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x14ac:dyDescent="0.2">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x14ac:dyDescent="0.2">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x14ac:dyDescent="0.2">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x14ac:dyDescent="0.2">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x14ac:dyDescent="0.2">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x14ac:dyDescent="0.2">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x14ac:dyDescent="0.2">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x14ac:dyDescent="0.2">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x14ac:dyDescent="0.2">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x14ac:dyDescent="0.2">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x14ac:dyDescent="0.2">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x14ac:dyDescent="0.2">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x14ac:dyDescent="0.2">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x14ac:dyDescent="0.2">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x14ac:dyDescent="0.2">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x14ac:dyDescent="0.2">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x14ac:dyDescent="0.2">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x14ac:dyDescent="0.2">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x14ac:dyDescent="0.2">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x14ac:dyDescent="0.2">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x14ac:dyDescent="0.2">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x14ac:dyDescent="0.2">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x14ac:dyDescent="0.2">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x14ac:dyDescent="0.2">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x14ac:dyDescent="0.2">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x14ac:dyDescent="0.2">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x14ac:dyDescent="0.2">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x14ac:dyDescent="0.2">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x14ac:dyDescent="0.2">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x14ac:dyDescent="0.2">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x14ac:dyDescent="0.2">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x14ac:dyDescent="0.2">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x14ac:dyDescent="0.2">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x14ac:dyDescent="0.2">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x14ac:dyDescent="0.2">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x14ac:dyDescent="0.2">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x14ac:dyDescent="0.2">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x14ac:dyDescent="0.2">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x14ac:dyDescent="0.2">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x14ac:dyDescent="0.2">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x14ac:dyDescent="0.2">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x14ac:dyDescent="0.2">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x14ac:dyDescent="0.2">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x14ac:dyDescent="0.2">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x14ac:dyDescent="0.2">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x14ac:dyDescent="0.2">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x14ac:dyDescent="0.2">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x14ac:dyDescent="0.2">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x14ac:dyDescent="0.2">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x14ac:dyDescent="0.2">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x14ac:dyDescent="0.2">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x14ac:dyDescent="0.2">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x14ac:dyDescent="0.2">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x14ac:dyDescent="0.2">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x14ac:dyDescent="0.2">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x14ac:dyDescent="0.2">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x14ac:dyDescent="0.2">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x14ac:dyDescent="0.2">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x14ac:dyDescent="0.2">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x14ac:dyDescent="0.2">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x14ac:dyDescent="0.2">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x14ac:dyDescent="0.2">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x14ac:dyDescent="0.2">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x14ac:dyDescent="0.2">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x14ac:dyDescent="0.2">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x14ac:dyDescent="0.2">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x14ac:dyDescent="0.2">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x14ac:dyDescent="0.2">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x14ac:dyDescent="0.2">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x14ac:dyDescent="0.2">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x14ac:dyDescent="0.2">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x14ac:dyDescent="0.2">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x14ac:dyDescent="0.2">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x14ac:dyDescent="0.2">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x14ac:dyDescent="0.2">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x14ac:dyDescent="0.2">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x14ac:dyDescent="0.2">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x14ac:dyDescent="0.2">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x14ac:dyDescent="0.2">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x14ac:dyDescent="0.2">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x14ac:dyDescent="0.2">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x14ac:dyDescent="0.2">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x14ac:dyDescent="0.2">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x14ac:dyDescent="0.2">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x14ac:dyDescent="0.2">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x14ac:dyDescent="0.2">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x14ac:dyDescent="0.2">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x14ac:dyDescent="0.2">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x14ac:dyDescent="0.2">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x14ac:dyDescent="0.2">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x14ac:dyDescent="0.2">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x14ac:dyDescent="0.2">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x14ac:dyDescent="0.2">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x14ac:dyDescent="0.2">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x14ac:dyDescent="0.2">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x14ac:dyDescent="0.2">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x14ac:dyDescent="0.2">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x14ac:dyDescent="0.2">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x14ac:dyDescent="0.2">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x14ac:dyDescent="0.2">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x14ac:dyDescent="0.2">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x14ac:dyDescent="0.2">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x14ac:dyDescent="0.2">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x14ac:dyDescent="0.2">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x14ac:dyDescent="0.2">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x14ac:dyDescent="0.2">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x14ac:dyDescent="0.2">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x14ac:dyDescent="0.2">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x14ac:dyDescent="0.2">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x14ac:dyDescent="0.2">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x14ac:dyDescent="0.2">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x14ac:dyDescent="0.2">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x14ac:dyDescent="0.2">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x14ac:dyDescent="0.2">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baseColWidth="10" defaultColWidth="8.33203125" defaultRowHeight="13" x14ac:dyDescent="0.2"/>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7" s="206" customFormat="1" ht="20" x14ac:dyDescent="0.2">
      <c r="A1" s="202" t="s">
        <v>83</v>
      </c>
      <c r="B1" s="203"/>
      <c r="C1" s="204"/>
      <c r="D1" s="204"/>
      <c r="E1" s="204"/>
      <c r="F1" s="204"/>
      <c r="G1" s="205"/>
    </row>
    <row r="2" spans="1:7" s="206" customFormat="1" ht="18" customHeight="1" x14ac:dyDescent="0.2">
      <c r="A2" s="207" t="s">
        <v>84</v>
      </c>
      <c r="B2" s="208">
        <f ca="1">C52</f>
        <v>31098</v>
      </c>
      <c r="C2" s="2" t="s">
        <v>133</v>
      </c>
      <c r="D2" s="205"/>
      <c r="E2" s="205"/>
      <c r="F2" s="205"/>
      <c r="G2" s="205"/>
    </row>
    <row r="3" spans="1:7" s="206" customFormat="1" ht="18" customHeight="1" thickBot="1" x14ac:dyDescent="0.25">
      <c r="A3" s="209" t="s">
        <v>85</v>
      </c>
      <c r="B3" s="210">
        <f ca="1">ROUND(B2*10000/'数据-汇总表'!E3,0)</f>
        <v>568218</v>
      </c>
      <c r="C3" s="2" t="s">
        <v>134</v>
      </c>
      <c r="D3" s="205"/>
      <c r="E3" s="205"/>
      <c r="F3" s="205"/>
      <c r="G3" s="205"/>
    </row>
    <row r="4" spans="1:7" s="214" customFormat="1" ht="16" x14ac:dyDescent="0.2">
      <c r="A4" s="211" t="s">
        <v>86</v>
      </c>
      <c r="B4" s="212"/>
      <c r="C4" s="212"/>
      <c r="D4" s="212"/>
      <c r="E4" s="212"/>
      <c r="F4" s="212"/>
      <c r="G4" s="213"/>
    </row>
    <row r="5" spans="1:7" s="220" customFormat="1" ht="13.5" customHeight="1" x14ac:dyDescent="0.15">
      <c r="A5" s="261" t="s">
        <v>1022</v>
      </c>
      <c r="B5" s="216" t="s">
        <v>87</v>
      </c>
      <c r="C5" s="217">
        <f>C6+C7+C8</f>
        <v>20610</v>
      </c>
      <c r="D5" s="217" t="s">
        <v>88</v>
      </c>
      <c r="E5" s="218" t="s">
        <v>89</v>
      </c>
      <c r="F5" s="218" t="s">
        <v>90</v>
      </c>
      <c r="G5" s="219"/>
    </row>
    <row r="6" spans="1:7" s="220" customFormat="1" ht="13.5" customHeight="1" x14ac:dyDescent="0.15">
      <c r="A6" s="886" t="s">
        <v>791</v>
      </c>
      <c r="B6" s="221" t="s">
        <v>91</v>
      </c>
      <c r="C6" s="222">
        <v>20000</v>
      </c>
      <c r="D6" s="223"/>
      <c r="E6" s="224"/>
      <c r="F6" s="224"/>
      <c r="G6" s="225"/>
    </row>
    <row r="7" spans="1:7" s="220" customFormat="1" ht="13.5" customHeight="1" x14ac:dyDescent="0.15">
      <c r="A7" s="886" t="s">
        <v>792</v>
      </c>
      <c r="B7" s="221" t="s">
        <v>57</v>
      </c>
      <c r="C7" s="226">
        <f>ROUND(C6*F7,0)</f>
        <v>610</v>
      </c>
      <c r="D7" s="226"/>
      <c r="E7" s="224"/>
      <c r="F7" s="227">
        <f>'数据-取费表'!B48+'数据-取费表'!B49</f>
        <v>3.0499999999999999E-2</v>
      </c>
      <c r="G7" s="225"/>
    </row>
    <row r="8" spans="1:7" s="229" customFormat="1" ht="14" x14ac:dyDescent="0.15">
      <c r="A8" s="886" t="s">
        <v>793</v>
      </c>
      <c r="B8" s="221" t="s">
        <v>92</v>
      </c>
      <c r="C8" s="226" t="str">
        <f>IF(G8="已包含在土地购买价格中","0",'数据-取费表'!B29)</f>
        <v>0</v>
      </c>
      <c r="D8" s="228"/>
      <c r="E8" s="226"/>
      <c r="F8" s="227"/>
      <c r="G8" s="1" t="s">
        <v>1116</v>
      </c>
    </row>
    <row r="9" spans="1:7" s="220" customFormat="1" ht="13.5" customHeight="1" x14ac:dyDescent="0.15">
      <c r="A9" s="887" t="s">
        <v>800</v>
      </c>
      <c r="B9" s="230" t="s">
        <v>93</v>
      </c>
      <c r="C9" s="231">
        <f>ROUND(D9*E9/10000,0)</f>
        <v>0</v>
      </c>
      <c r="D9" s="954">
        <f>'数据-汇总表'!E5</f>
        <v>0</v>
      </c>
      <c r="E9" s="231">
        <f>'数据-取费表'!B27</f>
        <v>160</v>
      </c>
      <c r="F9" s="227"/>
      <c r="G9" s="232"/>
    </row>
    <row r="10" spans="1:7" s="220" customFormat="1" ht="13.5" customHeight="1" x14ac:dyDescent="0.15">
      <c r="A10" s="887" t="s">
        <v>801</v>
      </c>
      <c r="B10" s="230" t="s">
        <v>94</v>
      </c>
      <c r="C10" s="231">
        <f>ROUND(D10*E10/10000,0)</f>
        <v>11</v>
      </c>
      <c r="D10" s="954">
        <f>'数据-汇总表'!E6</f>
        <v>547.29</v>
      </c>
      <c r="E10" s="231">
        <f>'数据-取费表'!B28</f>
        <v>200</v>
      </c>
      <c r="F10" s="227"/>
      <c r="G10" s="232"/>
    </row>
    <row r="11" spans="1:7" s="220" customFormat="1" ht="13.5" hidden="1" customHeight="1" x14ac:dyDescent="0.15">
      <c r="A11" s="233" t="s">
        <v>7</v>
      </c>
      <c r="B11" s="221" t="s">
        <v>95</v>
      </c>
      <c r="C11" s="217"/>
      <c r="D11" s="956"/>
      <c r="E11" s="224"/>
      <c r="F11" s="224"/>
      <c r="G11" s="225"/>
    </row>
    <row r="12" spans="1:7" s="220" customFormat="1" ht="13.5" hidden="1" customHeight="1" x14ac:dyDescent="0.15">
      <c r="A12" s="233" t="s">
        <v>8</v>
      </c>
      <c r="B12" s="221" t="s">
        <v>96</v>
      </c>
      <c r="C12" s="217">
        <v>0</v>
      </c>
      <c r="D12" s="956"/>
      <c r="E12" s="234"/>
      <c r="F12" s="227">
        <v>3.0499999999999999E-2</v>
      </c>
      <c r="G12" s="225"/>
    </row>
    <row r="13" spans="1:7" s="220" customFormat="1" ht="13.5" hidden="1" customHeight="1" x14ac:dyDescent="0.15">
      <c r="A13" s="233" t="s">
        <v>9</v>
      </c>
      <c r="B13" s="221" t="s">
        <v>97</v>
      </c>
      <c r="C13" s="217"/>
      <c r="D13" s="956"/>
      <c r="E13" s="224"/>
      <c r="F13" s="224"/>
      <c r="G13" s="225"/>
    </row>
    <row r="14" spans="1:7" s="220" customFormat="1" ht="13.5" hidden="1" customHeight="1" x14ac:dyDescent="0.15">
      <c r="A14" s="233" t="s">
        <v>10</v>
      </c>
      <c r="B14" s="221" t="s">
        <v>92</v>
      </c>
      <c r="C14" s="217"/>
      <c r="D14" s="956"/>
      <c r="E14" s="224"/>
      <c r="F14" s="224"/>
      <c r="G14" s="225" t="s">
        <v>98</v>
      </c>
    </row>
    <row r="15" spans="1:7" s="220" customFormat="1" ht="13.5" hidden="1" customHeight="1" x14ac:dyDescent="0.15">
      <c r="A15" s="233" t="s">
        <v>11</v>
      </c>
      <c r="B15" s="221" t="s">
        <v>99</v>
      </c>
      <c r="C15" s="226"/>
      <c r="D15" s="956"/>
      <c r="E15" s="224"/>
      <c r="F15" s="224"/>
      <c r="G15" s="225" t="s">
        <v>100</v>
      </c>
    </row>
    <row r="16" spans="1:7" s="220" customFormat="1" ht="13.5" hidden="1" customHeight="1" x14ac:dyDescent="0.15">
      <c r="A16" s="233" t="s">
        <v>12</v>
      </c>
      <c r="B16" s="221" t="s">
        <v>92</v>
      </c>
      <c r="C16" s="226"/>
      <c r="D16" s="956"/>
      <c r="E16" s="224"/>
      <c r="F16" s="224"/>
      <c r="G16" s="225"/>
    </row>
    <row r="17" spans="1:7" s="220" customFormat="1" ht="13.5" hidden="1" customHeight="1" x14ac:dyDescent="0.15">
      <c r="A17" s="233" t="s">
        <v>13</v>
      </c>
      <c r="B17" s="221" t="s">
        <v>101</v>
      </c>
      <c r="C17" s="235"/>
      <c r="D17" s="957"/>
      <c r="E17" s="235"/>
      <c r="F17" s="235"/>
      <c r="G17" s="225" t="s">
        <v>100</v>
      </c>
    </row>
    <row r="18" spans="1:7" s="220" customFormat="1" ht="13.5" hidden="1" customHeight="1" x14ac:dyDescent="0.15">
      <c r="A18" s="233" t="s">
        <v>14</v>
      </c>
      <c r="B18" s="221" t="s">
        <v>102</v>
      </c>
      <c r="C18" s="226">
        <v>0</v>
      </c>
      <c r="D18" s="956"/>
      <c r="E18" s="224"/>
      <c r="F18" s="227">
        <v>3.0499999999999999E-2</v>
      </c>
      <c r="G18" s="225" t="s">
        <v>103</v>
      </c>
    </row>
    <row r="19" spans="1:7" s="229" customFormat="1" ht="13.5" customHeight="1" x14ac:dyDescent="0.15">
      <c r="A19" s="885" t="s">
        <v>1023</v>
      </c>
      <c r="B19" s="216" t="s">
        <v>111</v>
      </c>
      <c r="C19" s="217">
        <f>IF(G19="已包含在土地取得成本中","0",ROUND(D19*E19/10000,0))</f>
        <v>11</v>
      </c>
      <c r="D19" s="958">
        <f>'数据-汇总表'!E3</f>
        <v>547.29</v>
      </c>
      <c r="E19" s="217">
        <f>'数据-取费表'!B31</f>
        <v>200</v>
      </c>
      <c r="F19" s="237"/>
      <c r="G19" s="1" t="s">
        <v>1042</v>
      </c>
    </row>
    <row r="20" spans="1:7" s="220" customFormat="1" ht="13.5" customHeight="1" x14ac:dyDescent="0.15">
      <c r="A20" s="885" t="s">
        <v>1025</v>
      </c>
      <c r="B20" s="216" t="s">
        <v>104</v>
      </c>
      <c r="C20" s="238">
        <f>ROUND((C5+C19)*F20,0)</f>
        <v>412</v>
      </c>
      <c r="D20" s="238"/>
      <c r="E20" s="238"/>
      <c r="F20" s="239">
        <f>'数据-取费表'!B37</f>
        <v>0.02</v>
      </c>
      <c r="G20" s="1199" t="s">
        <v>1036</v>
      </c>
    </row>
    <row r="21" spans="1:7" s="220" customFormat="1" ht="13.5" customHeight="1" x14ac:dyDescent="0.15">
      <c r="A21" s="885" t="s">
        <v>1027</v>
      </c>
      <c r="B21" s="216" t="s">
        <v>105</v>
      </c>
      <c r="C21" s="241">
        <f>F21</f>
        <v>0.02</v>
      </c>
      <c r="D21" s="242" t="s">
        <v>126</v>
      </c>
      <c r="E21" s="238"/>
      <c r="F21" s="239">
        <f>'数据-取费表'!B38</f>
        <v>0.02</v>
      </c>
      <c r="G21" s="240" t="s">
        <v>106</v>
      </c>
    </row>
    <row r="22" spans="1:7" s="220" customFormat="1" ht="13.5" customHeight="1" x14ac:dyDescent="0.15">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x14ac:dyDescent="0.15">
      <c r="A23" s="888" t="s">
        <v>794</v>
      </c>
      <c r="B23" s="221" t="s">
        <v>1029</v>
      </c>
      <c r="C23" s="1265">
        <f ca="1">ROUND(IF('数据-取费表'!B22&lt;=1,C5*F22*'数据-取费表'!B23,C5*(POWER((1+F22),'数据-取费表'!B23)-1)),0)</f>
        <v>2004</v>
      </c>
      <c r="D23" s="244"/>
      <c r="E23" s="244"/>
      <c r="F23" s="245"/>
      <c r="G23" s="246" t="s">
        <v>108</v>
      </c>
    </row>
    <row r="24" spans="1:7" s="220" customFormat="1" ht="13.5" customHeight="1" x14ac:dyDescent="0.15">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8" x14ac:dyDescent="0.15">
      <c r="A25" s="888" t="s">
        <v>793</v>
      </c>
      <c r="B25" s="221" t="s">
        <v>1026</v>
      </c>
      <c r="C25" s="1265">
        <f ca="1">ROUND(IF('数据-取费表'!B22&lt;=1,C20*F22*'数据-取费表'!B23/2,C20*(POWER((1+F22),'数据-取费表'!B23/2)-1)),0)</f>
        <v>20</v>
      </c>
      <c r="D25" s="244"/>
      <c r="E25" s="247"/>
      <c r="F25" s="245"/>
      <c r="G25" s="248" t="s">
        <v>110</v>
      </c>
    </row>
    <row r="26" spans="1:7" s="220" customFormat="1" ht="14" x14ac:dyDescent="0.15">
      <c r="A26" s="888" t="s">
        <v>795</v>
      </c>
      <c r="B26" s="221" t="s">
        <v>1028</v>
      </c>
      <c r="C26" s="244">
        <f ca="1">ROUND(IF('数据-取费表'!B22&lt;=1,F21*F22*'数据-取费表'!B23/2,F21*(POWER((1+F22),'数据-取费表'!B23/2)-1)),4)</f>
        <v>1E-3</v>
      </c>
      <c r="D26" s="244"/>
      <c r="E26" s="247"/>
      <c r="F26" s="245"/>
      <c r="G26" s="249"/>
    </row>
    <row r="27" spans="1:7" s="220" customFormat="1" ht="28" x14ac:dyDescent="0.15">
      <c r="A27" s="885" t="s">
        <v>787</v>
      </c>
      <c r="B27" s="250" t="s">
        <v>112</v>
      </c>
      <c r="C27" s="251">
        <f>C28</f>
        <v>5258</v>
      </c>
      <c r="D27" s="241">
        <f>C29</f>
        <v>5.0000000000000001E-3</v>
      </c>
      <c r="E27" s="242" t="s">
        <v>126</v>
      </c>
      <c r="F27" s="252">
        <f>'数据-取费表'!Q16</f>
        <v>0.25</v>
      </c>
      <c r="G27" s="253" t="s">
        <v>1037</v>
      </c>
    </row>
    <row r="28" spans="1:7" s="220" customFormat="1" ht="13.5" customHeight="1" x14ac:dyDescent="0.15">
      <c r="A28" s="888" t="s">
        <v>794</v>
      </c>
      <c r="B28" s="254" t="s">
        <v>1030</v>
      </c>
      <c r="C28" s="255">
        <f>ROUND((C5+C19+C20)*F27*'数据-取费表'!B21/'数据-取费表'!B20,0)</f>
        <v>5258</v>
      </c>
      <c r="D28" s="241"/>
      <c r="E28" s="242"/>
      <c r="F28" s="252"/>
      <c r="G28" s="253"/>
    </row>
    <row r="29" spans="1:7" s="220" customFormat="1" ht="13.5" customHeight="1" x14ac:dyDescent="0.15">
      <c r="A29" s="888" t="s">
        <v>792</v>
      </c>
      <c r="B29" s="254" t="s">
        <v>1031</v>
      </c>
      <c r="C29" s="244">
        <f>ROUND(C21*F27*'数据-取费表'!B21/'数据-取费表'!B20,4)</f>
        <v>5.0000000000000001E-3</v>
      </c>
      <c r="D29" s="241"/>
      <c r="E29" s="242"/>
      <c r="F29" s="252"/>
      <c r="G29" s="253"/>
    </row>
    <row r="30" spans="1:7" s="220" customFormat="1" ht="13.5" customHeight="1" x14ac:dyDescent="0.15">
      <c r="A30" s="885" t="s">
        <v>788</v>
      </c>
      <c r="B30" s="216" t="s">
        <v>58</v>
      </c>
      <c r="C30" s="241">
        <f>F30</f>
        <v>5.6000000000000001E-2</v>
      </c>
      <c r="D30" s="242" t="s">
        <v>127</v>
      </c>
      <c r="E30" s="247"/>
      <c r="F30" s="243">
        <f>'数据-取费表'!B41</f>
        <v>5.6000000000000001E-2</v>
      </c>
      <c r="G30" s="240" t="s">
        <v>113</v>
      </c>
    </row>
    <row r="31" spans="1:7" ht="16.5" customHeight="1" x14ac:dyDescent="0.2">
      <c r="A31" s="215">
        <v>1</v>
      </c>
      <c r="B31" s="216" t="s">
        <v>128</v>
      </c>
      <c r="C31" s="217">
        <f ca="1">ROUND((C5+C19+C20+C22+C27)/(1-C21-D22-D27-C30/(1+'数据-取费表'!B42)),0)</f>
        <v>30756</v>
      </c>
      <c r="D31" s="236"/>
      <c r="E31" s="217"/>
      <c r="F31" s="256"/>
      <c r="G31" s="240" t="s">
        <v>1038</v>
      </c>
    </row>
    <row r="32" spans="1:7" s="214" customFormat="1" ht="16" x14ac:dyDescent="0.2">
      <c r="A32" s="258" t="s">
        <v>114</v>
      </c>
      <c r="B32" s="259"/>
      <c r="C32" s="259"/>
      <c r="D32" s="259"/>
      <c r="E32" s="259"/>
      <c r="F32" s="259"/>
      <c r="G32" s="260"/>
    </row>
    <row r="33" spans="1:7" s="220" customFormat="1" ht="13.5" customHeight="1" x14ac:dyDescent="0.15">
      <c r="A33" s="261" t="s">
        <v>782</v>
      </c>
      <c r="B33" s="216" t="s">
        <v>115</v>
      </c>
      <c r="C33" s="262">
        <f>SUM(C34:C38)</f>
        <v>297</v>
      </c>
      <c r="D33" s="238"/>
      <c r="E33" s="218"/>
      <c r="F33" s="247"/>
      <c r="G33" s="240"/>
    </row>
    <row r="34" spans="1:7" s="264" customFormat="1" ht="13.5" customHeight="1" x14ac:dyDescent="0.15">
      <c r="A34" s="888" t="s">
        <v>794</v>
      </c>
      <c r="B34" s="221" t="s">
        <v>59</v>
      </c>
      <c r="C34" s="226">
        <f>IF(F34=100%,'数据-取费表'!M16-SUMIF('数据-取费表'!C:C,"公共配套",'数据-取费表'!M:M),'数据-取费表'!O16-SUMIF('数据-取费表'!C:C,"公共配套",'数据-取费表'!O:O))</f>
        <v>274</v>
      </c>
      <c r="D34" s="223"/>
      <c r="E34" s="226"/>
      <c r="F34" s="263">
        <f>IF('数据-取费表'!B24=0,1,'数据-取费表'!N16)</f>
        <v>1</v>
      </c>
      <c r="G34" s="225" t="s">
        <v>116</v>
      </c>
    </row>
    <row r="35" spans="1:7" ht="13.5" customHeight="1" x14ac:dyDescent="0.15">
      <c r="A35" s="888" t="s">
        <v>796</v>
      </c>
      <c r="B35" s="221" t="s">
        <v>60</v>
      </c>
      <c r="C35" s="226">
        <f>ROUND(C34*F35,0)</f>
        <v>8</v>
      </c>
      <c r="D35" s="226"/>
      <c r="E35" s="226"/>
      <c r="F35" s="265">
        <f>'数据-取费表'!B33</f>
        <v>0.03</v>
      </c>
      <c r="G35" s="225" t="s">
        <v>117</v>
      </c>
    </row>
    <row r="36" spans="1:7" ht="28" x14ac:dyDescent="0.15">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0.1</v>
      </c>
      <c r="G36" s="266" t="s">
        <v>62</v>
      </c>
    </row>
    <row r="37" spans="1:7" s="264" customFormat="1" ht="13.5" customHeight="1" x14ac:dyDescent="0.15">
      <c r="A37" s="888" t="s">
        <v>798</v>
      </c>
      <c r="B37" s="221" t="s">
        <v>118</v>
      </c>
      <c r="C37" s="255">
        <f>ROUND(E37*D37*F34/10000,0)</f>
        <v>11</v>
      </c>
      <c r="D37" s="223">
        <f>'数据-汇总表'!E3</f>
        <v>547.29</v>
      </c>
      <c r="E37" s="255">
        <f>'数据-取费表'!B35</f>
        <v>200</v>
      </c>
      <c r="F37" s="265"/>
      <c r="G37" s="267" t="s">
        <v>119</v>
      </c>
    </row>
    <row r="38" spans="1:7" ht="13.5" customHeight="1" x14ac:dyDescent="0.15">
      <c r="A38" s="888" t="s">
        <v>799</v>
      </c>
      <c r="B38" s="221" t="s">
        <v>63</v>
      </c>
      <c r="C38" s="226">
        <f>ROUND(C34*F38,0)</f>
        <v>4</v>
      </c>
      <c r="D38" s="226"/>
      <c r="E38" s="226"/>
      <c r="F38" s="265">
        <f>'数据-取费表'!B36</f>
        <v>1.4999999999999999E-2</v>
      </c>
      <c r="G38" s="225" t="s">
        <v>117</v>
      </c>
    </row>
    <row r="39" spans="1:7" s="220" customFormat="1" ht="13.5" customHeight="1" x14ac:dyDescent="0.15">
      <c r="A39" s="885" t="s">
        <v>783</v>
      </c>
      <c r="B39" s="216" t="s">
        <v>104</v>
      </c>
      <c r="C39" s="238">
        <f>ROUND(C33*F20,0)</f>
        <v>6</v>
      </c>
      <c r="D39" s="238"/>
      <c r="E39" s="238"/>
      <c r="F39" s="239"/>
      <c r="G39" s="1199" t="s">
        <v>1039</v>
      </c>
    </row>
    <row r="40" spans="1:7" s="220" customFormat="1" ht="13.5" customHeight="1" x14ac:dyDescent="0.15">
      <c r="A40" s="885" t="s">
        <v>784</v>
      </c>
      <c r="B40" s="216" t="s">
        <v>105</v>
      </c>
      <c r="C40" s="268">
        <f>F21</f>
        <v>0.02</v>
      </c>
      <c r="D40" s="242" t="s">
        <v>129</v>
      </c>
      <c r="E40" s="238"/>
      <c r="F40" s="239"/>
      <c r="G40" s="240" t="s">
        <v>120</v>
      </c>
    </row>
    <row r="41" spans="1:7" s="220" customFormat="1" ht="13.5" customHeight="1" x14ac:dyDescent="0.15">
      <c r="A41" s="885" t="s">
        <v>785</v>
      </c>
      <c r="B41" s="216" t="s">
        <v>107</v>
      </c>
      <c r="C41" s="238">
        <f ca="1">ROUND(SUM(C42:C43),0)</f>
        <v>14</v>
      </c>
      <c r="D41" s="241">
        <f ca="1">C44</f>
        <v>1E-3</v>
      </c>
      <c r="E41" s="242" t="s">
        <v>129</v>
      </c>
      <c r="F41" s="243"/>
      <c r="G41" s="1199" t="str">
        <f>IF('数据-取费表'!B22&lt;=1,"单利计息","复利计息")</f>
        <v>复利计息</v>
      </c>
    </row>
    <row r="42" spans="1:7" ht="13.5" customHeight="1" x14ac:dyDescent="0.15">
      <c r="A42" s="888" t="s">
        <v>794</v>
      </c>
      <c r="B42" s="221" t="s">
        <v>1029</v>
      </c>
      <c r="C42" s="244">
        <f ca="1">ROUND(IF('数据-取费表'!B22&lt;=1,C33*F22*'数据-取费表'!B21/2,C33*(POWER((1+F22),'数据-取费表'!B21/2)-1)),0)</f>
        <v>14</v>
      </c>
      <c r="D42" s="244"/>
      <c r="E42" s="244"/>
      <c r="F42" s="245"/>
      <c r="G42" s="3407" t="s">
        <v>121</v>
      </c>
    </row>
    <row r="43" spans="1:7" ht="13.5" customHeight="1" x14ac:dyDescent="0.15">
      <c r="A43" s="888" t="s">
        <v>792</v>
      </c>
      <c r="B43" s="221" t="s">
        <v>1032</v>
      </c>
      <c r="C43" s="244">
        <f ca="1">ROUND(IF('数据-取费表'!B22&lt;=1,C39*F22*'数据-取费表'!B21/2,C39*(POWER((1+F22),'数据-取费表'!B21/2)-1)),0)</f>
        <v>0</v>
      </c>
      <c r="D43" s="244"/>
      <c r="E43" s="244"/>
      <c r="F43" s="245"/>
      <c r="G43" s="3408"/>
    </row>
    <row r="44" spans="1:7" ht="13.5" customHeight="1" x14ac:dyDescent="0.15">
      <c r="A44" s="888" t="s">
        <v>793</v>
      </c>
      <c r="B44" s="221" t="s">
        <v>1034</v>
      </c>
      <c r="C44" s="244">
        <f ca="1">ROUND(IF('数据-取费表'!B22&lt;=1,C40*F22*'数据-取费表'!B21/2,C40*(POWER((1+F22),'数据-取费表'!B21/2)-1)),4)</f>
        <v>1E-3</v>
      </c>
      <c r="D44" s="244"/>
      <c r="E44" s="244"/>
      <c r="F44" s="245"/>
      <c r="G44" s="3409"/>
    </row>
    <row r="45" spans="1:7" s="220" customFormat="1" ht="13.5" customHeight="1" x14ac:dyDescent="0.15">
      <c r="A45" s="885" t="s">
        <v>786</v>
      </c>
      <c r="B45" s="250" t="s">
        <v>112</v>
      </c>
      <c r="C45" s="251">
        <f>C46</f>
        <v>76</v>
      </c>
      <c r="D45" s="241">
        <f>C47</f>
        <v>5.0000000000000001E-3</v>
      </c>
      <c r="E45" s="242" t="s">
        <v>129</v>
      </c>
      <c r="F45" s="252"/>
      <c r="G45" s="253" t="s">
        <v>1040</v>
      </c>
    </row>
    <row r="46" spans="1:7" s="220" customFormat="1" ht="13.5" customHeight="1" x14ac:dyDescent="0.15">
      <c r="A46" s="888" t="s">
        <v>794</v>
      </c>
      <c r="B46" s="254" t="s">
        <v>1033</v>
      </c>
      <c r="C46" s="255">
        <f>ROUND((C33+C39)*F27,0)</f>
        <v>76</v>
      </c>
      <c r="D46" s="269"/>
      <c r="E46" s="242"/>
      <c r="F46" s="252"/>
      <c r="G46" s="253"/>
    </row>
    <row r="47" spans="1:7" s="220" customFormat="1" ht="13.5" customHeight="1" x14ac:dyDescent="0.15">
      <c r="A47" s="888" t="s">
        <v>792</v>
      </c>
      <c r="B47" s="254" t="s">
        <v>1035</v>
      </c>
      <c r="C47" s="244">
        <f>ROUND(C40*F27,4)</f>
        <v>5.0000000000000001E-3</v>
      </c>
      <c r="D47" s="269"/>
      <c r="E47" s="242"/>
      <c r="F47" s="252"/>
      <c r="G47" s="253"/>
    </row>
    <row r="48" spans="1:7" s="220" customFormat="1" ht="13.5" customHeight="1" x14ac:dyDescent="0.15">
      <c r="A48" s="885" t="s">
        <v>787</v>
      </c>
      <c r="B48" s="216" t="s">
        <v>122</v>
      </c>
      <c r="C48" s="268">
        <f>F30</f>
        <v>5.6000000000000001E-2</v>
      </c>
      <c r="D48" s="242" t="s">
        <v>130</v>
      </c>
      <c r="E48" s="238"/>
      <c r="F48" s="243"/>
      <c r="G48" s="240" t="s">
        <v>123</v>
      </c>
    </row>
    <row r="49" spans="1:7" ht="16.5" customHeight="1" x14ac:dyDescent="0.2">
      <c r="A49" s="885" t="s">
        <v>788</v>
      </c>
      <c r="B49" s="216" t="s">
        <v>131</v>
      </c>
      <c r="C49" s="238">
        <f ca="1">ROUND((C33+C39+C41+C45)/(1-C40-D41-D45-C48/(1+'数据-取费表'!B42)),0)</f>
        <v>427</v>
      </c>
      <c r="D49" s="238"/>
      <c r="E49" s="238"/>
      <c r="F49" s="270"/>
      <c r="G49" s="240" t="s">
        <v>1041</v>
      </c>
    </row>
    <row r="50" spans="1:7" s="264" customFormat="1" ht="28" x14ac:dyDescent="0.15">
      <c r="A50" s="885" t="s">
        <v>789</v>
      </c>
      <c r="B50" s="216" t="s">
        <v>124</v>
      </c>
      <c r="C50" s="238"/>
      <c r="D50" s="238"/>
      <c r="E50" s="238"/>
      <c r="F50" s="270">
        <f>IF('数据-取费表'!B24=0,'数据-取费表'!N16,1)</f>
        <v>0.8</v>
      </c>
      <c r="G50" s="253" t="s">
        <v>125</v>
      </c>
    </row>
    <row r="51" spans="1:7" ht="16.5" customHeight="1" x14ac:dyDescent="0.2">
      <c r="A51" s="885" t="s">
        <v>790</v>
      </c>
      <c r="B51" s="216" t="s">
        <v>132</v>
      </c>
      <c r="C51" s="238">
        <f ca="1">ROUND(C49*F50,0)</f>
        <v>342</v>
      </c>
      <c r="D51" s="238"/>
      <c r="E51" s="238"/>
      <c r="F51" s="270"/>
      <c r="G51" s="240" t="s">
        <v>64</v>
      </c>
    </row>
    <row r="52" spans="1:7" s="214" customFormat="1" ht="17" thickBot="1" x14ac:dyDescent="0.25">
      <c r="A52" s="271" t="s">
        <v>65</v>
      </c>
      <c r="B52" s="272"/>
      <c r="C52" s="273">
        <f ca="1">C31+C51</f>
        <v>31098</v>
      </c>
      <c r="D52" s="272"/>
      <c r="E52" s="272"/>
      <c r="F52" s="272"/>
      <c r="G52" s="274"/>
    </row>
    <row r="55" spans="1:7" ht="16" x14ac:dyDescent="0.15">
      <c r="B55" s="276" t="s">
        <v>66</v>
      </c>
      <c r="C55" s="277"/>
    </row>
    <row r="56" spans="1:7" ht="14" x14ac:dyDescent="0.15">
      <c r="B56" s="279" t="s">
        <v>67</v>
      </c>
      <c r="C56" s="280">
        <f ca="1">ROUND(C51/C52,3)</f>
        <v>1.0999999999999999E-2</v>
      </c>
    </row>
    <row r="57" spans="1:7" ht="14" x14ac:dyDescent="0.15">
      <c r="B57" s="279" t="s">
        <v>68</v>
      </c>
      <c r="C57" s="281">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dimension ref="A1:S344"/>
  <sheetViews>
    <sheetView workbookViewId="0">
      <selection activeCell="G224" sqref="G224"/>
    </sheetView>
  </sheetViews>
  <sheetFormatPr baseColWidth="10" defaultColWidth="9" defaultRowHeight="15" x14ac:dyDescent="0.2"/>
  <cols>
    <col min="1" max="1" width="12.6640625" style="794" customWidth="1"/>
    <col min="2" max="5" width="10.1640625" style="752" customWidth="1"/>
    <col min="6" max="6" width="9" style="752"/>
    <col min="7" max="8" width="9" style="767"/>
    <col min="9" max="16384" width="9" style="752"/>
  </cols>
  <sheetData>
    <row r="1" spans="1:19" x14ac:dyDescent="0.2">
      <c r="A1" s="3611" t="s">
        <v>156</v>
      </c>
      <c r="B1" s="3611"/>
      <c r="C1" s="3611"/>
      <c r="D1" s="3611"/>
      <c r="E1" s="3611"/>
      <c r="F1" s="361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6" thickBot="1" x14ac:dyDescent="0.25">
      <c r="A2" s="3612" t="s">
        <v>169</v>
      </c>
      <c r="B2" s="3612"/>
      <c r="C2" s="3612"/>
      <c r="D2" s="3612"/>
      <c r="E2" s="3612"/>
      <c r="F2" s="361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x14ac:dyDescent="0.2">
      <c r="A3" s="361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x14ac:dyDescent="0.25">
      <c r="A4" s="361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x14ac:dyDescent="0.25">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x14ac:dyDescent="0.25">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x14ac:dyDescent="0.25">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x14ac:dyDescent="0.25">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x14ac:dyDescent="0.25">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x14ac:dyDescent="0.25">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x14ac:dyDescent="0.25">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x14ac:dyDescent="0.25">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x14ac:dyDescent="0.25">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x14ac:dyDescent="0.25">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x14ac:dyDescent="0.25">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x14ac:dyDescent="0.25">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x14ac:dyDescent="0.25">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x14ac:dyDescent="0.25">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x14ac:dyDescent="0.25">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x14ac:dyDescent="0.25">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x14ac:dyDescent="0.25">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x14ac:dyDescent="0.25">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x14ac:dyDescent="0.25">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x14ac:dyDescent="0.25">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x14ac:dyDescent="0.25">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x14ac:dyDescent="0.25">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x14ac:dyDescent="0.25">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x14ac:dyDescent="0.25">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x14ac:dyDescent="0.25">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x14ac:dyDescent="0.25">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x14ac:dyDescent="0.25">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x14ac:dyDescent="0.25">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x14ac:dyDescent="0.25">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x14ac:dyDescent="0.25">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x14ac:dyDescent="0.25">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x14ac:dyDescent="0.25">
      <c r="A36" s="779" t="s">
        <v>442</v>
      </c>
      <c r="B36" s="783" t="s">
        <v>260</v>
      </c>
      <c r="C36" s="773">
        <v>19750</v>
      </c>
      <c r="D36" s="773">
        <v>19790</v>
      </c>
      <c r="E36" s="773">
        <v>18510</v>
      </c>
      <c r="F36" s="787">
        <v>6520</v>
      </c>
      <c r="M36" s="773" t="s">
        <v>478</v>
      </c>
      <c r="N36" s="773" t="s">
        <v>479</v>
      </c>
      <c r="O36" s="773" t="s">
        <v>480</v>
      </c>
      <c r="P36" s="773" t="s">
        <v>481</v>
      </c>
    </row>
    <row r="37" spans="1:16" ht="14.25" customHeight="1" thickBot="1" x14ac:dyDescent="0.25">
      <c r="A37" s="779" t="s">
        <v>442</v>
      </c>
      <c r="B37" s="783" t="s">
        <v>272</v>
      </c>
      <c r="C37" s="773">
        <v>22380</v>
      </c>
      <c r="D37" s="773">
        <v>18530</v>
      </c>
      <c r="E37" s="773">
        <v>17930</v>
      </c>
      <c r="F37" s="787">
        <v>6270</v>
      </c>
      <c r="M37" s="773" t="s">
        <v>482</v>
      </c>
      <c r="N37" s="773" t="s">
        <v>483</v>
      </c>
      <c r="O37" s="773" t="s">
        <v>484</v>
      </c>
      <c r="P37" s="773" t="s">
        <v>485</v>
      </c>
    </row>
    <row r="38" spans="1:16" ht="14.25" customHeight="1" thickBot="1" x14ac:dyDescent="0.25">
      <c r="A38" s="779" t="s">
        <v>442</v>
      </c>
      <c r="B38" s="783" t="s">
        <v>282</v>
      </c>
      <c r="C38" s="773">
        <v>20200</v>
      </c>
      <c r="D38" s="773">
        <v>20070</v>
      </c>
      <c r="E38" s="773">
        <v>19950</v>
      </c>
      <c r="F38" s="787"/>
      <c r="M38" s="773" t="s">
        <v>486</v>
      </c>
      <c r="N38" s="773" t="s">
        <v>487</v>
      </c>
      <c r="O38" s="773" t="s">
        <v>488</v>
      </c>
      <c r="P38" s="773" t="s">
        <v>489</v>
      </c>
    </row>
    <row r="39" spans="1:16" ht="14.25" customHeight="1" thickBot="1" x14ac:dyDescent="0.25">
      <c r="A39" s="779" t="s">
        <v>442</v>
      </c>
      <c r="B39" s="783" t="s">
        <v>292</v>
      </c>
      <c r="C39" s="773">
        <v>19300</v>
      </c>
      <c r="D39" s="773">
        <v>20360</v>
      </c>
      <c r="E39" s="773">
        <v>20230</v>
      </c>
      <c r="F39" s="787"/>
      <c r="M39" s="773" t="s">
        <v>490</v>
      </c>
      <c r="N39" s="773" t="s">
        <v>491</v>
      </c>
      <c r="O39" s="773" t="s">
        <v>492</v>
      </c>
      <c r="P39" s="773" t="s">
        <v>493</v>
      </c>
    </row>
    <row r="40" spans="1:16" ht="14.25" customHeight="1" thickBot="1" x14ac:dyDescent="0.25">
      <c r="A40" s="779" t="s">
        <v>442</v>
      </c>
      <c r="B40" s="783" t="s">
        <v>302</v>
      </c>
      <c r="C40" s="773">
        <v>20210</v>
      </c>
      <c r="D40" s="773">
        <v>19060</v>
      </c>
      <c r="E40" s="773">
        <v>18890</v>
      </c>
      <c r="F40" s="787"/>
      <c r="M40" s="773" t="s">
        <v>494</v>
      </c>
      <c r="N40" s="773" t="s">
        <v>495</v>
      </c>
      <c r="O40" s="773" t="s">
        <v>496</v>
      </c>
      <c r="P40" s="773" t="s">
        <v>497</v>
      </c>
    </row>
    <row r="41" spans="1:16" ht="14.25" customHeight="1" thickBot="1" x14ac:dyDescent="0.25">
      <c r="A41" s="779" t="s">
        <v>442</v>
      </c>
      <c r="B41" s="783" t="s">
        <v>312</v>
      </c>
      <c r="C41" s="773">
        <v>20560</v>
      </c>
      <c r="D41" s="773">
        <v>21040</v>
      </c>
      <c r="E41" s="773">
        <v>20740</v>
      </c>
      <c r="F41" s="787"/>
      <c r="M41" s="783" t="s">
        <v>498</v>
      </c>
      <c r="N41" s="783" t="s">
        <v>499</v>
      </c>
      <c r="P41" s="783" t="s">
        <v>500</v>
      </c>
    </row>
    <row r="42" spans="1:16" ht="14.25" customHeight="1" thickBot="1" x14ac:dyDescent="0.25">
      <c r="A42" s="779" t="s">
        <v>442</v>
      </c>
      <c r="B42" s="783" t="s">
        <v>323</v>
      </c>
      <c r="C42" s="773">
        <v>19280</v>
      </c>
      <c r="D42" s="773">
        <v>22940</v>
      </c>
      <c r="E42" s="773">
        <v>22500</v>
      </c>
      <c r="F42" s="787"/>
      <c r="M42" s="773" t="s">
        <v>501</v>
      </c>
      <c r="N42" s="773" t="s">
        <v>502</v>
      </c>
      <c r="P42" s="773" t="s">
        <v>503</v>
      </c>
    </row>
    <row r="43" spans="1:16" ht="14.25" customHeight="1" thickBot="1" x14ac:dyDescent="0.25">
      <c r="A43" s="779" t="s">
        <v>442</v>
      </c>
      <c r="B43" s="783" t="s">
        <v>334</v>
      </c>
      <c r="C43" s="773">
        <v>21520</v>
      </c>
      <c r="D43" s="773">
        <v>19230</v>
      </c>
      <c r="E43" s="773">
        <v>18540</v>
      </c>
      <c r="F43" s="787"/>
      <c r="M43" s="773" t="s">
        <v>504</v>
      </c>
      <c r="N43" s="773" t="s">
        <v>505</v>
      </c>
      <c r="P43" s="773" t="s">
        <v>506</v>
      </c>
    </row>
    <row r="44" spans="1:16" ht="14.25" customHeight="1" thickBot="1" x14ac:dyDescent="0.25">
      <c r="A44" s="779" t="s">
        <v>442</v>
      </c>
      <c r="B44" s="783" t="s">
        <v>344</v>
      </c>
      <c r="C44" s="773">
        <v>23260</v>
      </c>
      <c r="D44" s="773">
        <v>21180</v>
      </c>
      <c r="E44" s="773">
        <v>20730</v>
      </c>
      <c r="F44" s="787"/>
      <c r="M44" s="773" t="s">
        <v>507</v>
      </c>
      <c r="N44" s="773" t="s">
        <v>508</v>
      </c>
      <c r="P44" s="773" t="s">
        <v>509</v>
      </c>
    </row>
    <row r="45" spans="1:16" ht="14.25" customHeight="1" thickBot="1" x14ac:dyDescent="0.25">
      <c r="A45" s="779" t="s">
        <v>442</v>
      </c>
      <c r="B45" s="783" t="s">
        <v>354</v>
      </c>
      <c r="C45" s="773">
        <v>19610</v>
      </c>
      <c r="D45" s="773">
        <v>18090</v>
      </c>
      <c r="E45" s="773">
        <v>17970</v>
      </c>
      <c r="F45" s="787"/>
      <c r="M45" s="773" t="s">
        <v>510</v>
      </c>
      <c r="N45" s="773" t="s">
        <v>511</v>
      </c>
      <c r="P45" s="773" t="s">
        <v>512</v>
      </c>
    </row>
    <row r="46" spans="1:16" ht="14.25" customHeight="1" thickBot="1" x14ac:dyDescent="0.25">
      <c r="A46" s="779" t="s">
        <v>442</v>
      </c>
      <c r="B46" s="783" t="s">
        <v>364</v>
      </c>
      <c r="C46" s="773">
        <v>21660</v>
      </c>
      <c r="D46" s="773">
        <v>19190</v>
      </c>
      <c r="E46" s="773">
        <v>19790</v>
      </c>
      <c r="F46" s="787"/>
      <c r="M46" s="773" t="s">
        <v>513</v>
      </c>
      <c r="N46" s="773" t="s">
        <v>514</v>
      </c>
      <c r="P46" s="773" t="s">
        <v>515</v>
      </c>
    </row>
    <row r="47" spans="1:16" ht="14.25" customHeight="1" thickBot="1" x14ac:dyDescent="0.25">
      <c r="A47" s="779" t="s">
        <v>442</v>
      </c>
      <c r="B47" s="783" t="s">
        <v>374</v>
      </c>
      <c r="C47" s="773">
        <v>18220</v>
      </c>
      <c r="D47" s="773"/>
      <c r="E47" s="773">
        <v>17220</v>
      </c>
      <c r="F47" s="787"/>
      <c r="M47" s="773" t="s">
        <v>516</v>
      </c>
      <c r="N47" s="773" t="s">
        <v>517</v>
      </c>
    </row>
    <row r="48" spans="1:16" ht="14.25" customHeight="1" thickBot="1" x14ac:dyDescent="0.25">
      <c r="A48" s="779" t="s">
        <v>442</v>
      </c>
      <c r="B48" s="784" t="s">
        <v>383</v>
      </c>
      <c r="C48" s="785">
        <v>19430</v>
      </c>
      <c r="D48" s="785"/>
      <c r="E48" s="785">
        <v>17830</v>
      </c>
      <c r="F48" s="790"/>
      <c r="M48" s="773" t="s">
        <v>518</v>
      </c>
      <c r="N48" s="773" t="s">
        <v>519</v>
      </c>
    </row>
    <row r="49" spans="1:14" ht="14.25" customHeight="1" thickBot="1" x14ac:dyDescent="0.25">
      <c r="A49" s="779" t="s">
        <v>137</v>
      </c>
      <c r="B49" s="780" t="s">
        <v>520</v>
      </c>
      <c r="C49" s="780">
        <v>17090</v>
      </c>
      <c r="D49" s="780">
        <v>16950</v>
      </c>
      <c r="E49" s="780">
        <v>16310</v>
      </c>
      <c r="F49" s="781">
        <v>4540</v>
      </c>
      <c r="M49" s="773" t="s">
        <v>521</v>
      </c>
      <c r="N49" s="773" t="s">
        <v>522</v>
      </c>
    </row>
    <row r="50" spans="1:14" ht="14.25" customHeight="1" thickBot="1" x14ac:dyDescent="0.25">
      <c r="A50" s="779" t="s">
        <v>137</v>
      </c>
      <c r="B50" s="773" t="s">
        <v>190</v>
      </c>
      <c r="C50" s="773">
        <v>19040</v>
      </c>
      <c r="D50" s="773">
        <v>16960</v>
      </c>
      <c r="E50" s="773">
        <v>14800</v>
      </c>
      <c r="F50" s="787">
        <v>3940</v>
      </c>
    </row>
    <row r="51" spans="1:14" ht="14.25" customHeight="1" thickBot="1" x14ac:dyDescent="0.25">
      <c r="A51" s="779" t="s">
        <v>137</v>
      </c>
      <c r="B51" s="773" t="s">
        <v>203</v>
      </c>
      <c r="C51" s="773">
        <v>17040</v>
      </c>
      <c r="D51" s="773">
        <v>16930</v>
      </c>
      <c r="E51" s="773">
        <v>15030</v>
      </c>
      <c r="F51" s="787">
        <v>4120</v>
      </c>
    </row>
    <row r="52" spans="1:14" ht="14.25" customHeight="1" thickBot="1" x14ac:dyDescent="0.25">
      <c r="A52" s="779" t="s">
        <v>137</v>
      </c>
      <c r="B52" s="773" t="s">
        <v>216</v>
      </c>
      <c r="C52" s="773">
        <v>17110</v>
      </c>
      <c r="D52" s="773">
        <v>17750</v>
      </c>
      <c r="E52" s="773">
        <v>17310</v>
      </c>
      <c r="F52" s="787">
        <v>3220</v>
      </c>
    </row>
    <row r="53" spans="1:14" ht="14.25" customHeight="1" thickBot="1" x14ac:dyDescent="0.25">
      <c r="A53" s="779" t="s">
        <v>137</v>
      </c>
      <c r="B53" s="773" t="s">
        <v>228</v>
      </c>
      <c r="C53" s="773">
        <v>17810</v>
      </c>
      <c r="D53" s="773">
        <v>17260</v>
      </c>
      <c r="E53" s="773">
        <v>17090</v>
      </c>
      <c r="F53" s="787">
        <v>3520</v>
      </c>
    </row>
    <row r="54" spans="1:14" ht="14.25" customHeight="1" thickBot="1" x14ac:dyDescent="0.25">
      <c r="A54" s="779" t="s">
        <v>137</v>
      </c>
      <c r="B54" s="773" t="s">
        <v>239</v>
      </c>
      <c r="C54" s="773">
        <v>17410</v>
      </c>
      <c r="D54" s="773">
        <v>16780</v>
      </c>
      <c r="E54" s="773">
        <v>16370</v>
      </c>
      <c r="F54" s="787">
        <v>3410</v>
      </c>
    </row>
    <row r="55" spans="1:14" ht="14.25" customHeight="1" thickBot="1" x14ac:dyDescent="0.25">
      <c r="A55" s="779" t="s">
        <v>137</v>
      </c>
      <c r="B55" s="773" t="s">
        <v>250</v>
      </c>
      <c r="C55" s="773">
        <v>16930</v>
      </c>
      <c r="D55" s="773">
        <v>14720</v>
      </c>
      <c r="E55" s="773">
        <v>15000</v>
      </c>
      <c r="F55" s="787">
        <v>3710</v>
      </c>
    </row>
    <row r="56" spans="1:14" ht="14.25" customHeight="1" thickBot="1" x14ac:dyDescent="0.25">
      <c r="A56" s="779" t="s">
        <v>137</v>
      </c>
      <c r="B56" s="773" t="s">
        <v>261</v>
      </c>
      <c r="C56" s="773">
        <v>14930</v>
      </c>
      <c r="D56" s="773">
        <v>15850</v>
      </c>
      <c r="E56" s="773">
        <v>14320</v>
      </c>
      <c r="F56" s="787">
        <v>3960</v>
      </c>
    </row>
    <row r="57" spans="1:14" ht="14.25" customHeight="1" thickBot="1" x14ac:dyDescent="0.25">
      <c r="A57" s="779" t="s">
        <v>137</v>
      </c>
      <c r="B57" s="773" t="s">
        <v>273</v>
      </c>
      <c r="C57" s="773">
        <v>16160</v>
      </c>
      <c r="D57" s="773">
        <v>16190</v>
      </c>
      <c r="E57" s="773">
        <v>15650</v>
      </c>
      <c r="F57" s="787">
        <v>4200</v>
      </c>
    </row>
    <row r="58" spans="1:14" ht="14.25" customHeight="1" thickBot="1" x14ac:dyDescent="0.25">
      <c r="A58" s="779" t="s">
        <v>137</v>
      </c>
      <c r="B58" s="773" t="s">
        <v>283</v>
      </c>
      <c r="C58" s="773">
        <v>16360</v>
      </c>
      <c r="D58" s="773">
        <v>14050</v>
      </c>
      <c r="E58" s="773">
        <v>16070</v>
      </c>
      <c r="F58" s="787">
        <v>3990</v>
      </c>
    </row>
    <row r="59" spans="1:14" ht="14.25" customHeight="1" thickBot="1" x14ac:dyDescent="0.25">
      <c r="A59" s="779" t="s">
        <v>137</v>
      </c>
      <c r="B59" s="773" t="s">
        <v>293</v>
      </c>
      <c r="C59" s="773">
        <v>14160</v>
      </c>
      <c r="D59" s="773">
        <v>16620</v>
      </c>
      <c r="E59" s="773">
        <v>13940</v>
      </c>
      <c r="F59" s="787">
        <v>4260</v>
      </c>
    </row>
    <row r="60" spans="1:14" ht="14.25" customHeight="1" thickBot="1" x14ac:dyDescent="0.25">
      <c r="A60" s="779" t="s">
        <v>137</v>
      </c>
      <c r="B60" s="773" t="s">
        <v>303</v>
      </c>
      <c r="C60" s="773">
        <v>16750</v>
      </c>
      <c r="D60" s="773">
        <v>13910</v>
      </c>
      <c r="E60" s="773">
        <v>16550</v>
      </c>
      <c r="F60" s="787">
        <v>4550</v>
      </c>
    </row>
    <row r="61" spans="1:14" ht="14.25" customHeight="1" thickBot="1" x14ac:dyDescent="0.25">
      <c r="A61" s="779" t="s">
        <v>137</v>
      </c>
      <c r="B61" s="773" t="s">
        <v>313</v>
      </c>
      <c r="C61" s="773">
        <v>14000</v>
      </c>
      <c r="D61" s="773">
        <v>14550</v>
      </c>
      <c r="E61" s="773">
        <v>13860</v>
      </c>
      <c r="F61" s="791"/>
    </row>
    <row r="62" spans="1:14" ht="14.25" customHeight="1" thickBot="1" x14ac:dyDescent="0.25">
      <c r="A62" s="779" t="s">
        <v>137</v>
      </c>
      <c r="B62" s="773" t="s">
        <v>324</v>
      </c>
      <c r="C62" s="773">
        <v>14660</v>
      </c>
      <c r="D62" s="773">
        <v>17450</v>
      </c>
      <c r="E62" s="773">
        <v>14470</v>
      </c>
      <c r="F62" s="791"/>
    </row>
    <row r="63" spans="1:14" ht="14.25" customHeight="1" thickBot="1" x14ac:dyDescent="0.25">
      <c r="A63" s="779" t="s">
        <v>137</v>
      </c>
      <c r="B63" s="773" t="s">
        <v>335</v>
      </c>
      <c r="C63" s="773">
        <v>17610</v>
      </c>
      <c r="D63" s="773">
        <v>16500</v>
      </c>
      <c r="E63" s="773">
        <v>17330</v>
      </c>
      <c r="F63" s="791"/>
    </row>
    <row r="64" spans="1:14" ht="14.25" customHeight="1" thickBot="1" x14ac:dyDescent="0.25">
      <c r="A64" s="779" t="s">
        <v>137</v>
      </c>
      <c r="B64" s="773" t="s">
        <v>345</v>
      </c>
      <c r="C64" s="773">
        <v>16590</v>
      </c>
      <c r="D64" s="773">
        <v>15130</v>
      </c>
      <c r="E64" s="773">
        <v>16420</v>
      </c>
      <c r="F64" s="791"/>
    </row>
    <row r="65" spans="1:6" s="767" customFormat="1" ht="14.25" customHeight="1" thickBot="1" x14ac:dyDescent="0.25">
      <c r="A65" s="779" t="s">
        <v>137</v>
      </c>
      <c r="B65" s="773" t="s">
        <v>355</v>
      </c>
      <c r="C65" s="773">
        <v>15220</v>
      </c>
      <c r="D65" s="773">
        <v>14660</v>
      </c>
      <c r="E65" s="773">
        <v>15060</v>
      </c>
      <c r="F65" s="787"/>
    </row>
    <row r="66" spans="1:6" s="767" customFormat="1" ht="14.25" customHeight="1" thickBot="1" x14ac:dyDescent="0.25">
      <c r="A66" s="779" t="s">
        <v>137</v>
      </c>
      <c r="B66" s="773" t="s">
        <v>365</v>
      </c>
      <c r="C66" s="773">
        <v>14720</v>
      </c>
      <c r="D66" s="773">
        <v>15970</v>
      </c>
      <c r="E66" s="773">
        <v>14610</v>
      </c>
      <c r="F66" s="787"/>
    </row>
    <row r="67" spans="1:6" s="767" customFormat="1" ht="14.25" customHeight="1" thickBot="1" x14ac:dyDescent="0.25">
      <c r="A67" s="779" t="s">
        <v>137</v>
      </c>
      <c r="B67" s="773" t="s">
        <v>375</v>
      </c>
      <c r="C67" s="773">
        <v>16080</v>
      </c>
      <c r="D67" s="773">
        <v>14840</v>
      </c>
      <c r="E67" s="773">
        <v>15630</v>
      </c>
      <c r="F67" s="787"/>
    </row>
    <row r="68" spans="1:6" s="767" customFormat="1" ht="14.25" customHeight="1" thickBot="1" x14ac:dyDescent="0.25">
      <c r="A68" s="779" t="s">
        <v>137</v>
      </c>
      <c r="B68" s="773" t="s">
        <v>384</v>
      </c>
      <c r="C68" s="773">
        <v>14940</v>
      </c>
      <c r="D68" s="773">
        <v>18000</v>
      </c>
      <c r="E68" s="773">
        <v>14040</v>
      </c>
      <c r="F68" s="787"/>
    </row>
    <row r="69" spans="1:6" s="767" customFormat="1" ht="14.25" customHeight="1" thickBot="1" x14ac:dyDescent="0.25">
      <c r="A69" s="779" t="s">
        <v>137</v>
      </c>
      <c r="B69" s="773" t="s">
        <v>393</v>
      </c>
      <c r="C69" s="773">
        <v>18810</v>
      </c>
      <c r="D69" s="773">
        <v>15100</v>
      </c>
      <c r="E69" s="773">
        <v>14710</v>
      </c>
      <c r="F69" s="787"/>
    </row>
    <row r="70" spans="1:6" s="767" customFormat="1" ht="14.25" customHeight="1" thickBot="1" x14ac:dyDescent="0.25">
      <c r="A70" s="779" t="s">
        <v>137</v>
      </c>
      <c r="B70" s="773" t="s">
        <v>401</v>
      </c>
      <c r="C70" s="773">
        <v>18270</v>
      </c>
      <c r="D70" s="773"/>
      <c r="E70" s="773"/>
      <c r="F70" s="787"/>
    </row>
    <row r="71" spans="1:6" s="767" customFormat="1" ht="14.25" customHeight="1" thickBot="1" x14ac:dyDescent="0.25">
      <c r="A71" s="779" t="s">
        <v>137</v>
      </c>
      <c r="B71" s="773" t="s">
        <v>408</v>
      </c>
      <c r="C71" s="773">
        <v>15230</v>
      </c>
      <c r="D71" s="773"/>
      <c r="E71" s="773"/>
      <c r="F71" s="787"/>
    </row>
    <row r="72" spans="1:6" s="767" customFormat="1" ht="14.25" customHeight="1" thickBot="1" x14ac:dyDescent="0.25">
      <c r="A72" s="779" t="s">
        <v>137</v>
      </c>
      <c r="B72" s="773" t="s">
        <v>415</v>
      </c>
      <c r="C72" s="773"/>
      <c r="D72" s="773"/>
      <c r="E72" s="773"/>
      <c r="F72" s="787">
        <v>4120</v>
      </c>
    </row>
    <row r="73" spans="1:6" s="767" customFormat="1" ht="14.25" customHeight="1" thickBot="1" x14ac:dyDescent="0.25">
      <c r="A73" s="779" t="s">
        <v>137</v>
      </c>
      <c r="B73" s="773" t="s">
        <v>422</v>
      </c>
      <c r="C73" s="773"/>
      <c r="D73" s="773"/>
      <c r="E73" s="773"/>
      <c r="F73" s="787">
        <v>3930</v>
      </c>
    </row>
    <row r="74" spans="1:6" s="767" customFormat="1" ht="14.25" customHeight="1" thickBot="1" x14ac:dyDescent="0.25">
      <c r="A74" s="779" t="s">
        <v>137</v>
      </c>
      <c r="B74" s="773" t="s">
        <v>429</v>
      </c>
      <c r="C74" s="773"/>
      <c r="D74" s="773"/>
      <c r="E74" s="773"/>
      <c r="F74" s="787">
        <v>4060</v>
      </c>
    </row>
    <row r="75" spans="1:6" s="767" customFormat="1" ht="14.25" customHeight="1" thickBot="1" x14ac:dyDescent="0.25">
      <c r="A75" s="779" t="s">
        <v>137</v>
      </c>
      <c r="B75" s="785" t="s">
        <v>436</v>
      </c>
      <c r="C75" s="785"/>
      <c r="D75" s="785"/>
      <c r="E75" s="785"/>
      <c r="F75" s="790">
        <v>3750</v>
      </c>
    </row>
    <row r="76" spans="1:6" s="767" customFormat="1" ht="14.25" customHeight="1" thickBot="1" x14ac:dyDescent="0.25">
      <c r="A76" s="779" t="s">
        <v>523</v>
      </c>
      <c r="B76" s="780" t="s">
        <v>524</v>
      </c>
      <c r="C76" s="780">
        <v>14690</v>
      </c>
      <c r="D76" s="780">
        <v>14640</v>
      </c>
      <c r="E76" s="780">
        <v>14590</v>
      </c>
      <c r="F76" s="781">
        <v>3060</v>
      </c>
    </row>
    <row r="77" spans="1:6" s="767" customFormat="1" ht="14.25" customHeight="1" thickBot="1" x14ac:dyDescent="0.25">
      <c r="A77" s="779" t="s">
        <v>523</v>
      </c>
      <c r="B77" s="773" t="s">
        <v>191</v>
      </c>
      <c r="C77" s="773">
        <v>12550</v>
      </c>
      <c r="D77" s="773">
        <v>12480</v>
      </c>
      <c r="E77" s="773">
        <v>12450</v>
      </c>
      <c r="F77" s="787">
        <v>2590</v>
      </c>
    </row>
    <row r="78" spans="1:6" s="767" customFormat="1" ht="14.25" customHeight="1" thickBot="1" x14ac:dyDescent="0.25">
      <c r="A78" s="779" t="s">
        <v>523</v>
      </c>
      <c r="B78" s="773" t="s">
        <v>204</v>
      </c>
      <c r="C78" s="773">
        <v>14360</v>
      </c>
      <c r="D78" s="773">
        <v>14320</v>
      </c>
      <c r="E78" s="773">
        <v>12510</v>
      </c>
      <c r="F78" s="787">
        <v>2700</v>
      </c>
    </row>
    <row r="79" spans="1:6" s="767" customFormat="1" ht="14.25" customHeight="1" thickBot="1" x14ac:dyDescent="0.25">
      <c r="A79" s="779" t="s">
        <v>523</v>
      </c>
      <c r="B79" s="773" t="s">
        <v>217</v>
      </c>
      <c r="C79" s="773">
        <v>12590</v>
      </c>
      <c r="D79" s="773">
        <v>12540</v>
      </c>
      <c r="E79" s="773">
        <v>12350</v>
      </c>
      <c r="F79" s="787">
        <v>2740</v>
      </c>
    </row>
    <row r="80" spans="1:6" s="767" customFormat="1" ht="14.25" customHeight="1" thickBot="1" x14ac:dyDescent="0.25">
      <c r="A80" s="779" t="s">
        <v>523</v>
      </c>
      <c r="B80" s="773" t="s">
        <v>229</v>
      </c>
      <c r="C80" s="773">
        <v>12450</v>
      </c>
      <c r="D80" s="773">
        <v>12370</v>
      </c>
      <c r="E80" s="773">
        <v>10790</v>
      </c>
      <c r="F80" s="787">
        <v>2290</v>
      </c>
    </row>
    <row r="81" spans="1:6" s="767" customFormat="1" ht="14.25" customHeight="1" thickBot="1" x14ac:dyDescent="0.25">
      <c r="A81" s="779" t="s">
        <v>523</v>
      </c>
      <c r="B81" s="773" t="s">
        <v>240</v>
      </c>
      <c r="C81" s="773">
        <v>14210</v>
      </c>
      <c r="D81" s="773">
        <v>14150</v>
      </c>
      <c r="E81" s="773">
        <v>12730</v>
      </c>
      <c r="F81" s="787">
        <v>2240</v>
      </c>
    </row>
    <row r="82" spans="1:6" s="767" customFormat="1" ht="14.25" customHeight="1" thickBot="1" x14ac:dyDescent="0.25">
      <c r="A82" s="779" t="s">
        <v>523</v>
      </c>
      <c r="B82" s="773" t="s">
        <v>251</v>
      </c>
      <c r="C82" s="773">
        <v>10860</v>
      </c>
      <c r="D82" s="773">
        <v>10820</v>
      </c>
      <c r="E82" s="773">
        <v>14720</v>
      </c>
      <c r="F82" s="787">
        <v>2490</v>
      </c>
    </row>
    <row r="83" spans="1:6" s="767" customFormat="1" ht="14.25" customHeight="1" thickBot="1" x14ac:dyDescent="0.25">
      <c r="A83" s="779" t="s">
        <v>523</v>
      </c>
      <c r="B83" s="773" t="s">
        <v>262</v>
      </c>
      <c r="C83" s="773">
        <v>12810</v>
      </c>
      <c r="D83" s="773">
        <v>12760</v>
      </c>
      <c r="E83" s="773">
        <v>14830</v>
      </c>
      <c r="F83" s="787">
        <v>2450</v>
      </c>
    </row>
    <row r="84" spans="1:6" s="767" customFormat="1" ht="14.25" customHeight="1" thickBot="1" x14ac:dyDescent="0.25">
      <c r="A84" s="779" t="s">
        <v>523</v>
      </c>
      <c r="B84" s="773" t="s">
        <v>274</v>
      </c>
      <c r="C84" s="773">
        <v>14950</v>
      </c>
      <c r="D84" s="773">
        <v>14810</v>
      </c>
      <c r="E84" s="773">
        <v>12590</v>
      </c>
      <c r="F84" s="787">
        <v>2540</v>
      </c>
    </row>
    <row r="85" spans="1:6" s="767" customFormat="1" ht="14.25" customHeight="1" thickBot="1" x14ac:dyDescent="0.25">
      <c r="A85" s="779" t="s">
        <v>523</v>
      </c>
      <c r="B85" s="773" t="s">
        <v>284</v>
      </c>
      <c r="C85" s="773">
        <v>14960</v>
      </c>
      <c r="D85" s="773">
        <v>14890</v>
      </c>
      <c r="E85" s="773">
        <v>12840</v>
      </c>
      <c r="F85" s="787">
        <v>2840</v>
      </c>
    </row>
    <row r="86" spans="1:6" s="767" customFormat="1" ht="14.25" customHeight="1" thickBot="1" x14ac:dyDescent="0.25">
      <c r="A86" s="779" t="s">
        <v>523</v>
      </c>
      <c r="B86" s="773" t="s">
        <v>294</v>
      </c>
      <c r="C86" s="773">
        <v>12730</v>
      </c>
      <c r="D86" s="773">
        <v>12660</v>
      </c>
      <c r="E86" s="773">
        <v>13310</v>
      </c>
      <c r="F86" s="787">
        <v>3140</v>
      </c>
    </row>
    <row r="87" spans="1:6" s="767" customFormat="1" ht="14.25" customHeight="1" thickBot="1" x14ac:dyDescent="0.25">
      <c r="A87" s="779" t="s">
        <v>523</v>
      </c>
      <c r="B87" s="773" t="s">
        <v>304</v>
      </c>
      <c r="C87" s="773">
        <v>12940</v>
      </c>
      <c r="D87" s="773">
        <v>12890</v>
      </c>
      <c r="E87" s="773">
        <v>11580</v>
      </c>
      <c r="F87" s="791"/>
    </row>
    <row r="88" spans="1:6" s="767" customFormat="1" ht="14.25" customHeight="1" thickBot="1" x14ac:dyDescent="0.25">
      <c r="A88" s="779" t="s">
        <v>523</v>
      </c>
      <c r="B88" s="773" t="s">
        <v>314</v>
      </c>
      <c r="C88" s="773">
        <v>13430</v>
      </c>
      <c r="D88" s="773">
        <v>13360</v>
      </c>
      <c r="E88" s="773">
        <v>12790</v>
      </c>
      <c r="F88" s="791"/>
    </row>
    <row r="89" spans="1:6" s="767" customFormat="1" ht="14.25" customHeight="1" thickBot="1" x14ac:dyDescent="0.25">
      <c r="A89" s="779" t="s">
        <v>523</v>
      </c>
      <c r="B89" s="773" t="s">
        <v>325</v>
      </c>
      <c r="C89" s="773">
        <v>11680</v>
      </c>
      <c r="D89" s="773">
        <v>11630</v>
      </c>
      <c r="E89" s="773">
        <v>11320</v>
      </c>
      <c r="F89" s="791"/>
    </row>
    <row r="90" spans="1:6" s="767" customFormat="1" ht="14.25" customHeight="1" thickBot="1" x14ac:dyDescent="0.25">
      <c r="A90" s="779" t="s">
        <v>523</v>
      </c>
      <c r="B90" s="773" t="s">
        <v>336</v>
      </c>
      <c r="C90" s="773">
        <v>12890</v>
      </c>
      <c r="D90" s="773">
        <v>12820</v>
      </c>
      <c r="E90" s="773">
        <v>12710</v>
      </c>
      <c r="F90" s="791"/>
    </row>
    <row r="91" spans="1:6" s="767" customFormat="1" ht="14.25" customHeight="1" thickBot="1" x14ac:dyDescent="0.25">
      <c r="A91" s="779" t="s">
        <v>523</v>
      </c>
      <c r="B91" s="773" t="s">
        <v>346</v>
      </c>
      <c r="C91" s="773">
        <v>11410</v>
      </c>
      <c r="D91" s="773">
        <v>11360</v>
      </c>
      <c r="E91" s="773">
        <v>12670</v>
      </c>
      <c r="F91" s="791"/>
    </row>
    <row r="92" spans="1:6" s="767" customFormat="1" ht="14.25" customHeight="1" thickBot="1" x14ac:dyDescent="0.25">
      <c r="A92" s="779" t="s">
        <v>523</v>
      </c>
      <c r="B92" s="773" t="s">
        <v>356</v>
      </c>
      <c r="C92" s="773">
        <v>12770</v>
      </c>
      <c r="D92" s="773">
        <v>12740</v>
      </c>
      <c r="E92" s="773">
        <v>11970</v>
      </c>
      <c r="F92" s="791"/>
    </row>
    <row r="93" spans="1:6" s="767" customFormat="1" ht="14.25" customHeight="1" thickBot="1" x14ac:dyDescent="0.25">
      <c r="A93" s="779" t="s">
        <v>523</v>
      </c>
      <c r="B93" s="773" t="s">
        <v>366</v>
      </c>
      <c r="C93" s="773">
        <v>12740</v>
      </c>
      <c r="D93" s="773">
        <v>12700</v>
      </c>
      <c r="E93" s="773">
        <v>12540</v>
      </c>
      <c r="F93" s="791"/>
    </row>
    <row r="94" spans="1:6" s="767" customFormat="1" ht="14.25" customHeight="1" thickBot="1" x14ac:dyDescent="0.25">
      <c r="A94" s="779" t="s">
        <v>523</v>
      </c>
      <c r="B94" s="773" t="s">
        <v>376</v>
      </c>
      <c r="C94" s="773">
        <v>12020</v>
      </c>
      <c r="D94" s="773">
        <v>11990</v>
      </c>
      <c r="E94" s="773">
        <v>13110</v>
      </c>
      <c r="F94" s="791"/>
    </row>
    <row r="95" spans="1:6" s="767" customFormat="1" ht="14.25" customHeight="1" thickBot="1" x14ac:dyDescent="0.25">
      <c r="A95" s="779" t="s">
        <v>523</v>
      </c>
      <c r="B95" s="773" t="s">
        <v>385</v>
      </c>
      <c r="C95" s="773">
        <v>12620</v>
      </c>
      <c r="D95" s="773">
        <v>12580</v>
      </c>
      <c r="E95" s="773">
        <v>13160</v>
      </c>
      <c r="F95" s="787"/>
    </row>
    <row r="96" spans="1:6" s="767" customFormat="1" ht="14.25" customHeight="1" thickBot="1" x14ac:dyDescent="0.25">
      <c r="A96" s="779" t="s">
        <v>523</v>
      </c>
      <c r="B96" s="773" t="s">
        <v>394</v>
      </c>
      <c r="C96" s="773">
        <v>13200</v>
      </c>
      <c r="D96" s="773">
        <v>13150</v>
      </c>
      <c r="E96" s="773">
        <v>12900</v>
      </c>
      <c r="F96" s="787"/>
    </row>
    <row r="97" spans="1:6" s="767" customFormat="1" ht="14.25" customHeight="1" thickBot="1" x14ac:dyDescent="0.25">
      <c r="A97" s="779" t="s">
        <v>523</v>
      </c>
      <c r="B97" s="773" t="s">
        <v>402</v>
      </c>
      <c r="C97" s="773">
        <v>13270</v>
      </c>
      <c r="D97" s="773">
        <v>13210</v>
      </c>
      <c r="E97" s="773">
        <v>11080</v>
      </c>
      <c r="F97" s="787"/>
    </row>
    <row r="98" spans="1:6" s="767" customFormat="1" ht="14.25" customHeight="1" thickBot="1" x14ac:dyDescent="0.25">
      <c r="A98" s="779" t="s">
        <v>523</v>
      </c>
      <c r="B98" s="773" t="s">
        <v>409</v>
      </c>
      <c r="C98" s="773">
        <v>13010</v>
      </c>
      <c r="D98" s="773">
        <v>12930</v>
      </c>
      <c r="E98" s="773">
        <v>12840</v>
      </c>
      <c r="F98" s="787"/>
    </row>
    <row r="99" spans="1:6" s="767" customFormat="1" ht="14.25" customHeight="1" thickBot="1" x14ac:dyDescent="0.25">
      <c r="A99" s="779" t="s">
        <v>523</v>
      </c>
      <c r="B99" s="773" t="s">
        <v>416</v>
      </c>
      <c r="C99" s="773">
        <v>11190</v>
      </c>
      <c r="D99" s="773">
        <v>11130</v>
      </c>
      <c r="E99" s="773"/>
      <c r="F99" s="787"/>
    </row>
    <row r="100" spans="1:6" s="767" customFormat="1" ht="14.25" customHeight="1" thickBot="1" x14ac:dyDescent="0.25">
      <c r="A100" s="779" t="s">
        <v>523</v>
      </c>
      <c r="B100" s="773" t="s">
        <v>423</v>
      </c>
      <c r="C100" s="773">
        <v>14280</v>
      </c>
      <c r="D100" s="773">
        <v>14180</v>
      </c>
      <c r="E100" s="773"/>
      <c r="F100" s="787"/>
    </row>
    <row r="101" spans="1:6" s="767" customFormat="1" ht="14.25" customHeight="1" thickBot="1" x14ac:dyDescent="0.25">
      <c r="A101" s="779" t="s">
        <v>523</v>
      </c>
      <c r="B101" s="773" t="s">
        <v>430</v>
      </c>
      <c r="C101" s="773">
        <v>12960</v>
      </c>
      <c r="D101" s="773">
        <v>12890</v>
      </c>
      <c r="E101" s="773"/>
      <c r="F101" s="787"/>
    </row>
    <row r="102" spans="1:6" s="767" customFormat="1" ht="14.25" customHeight="1" thickBot="1" x14ac:dyDescent="0.25">
      <c r="A102" s="779" t="s">
        <v>523</v>
      </c>
      <c r="B102" s="773" t="s">
        <v>437</v>
      </c>
      <c r="C102" s="773"/>
      <c r="D102" s="773"/>
      <c r="E102" s="773"/>
      <c r="F102" s="787">
        <v>3100</v>
      </c>
    </row>
    <row r="103" spans="1:6" s="767" customFormat="1" ht="14.25" customHeight="1" thickBot="1" x14ac:dyDescent="0.25">
      <c r="A103" s="779" t="s">
        <v>523</v>
      </c>
      <c r="B103" s="773" t="s">
        <v>444</v>
      </c>
      <c r="C103" s="773"/>
      <c r="D103" s="773"/>
      <c r="E103" s="773"/>
      <c r="F103" s="787">
        <v>2320</v>
      </c>
    </row>
    <row r="104" spans="1:6" s="767" customFormat="1" ht="14.25" customHeight="1" thickBot="1" x14ac:dyDescent="0.25">
      <c r="A104" s="779" t="s">
        <v>523</v>
      </c>
      <c r="B104" s="773" t="s">
        <v>449</v>
      </c>
      <c r="C104" s="773"/>
      <c r="D104" s="773"/>
      <c r="E104" s="773"/>
      <c r="F104" s="787">
        <v>2320</v>
      </c>
    </row>
    <row r="105" spans="1:6" s="767" customFormat="1" ht="14.25" customHeight="1" thickBot="1" x14ac:dyDescent="0.25">
      <c r="A105" s="779" t="s">
        <v>523</v>
      </c>
      <c r="B105" s="773" t="s">
        <v>453</v>
      </c>
      <c r="C105" s="773"/>
      <c r="D105" s="773"/>
      <c r="E105" s="773"/>
      <c r="F105" s="787">
        <v>2320</v>
      </c>
    </row>
    <row r="106" spans="1:6" s="767" customFormat="1" ht="14.25" customHeight="1" thickBot="1" x14ac:dyDescent="0.25">
      <c r="A106" s="779" t="s">
        <v>523</v>
      </c>
      <c r="B106" s="773" t="s">
        <v>458</v>
      </c>
      <c r="C106" s="773"/>
      <c r="D106" s="773"/>
      <c r="E106" s="773"/>
      <c r="F106" s="787">
        <v>2320</v>
      </c>
    </row>
    <row r="107" spans="1:6" s="767" customFormat="1" ht="14.25" customHeight="1" thickBot="1" x14ac:dyDescent="0.25">
      <c r="A107" s="779" t="s">
        <v>523</v>
      </c>
      <c r="B107" s="773" t="s">
        <v>463</v>
      </c>
      <c r="C107" s="773"/>
      <c r="D107" s="773"/>
      <c r="E107" s="773"/>
      <c r="F107" s="787">
        <v>2280</v>
      </c>
    </row>
    <row r="108" spans="1:6" s="767" customFormat="1" ht="14.25" customHeight="1" thickBot="1" x14ac:dyDescent="0.25">
      <c r="A108" s="779" t="s">
        <v>523</v>
      </c>
      <c r="B108" s="773" t="s">
        <v>468</v>
      </c>
      <c r="C108" s="773"/>
      <c r="D108" s="773"/>
      <c r="E108" s="773"/>
      <c r="F108" s="787">
        <v>2280</v>
      </c>
    </row>
    <row r="109" spans="1:6" s="767" customFormat="1" ht="14.25" customHeight="1" thickBot="1" x14ac:dyDescent="0.25">
      <c r="A109" s="779" t="s">
        <v>523</v>
      </c>
      <c r="B109" s="785" t="s">
        <v>473</v>
      </c>
      <c r="C109" s="785"/>
      <c r="D109" s="785"/>
      <c r="E109" s="785"/>
      <c r="F109" s="790">
        <v>2280</v>
      </c>
    </row>
    <row r="110" spans="1:6" s="767" customFormat="1" ht="14.25" customHeight="1" thickBot="1" x14ac:dyDescent="0.25">
      <c r="A110" s="779" t="s">
        <v>56</v>
      </c>
      <c r="B110" s="780" t="s">
        <v>525</v>
      </c>
      <c r="C110" s="780">
        <v>10520</v>
      </c>
      <c r="D110" s="780">
        <v>10490</v>
      </c>
      <c r="E110" s="780">
        <v>10760</v>
      </c>
      <c r="F110" s="781">
        <v>2160</v>
      </c>
    </row>
    <row r="111" spans="1:6" s="767" customFormat="1" ht="14.25" customHeight="1" thickBot="1" x14ac:dyDescent="0.25">
      <c r="A111" s="779" t="s">
        <v>56</v>
      </c>
      <c r="B111" s="773" t="s">
        <v>192</v>
      </c>
      <c r="C111" s="773">
        <v>10090</v>
      </c>
      <c r="D111" s="773">
        <v>10060</v>
      </c>
      <c r="E111" s="773">
        <v>10300</v>
      </c>
      <c r="F111" s="787">
        <v>2010</v>
      </c>
    </row>
    <row r="112" spans="1:6" s="767" customFormat="1" ht="14.25" customHeight="1" thickBot="1" x14ac:dyDescent="0.25">
      <c r="A112" s="779" t="s">
        <v>56</v>
      </c>
      <c r="B112" s="773" t="s">
        <v>205</v>
      </c>
      <c r="C112" s="773">
        <v>9910</v>
      </c>
      <c r="D112" s="773">
        <v>9850</v>
      </c>
      <c r="E112" s="773">
        <v>9960</v>
      </c>
      <c r="F112" s="787">
        <v>2090</v>
      </c>
    </row>
    <row r="113" spans="1:6" s="767" customFormat="1" ht="14.25" customHeight="1" thickBot="1" x14ac:dyDescent="0.25">
      <c r="A113" s="779" t="s">
        <v>56</v>
      </c>
      <c r="B113" s="773" t="s">
        <v>218</v>
      </c>
      <c r="C113" s="773">
        <v>11430</v>
      </c>
      <c r="D113" s="773">
        <v>11400</v>
      </c>
      <c r="E113" s="773">
        <v>11710</v>
      </c>
      <c r="F113" s="787">
        <v>2050</v>
      </c>
    </row>
    <row r="114" spans="1:6" s="767" customFormat="1" ht="14.25" customHeight="1" thickBot="1" x14ac:dyDescent="0.25">
      <c r="A114" s="779" t="s">
        <v>56</v>
      </c>
      <c r="B114" s="773" t="s">
        <v>230</v>
      </c>
      <c r="C114" s="773">
        <v>11390</v>
      </c>
      <c r="D114" s="773">
        <v>11350</v>
      </c>
      <c r="E114" s="773">
        <v>11640</v>
      </c>
      <c r="F114" s="787">
        <v>1620</v>
      </c>
    </row>
    <row r="115" spans="1:6" s="767" customFormat="1" ht="14.25" customHeight="1" thickBot="1" x14ac:dyDescent="0.25">
      <c r="A115" s="779" t="s">
        <v>56</v>
      </c>
      <c r="B115" s="773" t="s">
        <v>241</v>
      </c>
      <c r="C115" s="773">
        <v>9930</v>
      </c>
      <c r="D115" s="773">
        <v>9900</v>
      </c>
      <c r="E115" s="773">
        <v>10160</v>
      </c>
      <c r="F115" s="787">
        <v>1580</v>
      </c>
    </row>
    <row r="116" spans="1:6" s="767" customFormat="1" ht="14.25" customHeight="1" thickBot="1" x14ac:dyDescent="0.25">
      <c r="A116" s="779" t="s">
        <v>56</v>
      </c>
      <c r="B116" s="773" t="s">
        <v>252</v>
      </c>
      <c r="C116" s="773">
        <v>9150</v>
      </c>
      <c r="D116" s="773">
        <v>9120</v>
      </c>
      <c r="E116" s="773">
        <v>9380</v>
      </c>
      <c r="F116" s="787">
        <v>1750</v>
      </c>
    </row>
    <row r="117" spans="1:6" s="767" customFormat="1" ht="14.25" customHeight="1" thickBot="1" x14ac:dyDescent="0.25">
      <c r="A117" s="779" t="s">
        <v>56</v>
      </c>
      <c r="B117" s="773" t="s">
        <v>263</v>
      </c>
      <c r="C117" s="773">
        <v>10680</v>
      </c>
      <c r="D117" s="773">
        <v>10650</v>
      </c>
      <c r="E117" s="773">
        <v>10970</v>
      </c>
      <c r="F117" s="787">
        <v>1730</v>
      </c>
    </row>
    <row r="118" spans="1:6" s="767" customFormat="1" ht="14.25" customHeight="1" thickBot="1" x14ac:dyDescent="0.25">
      <c r="A118" s="779" t="s">
        <v>56</v>
      </c>
      <c r="B118" s="773" t="s">
        <v>275</v>
      </c>
      <c r="C118" s="773">
        <v>10080</v>
      </c>
      <c r="D118" s="773">
        <v>10050</v>
      </c>
      <c r="E118" s="773">
        <v>10350</v>
      </c>
      <c r="F118" s="787">
        <v>1920</v>
      </c>
    </row>
    <row r="119" spans="1:6" s="767" customFormat="1" ht="14.25" customHeight="1" thickBot="1" x14ac:dyDescent="0.25">
      <c r="A119" s="779" t="s">
        <v>56</v>
      </c>
      <c r="B119" s="773" t="s">
        <v>285</v>
      </c>
      <c r="C119" s="773">
        <v>9450</v>
      </c>
      <c r="D119" s="773">
        <v>9410</v>
      </c>
      <c r="E119" s="773">
        <v>9680</v>
      </c>
      <c r="F119" s="787">
        <v>1880</v>
      </c>
    </row>
    <row r="120" spans="1:6" s="767" customFormat="1" ht="14.25" customHeight="1" thickBot="1" x14ac:dyDescent="0.25">
      <c r="A120" s="779" t="s">
        <v>56</v>
      </c>
      <c r="B120" s="773" t="s">
        <v>295</v>
      </c>
      <c r="C120" s="773">
        <v>8730</v>
      </c>
      <c r="D120" s="773">
        <v>8700</v>
      </c>
      <c r="E120" s="773">
        <v>8950</v>
      </c>
      <c r="F120" s="787">
        <v>1830</v>
      </c>
    </row>
    <row r="121" spans="1:6" s="767" customFormat="1" ht="14.25" customHeight="1" thickBot="1" x14ac:dyDescent="0.25">
      <c r="A121" s="779" t="s">
        <v>56</v>
      </c>
      <c r="B121" s="773" t="s">
        <v>305</v>
      </c>
      <c r="C121" s="773">
        <v>10070</v>
      </c>
      <c r="D121" s="773">
        <v>10040</v>
      </c>
      <c r="E121" s="773">
        <v>10270</v>
      </c>
      <c r="F121" s="787">
        <v>1960</v>
      </c>
    </row>
    <row r="122" spans="1:6" s="767" customFormat="1" ht="14.25" customHeight="1" thickBot="1" x14ac:dyDescent="0.25">
      <c r="A122" s="779" t="s">
        <v>56</v>
      </c>
      <c r="B122" s="773" t="s">
        <v>315</v>
      </c>
      <c r="C122" s="773">
        <v>10500</v>
      </c>
      <c r="D122" s="773">
        <v>10470</v>
      </c>
      <c r="E122" s="773">
        <v>10780</v>
      </c>
      <c r="F122" s="787">
        <v>2180</v>
      </c>
    </row>
    <row r="123" spans="1:6" s="767" customFormat="1" ht="14.25" customHeight="1" thickBot="1" x14ac:dyDescent="0.25">
      <c r="A123" s="779" t="s">
        <v>56</v>
      </c>
      <c r="B123" s="773" t="s">
        <v>326</v>
      </c>
      <c r="C123" s="773">
        <v>10390</v>
      </c>
      <c r="D123" s="773">
        <v>10360</v>
      </c>
      <c r="E123" s="773">
        <v>10660</v>
      </c>
      <c r="F123" s="787">
        <v>2040</v>
      </c>
    </row>
    <row r="124" spans="1:6" s="767" customFormat="1" ht="14.25" customHeight="1" thickBot="1" x14ac:dyDescent="0.25">
      <c r="A124" s="779" t="s">
        <v>56</v>
      </c>
      <c r="B124" s="773" t="s">
        <v>337</v>
      </c>
      <c r="C124" s="773">
        <v>10390</v>
      </c>
      <c r="D124" s="773">
        <v>10360</v>
      </c>
      <c r="E124" s="773">
        <v>10680</v>
      </c>
      <c r="F124" s="791"/>
    </row>
    <row r="125" spans="1:6" s="767" customFormat="1" ht="14.25" customHeight="1" thickBot="1" x14ac:dyDescent="0.25">
      <c r="A125" s="779" t="s">
        <v>56</v>
      </c>
      <c r="B125" s="773" t="s">
        <v>347</v>
      </c>
      <c r="C125" s="773">
        <v>10440</v>
      </c>
      <c r="D125" s="773">
        <v>10410</v>
      </c>
      <c r="E125" s="773">
        <v>10710</v>
      </c>
      <c r="F125" s="791"/>
    </row>
    <row r="126" spans="1:6" s="767" customFormat="1" ht="14.25" customHeight="1" thickBot="1" x14ac:dyDescent="0.25">
      <c r="A126" s="779" t="s">
        <v>56</v>
      </c>
      <c r="B126" s="773" t="s">
        <v>357</v>
      </c>
      <c r="C126" s="773">
        <v>10780</v>
      </c>
      <c r="D126" s="773">
        <v>10750</v>
      </c>
      <c r="E126" s="773">
        <v>11080</v>
      </c>
      <c r="F126" s="791"/>
    </row>
    <row r="127" spans="1:6" s="767" customFormat="1" ht="14.25" customHeight="1" thickBot="1" x14ac:dyDescent="0.25">
      <c r="A127" s="779" t="s">
        <v>56</v>
      </c>
      <c r="B127" s="773" t="s">
        <v>367</v>
      </c>
      <c r="C127" s="773">
        <v>10100</v>
      </c>
      <c r="D127" s="773">
        <v>10070</v>
      </c>
      <c r="E127" s="773">
        <v>10350</v>
      </c>
      <c r="F127" s="791"/>
    </row>
    <row r="128" spans="1:6" s="767" customFormat="1" ht="14.25" customHeight="1" thickBot="1" x14ac:dyDescent="0.25">
      <c r="A128" s="779" t="s">
        <v>56</v>
      </c>
      <c r="B128" s="773" t="s">
        <v>377</v>
      </c>
      <c r="C128" s="773">
        <v>9200</v>
      </c>
      <c r="D128" s="773">
        <v>9160</v>
      </c>
      <c r="E128" s="773">
        <v>9660</v>
      </c>
      <c r="F128" s="791"/>
    </row>
    <row r="129" spans="1:6" s="767" customFormat="1" ht="14.25" customHeight="1" thickBot="1" x14ac:dyDescent="0.25">
      <c r="A129" s="779" t="s">
        <v>56</v>
      </c>
      <c r="B129" s="773" t="s">
        <v>386</v>
      </c>
      <c r="C129" s="773">
        <v>10340</v>
      </c>
      <c r="D129" s="773">
        <v>10310</v>
      </c>
      <c r="E129" s="773">
        <v>10580</v>
      </c>
      <c r="F129" s="791"/>
    </row>
    <row r="130" spans="1:6" s="767" customFormat="1" ht="14.25" customHeight="1" thickBot="1" x14ac:dyDescent="0.25">
      <c r="A130" s="779" t="s">
        <v>56</v>
      </c>
      <c r="B130" s="773" t="s">
        <v>395</v>
      </c>
      <c r="C130" s="773">
        <v>9680</v>
      </c>
      <c r="D130" s="773">
        <v>9660</v>
      </c>
      <c r="E130" s="773">
        <v>9950</v>
      </c>
      <c r="F130" s="791"/>
    </row>
    <row r="131" spans="1:6" s="767" customFormat="1" ht="14.25" customHeight="1" thickBot="1" x14ac:dyDescent="0.25">
      <c r="A131" s="779" t="s">
        <v>56</v>
      </c>
      <c r="B131" s="773" t="s">
        <v>403</v>
      </c>
      <c r="C131" s="773">
        <v>9540</v>
      </c>
      <c r="D131" s="773">
        <v>9510</v>
      </c>
      <c r="E131" s="773">
        <v>9790</v>
      </c>
      <c r="F131" s="791"/>
    </row>
    <row r="132" spans="1:6" s="767" customFormat="1" ht="14.25" customHeight="1" thickBot="1" x14ac:dyDescent="0.25">
      <c r="A132" s="779" t="s">
        <v>56</v>
      </c>
      <c r="B132" s="773" t="s">
        <v>410</v>
      </c>
      <c r="C132" s="773">
        <v>9320</v>
      </c>
      <c r="D132" s="773">
        <v>9290</v>
      </c>
      <c r="E132" s="773">
        <v>9570</v>
      </c>
      <c r="F132" s="791"/>
    </row>
    <row r="133" spans="1:6" s="767" customFormat="1" ht="14.25" customHeight="1" thickBot="1" x14ac:dyDescent="0.25">
      <c r="A133" s="779" t="s">
        <v>56</v>
      </c>
      <c r="B133" s="773" t="s">
        <v>417</v>
      </c>
      <c r="C133" s="773">
        <v>10310</v>
      </c>
      <c r="D133" s="773">
        <v>10280</v>
      </c>
      <c r="E133" s="773">
        <v>10530</v>
      </c>
      <c r="F133" s="791"/>
    </row>
    <row r="134" spans="1:6" s="767" customFormat="1" ht="14.25" customHeight="1" thickBot="1" x14ac:dyDescent="0.25">
      <c r="A134" s="779" t="s">
        <v>56</v>
      </c>
      <c r="B134" s="773" t="s">
        <v>424</v>
      </c>
      <c r="C134" s="773">
        <v>10370</v>
      </c>
      <c r="D134" s="773">
        <v>10310</v>
      </c>
      <c r="E134" s="773">
        <v>10240</v>
      </c>
      <c r="F134" s="787">
        <v>2060</v>
      </c>
    </row>
    <row r="135" spans="1:6" s="767" customFormat="1" ht="14.25" customHeight="1" thickBot="1" x14ac:dyDescent="0.25">
      <c r="A135" s="779" t="s">
        <v>56</v>
      </c>
      <c r="B135" s="773" t="s">
        <v>431</v>
      </c>
      <c r="C135" s="773">
        <v>9300</v>
      </c>
      <c r="D135" s="773">
        <v>9270</v>
      </c>
      <c r="E135" s="773">
        <v>9350</v>
      </c>
      <c r="F135" s="791"/>
    </row>
    <row r="136" spans="1:6" s="767" customFormat="1" ht="14.25" customHeight="1" thickBot="1" x14ac:dyDescent="0.25">
      <c r="A136" s="779" t="s">
        <v>56</v>
      </c>
      <c r="B136" s="773" t="s">
        <v>438</v>
      </c>
      <c r="C136" s="773">
        <v>10160</v>
      </c>
      <c r="D136" s="773">
        <v>10110</v>
      </c>
      <c r="E136" s="773">
        <v>10080</v>
      </c>
      <c r="F136" s="791"/>
    </row>
    <row r="137" spans="1:6" s="767" customFormat="1" ht="14.25" customHeight="1" thickBot="1" x14ac:dyDescent="0.25">
      <c r="A137" s="779" t="s">
        <v>56</v>
      </c>
      <c r="B137" s="773" t="s">
        <v>445</v>
      </c>
      <c r="C137" s="773">
        <v>9200</v>
      </c>
      <c r="D137" s="773">
        <v>9170</v>
      </c>
      <c r="E137" s="773">
        <v>9450</v>
      </c>
      <c r="F137" s="791"/>
    </row>
    <row r="138" spans="1:6" s="767" customFormat="1" ht="14.25" customHeight="1" thickBot="1" x14ac:dyDescent="0.25">
      <c r="A138" s="779" t="s">
        <v>56</v>
      </c>
      <c r="B138" s="773" t="s">
        <v>450</v>
      </c>
      <c r="C138" s="773">
        <v>9690</v>
      </c>
      <c r="D138" s="773">
        <v>9660</v>
      </c>
      <c r="E138" s="773">
        <v>9840</v>
      </c>
      <c r="F138" s="791"/>
    </row>
    <row r="139" spans="1:6" s="767" customFormat="1" ht="14.25" customHeight="1" thickBot="1" x14ac:dyDescent="0.25">
      <c r="A139" s="779" t="s">
        <v>56</v>
      </c>
      <c r="B139" s="773" t="s">
        <v>454</v>
      </c>
      <c r="C139" s="773">
        <v>10290</v>
      </c>
      <c r="D139" s="773">
        <v>10260</v>
      </c>
      <c r="E139" s="773">
        <v>10550</v>
      </c>
      <c r="F139" s="787">
        <v>1700</v>
      </c>
    </row>
    <row r="140" spans="1:6" s="767" customFormat="1" ht="14.25" customHeight="1" thickBot="1" x14ac:dyDescent="0.25">
      <c r="A140" s="779" t="s">
        <v>56</v>
      </c>
      <c r="B140" s="773" t="s">
        <v>459</v>
      </c>
      <c r="C140" s="773">
        <v>9740</v>
      </c>
      <c r="D140" s="773">
        <v>9710</v>
      </c>
      <c r="E140" s="773">
        <v>10000</v>
      </c>
      <c r="F140" s="787">
        <v>2000</v>
      </c>
    </row>
    <row r="141" spans="1:6" s="767" customFormat="1" ht="14.25" customHeight="1" thickBot="1" x14ac:dyDescent="0.25">
      <c r="A141" s="779" t="s">
        <v>56</v>
      </c>
      <c r="B141" s="773" t="s">
        <v>464</v>
      </c>
      <c r="C141" s="773">
        <v>9810</v>
      </c>
      <c r="D141" s="773">
        <v>9770</v>
      </c>
      <c r="E141" s="773">
        <v>10060</v>
      </c>
      <c r="F141" s="791"/>
    </row>
    <row r="142" spans="1:6" s="767" customFormat="1" ht="14.25" customHeight="1" thickBot="1" x14ac:dyDescent="0.25">
      <c r="A142" s="779" t="s">
        <v>56</v>
      </c>
      <c r="B142" s="773" t="s">
        <v>469</v>
      </c>
      <c r="C142" s="773">
        <v>9300</v>
      </c>
      <c r="D142" s="773">
        <v>9270</v>
      </c>
      <c r="E142" s="773">
        <v>9530</v>
      </c>
      <c r="F142" s="791"/>
    </row>
    <row r="143" spans="1:6" s="767" customFormat="1" ht="14.25" customHeight="1" thickBot="1" x14ac:dyDescent="0.25">
      <c r="A143" s="779" t="s">
        <v>56</v>
      </c>
      <c r="B143" s="773" t="s">
        <v>474</v>
      </c>
      <c r="C143" s="773">
        <v>10080</v>
      </c>
      <c r="D143" s="773">
        <v>10050</v>
      </c>
      <c r="E143" s="773">
        <v>10340</v>
      </c>
      <c r="F143" s="791"/>
    </row>
    <row r="144" spans="1:6" s="767" customFormat="1" ht="14.25" customHeight="1" thickBot="1" x14ac:dyDescent="0.25">
      <c r="A144" s="779" t="s">
        <v>56</v>
      </c>
      <c r="B144" s="773" t="s">
        <v>478</v>
      </c>
      <c r="C144" s="773">
        <v>9820</v>
      </c>
      <c r="D144" s="773">
        <v>9750</v>
      </c>
      <c r="E144" s="773">
        <v>9900</v>
      </c>
      <c r="F144" s="791"/>
    </row>
    <row r="145" spans="1:6" s="767" customFormat="1" ht="14.25" customHeight="1" thickBot="1" x14ac:dyDescent="0.25">
      <c r="A145" s="779" t="s">
        <v>56</v>
      </c>
      <c r="B145" s="773" t="s">
        <v>482</v>
      </c>
      <c r="C145" s="773"/>
      <c r="D145" s="773"/>
      <c r="E145" s="773"/>
      <c r="F145" s="787">
        <v>1740</v>
      </c>
    </row>
    <row r="146" spans="1:6" s="767" customFormat="1" ht="14.25" customHeight="1" thickBot="1" x14ac:dyDescent="0.25">
      <c r="A146" s="779" t="s">
        <v>56</v>
      </c>
      <c r="B146" s="773" t="s">
        <v>486</v>
      </c>
      <c r="C146" s="773"/>
      <c r="D146" s="773"/>
      <c r="E146" s="773"/>
      <c r="F146" s="787">
        <v>1740</v>
      </c>
    </row>
    <row r="147" spans="1:6" s="767" customFormat="1" ht="14.25" customHeight="1" thickBot="1" x14ac:dyDescent="0.25">
      <c r="A147" s="779" t="s">
        <v>56</v>
      </c>
      <c r="B147" s="773" t="s">
        <v>490</v>
      </c>
      <c r="C147" s="773"/>
      <c r="D147" s="773"/>
      <c r="E147" s="773"/>
      <c r="F147" s="787">
        <v>1740</v>
      </c>
    </row>
    <row r="148" spans="1:6" s="767" customFormat="1" ht="14.25" customHeight="1" thickBot="1" x14ac:dyDescent="0.25">
      <c r="A148" s="779" t="s">
        <v>56</v>
      </c>
      <c r="B148" s="773" t="s">
        <v>494</v>
      </c>
      <c r="C148" s="773"/>
      <c r="D148" s="773"/>
      <c r="E148" s="773"/>
      <c r="F148" s="787">
        <v>1740</v>
      </c>
    </row>
    <row r="149" spans="1:6" s="767" customFormat="1" ht="14.25" customHeight="1" thickBot="1" x14ac:dyDescent="0.25">
      <c r="A149" s="779" t="s">
        <v>56</v>
      </c>
      <c r="B149" s="773" t="s">
        <v>498</v>
      </c>
      <c r="C149" s="773"/>
      <c r="D149" s="773"/>
      <c r="E149" s="773"/>
      <c r="F149" s="787">
        <v>1740</v>
      </c>
    </row>
    <row r="150" spans="1:6" s="767" customFormat="1" ht="14.25" customHeight="1" thickBot="1" x14ac:dyDescent="0.25">
      <c r="A150" s="779" t="s">
        <v>56</v>
      </c>
      <c r="B150" s="773" t="s">
        <v>501</v>
      </c>
      <c r="C150" s="773"/>
      <c r="D150" s="773"/>
      <c r="E150" s="773"/>
      <c r="F150" s="787">
        <v>1610</v>
      </c>
    </row>
    <row r="151" spans="1:6" s="767" customFormat="1" ht="14.25" customHeight="1" thickBot="1" x14ac:dyDescent="0.25">
      <c r="A151" s="779" t="s">
        <v>56</v>
      </c>
      <c r="B151" s="773" t="s">
        <v>504</v>
      </c>
      <c r="C151" s="773"/>
      <c r="D151" s="773"/>
      <c r="E151" s="773"/>
      <c r="F151" s="787">
        <v>1610</v>
      </c>
    </row>
    <row r="152" spans="1:6" s="767" customFormat="1" ht="14.25" customHeight="1" thickBot="1" x14ac:dyDescent="0.25">
      <c r="A152" s="779" t="s">
        <v>56</v>
      </c>
      <c r="B152" s="773" t="s">
        <v>507</v>
      </c>
      <c r="C152" s="773"/>
      <c r="D152" s="773"/>
      <c r="E152" s="773"/>
      <c r="F152" s="787">
        <v>1610</v>
      </c>
    </row>
    <row r="153" spans="1:6" s="767" customFormat="1" ht="14.25" customHeight="1" thickBot="1" x14ac:dyDescent="0.25">
      <c r="A153" s="779" t="s">
        <v>56</v>
      </c>
      <c r="B153" s="773" t="s">
        <v>510</v>
      </c>
      <c r="C153" s="773"/>
      <c r="D153" s="773"/>
      <c r="E153" s="773"/>
      <c r="F153" s="787">
        <v>1610</v>
      </c>
    </row>
    <row r="154" spans="1:6" s="767" customFormat="1" ht="14.25" customHeight="1" thickBot="1" x14ac:dyDescent="0.25">
      <c r="A154" s="779" t="s">
        <v>56</v>
      </c>
      <c r="B154" s="773" t="s">
        <v>513</v>
      </c>
      <c r="C154" s="773"/>
      <c r="D154" s="773"/>
      <c r="E154" s="773"/>
      <c r="F154" s="787">
        <v>1610</v>
      </c>
    </row>
    <row r="155" spans="1:6" s="767" customFormat="1" ht="14.25" customHeight="1" thickBot="1" x14ac:dyDescent="0.25">
      <c r="A155" s="779" t="s">
        <v>56</v>
      </c>
      <c r="B155" s="773" t="s">
        <v>516</v>
      </c>
      <c r="C155" s="773"/>
      <c r="D155" s="773"/>
      <c r="E155" s="773"/>
      <c r="F155" s="787">
        <v>1800</v>
      </c>
    </row>
    <row r="156" spans="1:6" s="767" customFormat="1" ht="14.25" customHeight="1" thickBot="1" x14ac:dyDescent="0.25">
      <c r="A156" s="779" t="s">
        <v>56</v>
      </c>
      <c r="B156" s="773" t="s">
        <v>518</v>
      </c>
      <c r="C156" s="773"/>
      <c r="D156" s="773"/>
      <c r="E156" s="773"/>
      <c r="F156" s="787">
        <v>1910</v>
      </c>
    </row>
    <row r="157" spans="1:6" s="767" customFormat="1" ht="14.25" customHeight="1" thickBot="1" x14ac:dyDescent="0.25">
      <c r="A157" s="779" t="s">
        <v>56</v>
      </c>
      <c r="B157" s="785" t="s">
        <v>521</v>
      </c>
      <c r="C157" s="785"/>
      <c r="D157" s="785"/>
      <c r="E157" s="785"/>
      <c r="F157" s="790">
        <v>1500</v>
      </c>
    </row>
    <row r="158" spans="1:6" s="767" customFormat="1" ht="14.25" customHeight="1" thickBot="1" x14ac:dyDescent="0.25">
      <c r="A158" s="779" t="s">
        <v>526</v>
      </c>
      <c r="B158" s="780" t="s">
        <v>527</v>
      </c>
      <c r="C158" s="780">
        <v>8170</v>
      </c>
      <c r="D158" s="780">
        <v>8140</v>
      </c>
      <c r="E158" s="780">
        <v>8590</v>
      </c>
      <c r="F158" s="781">
        <v>1450</v>
      </c>
    </row>
    <row r="159" spans="1:6" s="767" customFormat="1" ht="14.25" customHeight="1" thickBot="1" x14ac:dyDescent="0.25">
      <c r="A159" s="779" t="s">
        <v>526</v>
      </c>
      <c r="B159" s="773" t="s">
        <v>193</v>
      </c>
      <c r="C159" s="773">
        <v>7410</v>
      </c>
      <c r="D159" s="773">
        <v>7370</v>
      </c>
      <c r="E159" s="773">
        <v>8030</v>
      </c>
      <c r="F159" s="787">
        <v>1510</v>
      </c>
    </row>
    <row r="160" spans="1:6" s="767" customFormat="1" ht="14.25" customHeight="1" thickBot="1" x14ac:dyDescent="0.25">
      <c r="A160" s="779" t="s">
        <v>526</v>
      </c>
      <c r="B160" s="773" t="s">
        <v>206</v>
      </c>
      <c r="C160" s="773">
        <v>7240</v>
      </c>
      <c r="D160" s="773">
        <v>7210</v>
      </c>
      <c r="E160" s="773">
        <v>7860</v>
      </c>
      <c r="F160" s="787">
        <v>1370</v>
      </c>
    </row>
    <row r="161" spans="1:6" s="767" customFormat="1" ht="14.25" customHeight="1" thickBot="1" x14ac:dyDescent="0.25">
      <c r="A161" s="779" t="s">
        <v>526</v>
      </c>
      <c r="B161" s="773" t="s">
        <v>219</v>
      </c>
      <c r="C161" s="773">
        <v>7720</v>
      </c>
      <c r="D161" s="773">
        <v>7690</v>
      </c>
      <c r="E161" s="773">
        <v>8200</v>
      </c>
      <c r="F161" s="787">
        <v>1190</v>
      </c>
    </row>
    <row r="162" spans="1:6" s="767" customFormat="1" ht="14.25" customHeight="1" thickBot="1" x14ac:dyDescent="0.25">
      <c r="A162" s="779" t="s">
        <v>526</v>
      </c>
      <c r="B162" s="773" t="s">
        <v>231</v>
      </c>
      <c r="C162" s="773">
        <v>6900</v>
      </c>
      <c r="D162" s="773">
        <v>6870</v>
      </c>
      <c r="E162" s="773">
        <v>7500</v>
      </c>
      <c r="F162" s="787">
        <v>1390</v>
      </c>
    </row>
    <row r="163" spans="1:6" s="767" customFormat="1" ht="14.25" customHeight="1" thickBot="1" x14ac:dyDescent="0.25">
      <c r="A163" s="779" t="s">
        <v>526</v>
      </c>
      <c r="B163" s="773" t="s">
        <v>242</v>
      </c>
      <c r="C163" s="773">
        <v>7120</v>
      </c>
      <c r="D163" s="773">
        <v>7090</v>
      </c>
      <c r="E163" s="773">
        <v>7690</v>
      </c>
      <c r="F163" s="787">
        <v>1230</v>
      </c>
    </row>
    <row r="164" spans="1:6" s="767" customFormat="1" ht="14.25" customHeight="1" thickBot="1" x14ac:dyDescent="0.25">
      <c r="A164" s="779" t="s">
        <v>526</v>
      </c>
      <c r="B164" s="773" t="s">
        <v>253</v>
      </c>
      <c r="C164" s="773">
        <v>6560</v>
      </c>
      <c r="D164" s="773">
        <v>6530</v>
      </c>
      <c r="E164" s="773">
        <v>7110</v>
      </c>
      <c r="F164" s="787">
        <v>1340</v>
      </c>
    </row>
    <row r="165" spans="1:6" s="767" customFormat="1" ht="14.25" customHeight="1" thickBot="1" x14ac:dyDescent="0.25">
      <c r="A165" s="779" t="s">
        <v>526</v>
      </c>
      <c r="B165" s="773" t="s">
        <v>264</v>
      </c>
      <c r="C165" s="773">
        <v>7450</v>
      </c>
      <c r="D165" s="773">
        <v>7430</v>
      </c>
      <c r="E165" s="773">
        <v>8110</v>
      </c>
      <c r="F165" s="787">
        <v>1290</v>
      </c>
    </row>
    <row r="166" spans="1:6" s="767" customFormat="1" ht="14.25" customHeight="1" thickBot="1" x14ac:dyDescent="0.25">
      <c r="A166" s="779" t="s">
        <v>526</v>
      </c>
      <c r="B166" s="773" t="s">
        <v>276</v>
      </c>
      <c r="C166" s="773">
        <v>7490</v>
      </c>
      <c r="D166" s="773">
        <v>7460</v>
      </c>
      <c r="E166" s="773">
        <v>8150</v>
      </c>
      <c r="F166" s="787">
        <v>1350</v>
      </c>
    </row>
    <row r="167" spans="1:6" s="767" customFormat="1" ht="14.25" customHeight="1" thickBot="1" x14ac:dyDescent="0.25">
      <c r="A167" s="779" t="s">
        <v>526</v>
      </c>
      <c r="B167" s="773" t="s">
        <v>286</v>
      </c>
      <c r="C167" s="773">
        <v>7540</v>
      </c>
      <c r="D167" s="773">
        <v>7510</v>
      </c>
      <c r="E167" s="773">
        <v>8030</v>
      </c>
      <c r="F167" s="791"/>
    </row>
    <row r="168" spans="1:6" s="767" customFormat="1" ht="14.25" customHeight="1" thickBot="1" x14ac:dyDescent="0.25">
      <c r="A168" s="779" t="s">
        <v>526</v>
      </c>
      <c r="B168" s="773" t="s">
        <v>296</v>
      </c>
      <c r="C168" s="773">
        <v>7210</v>
      </c>
      <c r="D168" s="773">
        <v>7180</v>
      </c>
      <c r="E168" s="773">
        <v>7830</v>
      </c>
      <c r="F168" s="791"/>
    </row>
    <row r="169" spans="1:6" s="767" customFormat="1" ht="14.25" customHeight="1" thickBot="1" x14ac:dyDescent="0.25">
      <c r="A169" s="779" t="s">
        <v>526</v>
      </c>
      <c r="B169" s="773" t="s">
        <v>306</v>
      </c>
      <c r="C169" s="773">
        <v>7040</v>
      </c>
      <c r="D169" s="773">
        <v>7020</v>
      </c>
      <c r="E169" s="773">
        <v>7670</v>
      </c>
      <c r="F169" s="791"/>
    </row>
    <row r="170" spans="1:6" s="767" customFormat="1" ht="14.25" customHeight="1" thickBot="1" x14ac:dyDescent="0.25">
      <c r="A170" s="779" t="s">
        <v>526</v>
      </c>
      <c r="B170" s="773" t="s">
        <v>316</v>
      </c>
      <c r="C170" s="773">
        <v>8040</v>
      </c>
      <c r="D170" s="773">
        <v>7190</v>
      </c>
      <c r="E170" s="773">
        <v>7850</v>
      </c>
      <c r="F170" s="791"/>
    </row>
    <row r="171" spans="1:6" s="767" customFormat="1" ht="14.25" customHeight="1" thickBot="1" x14ac:dyDescent="0.25">
      <c r="A171" s="779" t="s">
        <v>526</v>
      </c>
      <c r="B171" s="773" t="s">
        <v>327</v>
      </c>
      <c r="C171" s="773">
        <v>7860</v>
      </c>
      <c r="D171" s="773">
        <v>7720</v>
      </c>
      <c r="E171" s="773">
        <v>8150</v>
      </c>
      <c r="F171" s="787">
        <v>1110</v>
      </c>
    </row>
    <row r="172" spans="1:6" s="767" customFormat="1" ht="14.25" customHeight="1" thickBot="1" x14ac:dyDescent="0.25">
      <c r="A172" s="779" t="s">
        <v>526</v>
      </c>
      <c r="B172" s="773" t="s">
        <v>338</v>
      </c>
      <c r="C172" s="773">
        <v>7210</v>
      </c>
      <c r="D172" s="773">
        <v>7170</v>
      </c>
      <c r="E172" s="773">
        <v>7320</v>
      </c>
      <c r="F172" s="791"/>
    </row>
    <row r="173" spans="1:6" s="767" customFormat="1" ht="14.25" customHeight="1" thickBot="1" x14ac:dyDescent="0.25">
      <c r="A173" s="779" t="s">
        <v>526</v>
      </c>
      <c r="B173" s="773" t="s">
        <v>348</v>
      </c>
      <c r="C173" s="773">
        <v>6860</v>
      </c>
      <c r="D173" s="773">
        <v>6810</v>
      </c>
      <c r="E173" s="773">
        <v>7440</v>
      </c>
      <c r="F173" s="791"/>
    </row>
    <row r="174" spans="1:6" s="767" customFormat="1" ht="14.25" customHeight="1" thickBot="1" x14ac:dyDescent="0.25">
      <c r="A174" s="779" t="s">
        <v>526</v>
      </c>
      <c r="B174" s="773" t="s">
        <v>358</v>
      </c>
      <c r="C174" s="773">
        <v>7120</v>
      </c>
      <c r="D174" s="773">
        <v>7090</v>
      </c>
      <c r="E174" s="773">
        <v>7500</v>
      </c>
      <c r="F174" s="787">
        <v>1490</v>
      </c>
    </row>
    <row r="175" spans="1:6" s="767" customFormat="1" ht="14.25" customHeight="1" thickBot="1" x14ac:dyDescent="0.25">
      <c r="A175" s="779" t="s">
        <v>526</v>
      </c>
      <c r="B175" s="773" t="s">
        <v>368</v>
      </c>
      <c r="C175" s="773">
        <v>7850</v>
      </c>
      <c r="D175" s="773">
        <v>7820</v>
      </c>
      <c r="E175" s="773">
        <v>8120</v>
      </c>
      <c r="F175" s="787">
        <v>1530</v>
      </c>
    </row>
    <row r="176" spans="1:6" s="767" customFormat="1" ht="14.25" customHeight="1" thickBot="1" x14ac:dyDescent="0.25">
      <c r="A176" s="779" t="s">
        <v>526</v>
      </c>
      <c r="B176" s="773" t="s">
        <v>378</v>
      </c>
      <c r="C176" s="773">
        <v>7620</v>
      </c>
      <c r="D176" s="773">
        <v>7570</v>
      </c>
      <c r="E176" s="773">
        <v>7990</v>
      </c>
      <c r="F176" s="787">
        <v>1480</v>
      </c>
    </row>
    <row r="177" spans="1:6" s="767" customFormat="1" ht="14.25" customHeight="1" thickBot="1" x14ac:dyDescent="0.25">
      <c r="A177" s="779" t="s">
        <v>526</v>
      </c>
      <c r="B177" s="773" t="s">
        <v>387</v>
      </c>
      <c r="C177" s="773">
        <v>8590</v>
      </c>
      <c r="D177" s="773">
        <v>8570</v>
      </c>
      <c r="E177" s="773">
        <v>8740</v>
      </c>
      <c r="F177" s="787">
        <v>1540</v>
      </c>
    </row>
    <row r="178" spans="1:6" s="767" customFormat="1" ht="14.25" customHeight="1" thickBot="1" x14ac:dyDescent="0.25">
      <c r="A178" s="779" t="s">
        <v>526</v>
      </c>
      <c r="B178" s="773" t="s">
        <v>396</v>
      </c>
      <c r="C178" s="773">
        <v>7510</v>
      </c>
      <c r="D178" s="773">
        <v>7470</v>
      </c>
      <c r="E178" s="773">
        <v>8090</v>
      </c>
      <c r="F178" s="787">
        <v>1320</v>
      </c>
    </row>
    <row r="179" spans="1:6" s="767" customFormat="1" ht="14.25" customHeight="1" thickBot="1" x14ac:dyDescent="0.25">
      <c r="A179" s="779" t="s">
        <v>526</v>
      </c>
      <c r="B179" s="773" t="s">
        <v>404</v>
      </c>
      <c r="C179" s="773">
        <v>6380</v>
      </c>
      <c r="D179" s="773">
        <v>6340</v>
      </c>
      <c r="E179" s="773">
        <v>6810</v>
      </c>
      <c r="F179" s="791"/>
    </row>
    <row r="180" spans="1:6" s="767" customFormat="1" ht="14.25" customHeight="1" thickBot="1" x14ac:dyDescent="0.25">
      <c r="A180" s="779" t="s">
        <v>526</v>
      </c>
      <c r="B180" s="773" t="s">
        <v>411</v>
      </c>
      <c r="C180" s="773">
        <v>7830</v>
      </c>
      <c r="D180" s="773">
        <v>7800</v>
      </c>
      <c r="E180" s="773">
        <v>7780</v>
      </c>
      <c r="F180" s="787">
        <v>1440</v>
      </c>
    </row>
    <row r="181" spans="1:6" s="767" customFormat="1" ht="14.25" customHeight="1" thickBot="1" x14ac:dyDescent="0.25">
      <c r="A181" s="779" t="s">
        <v>526</v>
      </c>
      <c r="B181" s="773" t="s">
        <v>418</v>
      </c>
      <c r="C181" s="773">
        <v>7110</v>
      </c>
      <c r="D181" s="773">
        <v>7080</v>
      </c>
      <c r="E181" s="773">
        <v>7730</v>
      </c>
      <c r="F181" s="787">
        <v>1350</v>
      </c>
    </row>
    <row r="182" spans="1:6" s="767" customFormat="1" ht="14.25" customHeight="1" thickBot="1" x14ac:dyDescent="0.25">
      <c r="A182" s="779" t="s">
        <v>526</v>
      </c>
      <c r="B182" s="773" t="s">
        <v>425</v>
      </c>
      <c r="C182" s="773">
        <v>7310</v>
      </c>
      <c r="D182" s="773">
        <v>7280</v>
      </c>
      <c r="E182" s="773">
        <v>7950</v>
      </c>
      <c r="F182" s="787">
        <v>1220</v>
      </c>
    </row>
    <row r="183" spans="1:6" s="767" customFormat="1" ht="14.25" customHeight="1" thickBot="1" x14ac:dyDescent="0.25">
      <c r="A183" s="779" t="s">
        <v>526</v>
      </c>
      <c r="B183" s="773" t="s">
        <v>432</v>
      </c>
      <c r="C183" s="773">
        <v>7470</v>
      </c>
      <c r="D183" s="773">
        <v>7440</v>
      </c>
      <c r="E183" s="773">
        <v>7880</v>
      </c>
      <c r="F183" s="791"/>
    </row>
    <row r="184" spans="1:6" s="767" customFormat="1" ht="14.25" customHeight="1" thickBot="1" x14ac:dyDescent="0.25">
      <c r="A184" s="779" t="s">
        <v>526</v>
      </c>
      <c r="B184" s="773" t="s">
        <v>439</v>
      </c>
      <c r="C184" s="773">
        <v>6960</v>
      </c>
      <c r="D184" s="773">
        <v>6930</v>
      </c>
      <c r="E184" s="773">
        <v>7570</v>
      </c>
      <c r="F184" s="791"/>
    </row>
    <row r="185" spans="1:6" s="767" customFormat="1" ht="14.25" customHeight="1" thickBot="1" x14ac:dyDescent="0.25">
      <c r="A185" s="779" t="s">
        <v>526</v>
      </c>
      <c r="B185" s="773" t="s">
        <v>446</v>
      </c>
      <c r="C185" s="773">
        <v>7260</v>
      </c>
      <c r="D185" s="773">
        <v>7230</v>
      </c>
      <c r="E185" s="773">
        <v>7710</v>
      </c>
      <c r="F185" s="787">
        <v>1360</v>
      </c>
    </row>
    <row r="186" spans="1:6" s="767" customFormat="1" ht="14.25" customHeight="1" thickBot="1" x14ac:dyDescent="0.25">
      <c r="A186" s="779" t="s">
        <v>526</v>
      </c>
      <c r="B186" s="773" t="s">
        <v>451</v>
      </c>
      <c r="C186" s="773"/>
      <c r="D186" s="773"/>
      <c r="E186" s="773"/>
      <c r="F186" s="787">
        <v>1560</v>
      </c>
    </row>
    <row r="187" spans="1:6" s="767" customFormat="1" ht="14.25" customHeight="1" thickBot="1" x14ac:dyDescent="0.25">
      <c r="A187" s="779" t="s">
        <v>526</v>
      </c>
      <c r="B187" s="773" t="s">
        <v>455</v>
      </c>
      <c r="C187" s="773"/>
      <c r="D187" s="773"/>
      <c r="E187" s="773"/>
      <c r="F187" s="787">
        <v>1560</v>
      </c>
    </row>
    <row r="188" spans="1:6" s="767" customFormat="1" ht="14.25" customHeight="1" thickBot="1" x14ac:dyDescent="0.25">
      <c r="A188" s="779" t="s">
        <v>526</v>
      </c>
      <c r="B188" s="773" t="s">
        <v>460</v>
      </c>
      <c r="C188" s="773"/>
      <c r="D188" s="773"/>
      <c r="E188" s="773"/>
      <c r="F188" s="787">
        <v>1560</v>
      </c>
    </row>
    <row r="189" spans="1:6" s="767" customFormat="1" ht="14.25" customHeight="1" thickBot="1" x14ac:dyDescent="0.25">
      <c r="A189" s="779" t="s">
        <v>526</v>
      </c>
      <c r="B189" s="773" t="s">
        <v>465</v>
      </c>
      <c r="C189" s="773"/>
      <c r="D189" s="773"/>
      <c r="E189" s="773"/>
      <c r="F189" s="787">
        <v>1320</v>
      </c>
    </row>
    <row r="190" spans="1:6" s="767" customFormat="1" ht="14.25" customHeight="1" thickBot="1" x14ac:dyDescent="0.25">
      <c r="A190" s="779" t="s">
        <v>526</v>
      </c>
      <c r="B190" s="773" t="s">
        <v>470</v>
      </c>
      <c r="C190" s="773"/>
      <c r="D190" s="773"/>
      <c r="E190" s="773"/>
      <c r="F190" s="787">
        <v>1320</v>
      </c>
    </row>
    <row r="191" spans="1:6" s="767" customFormat="1" ht="14.25" customHeight="1" thickBot="1" x14ac:dyDescent="0.25">
      <c r="A191" s="779" t="s">
        <v>526</v>
      </c>
      <c r="B191" s="773" t="s">
        <v>475</v>
      </c>
      <c r="C191" s="773"/>
      <c r="D191" s="773"/>
      <c r="E191" s="773"/>
      <c r="F191" s="787">
        <v>1320</v>
      </c>
    </row>
    <row r="192" spans="1:6" s="767" customFormat="1" ht="14.25" customHeight="1" thickBot="1" x14ac:dyDescent="0.25">
      <c r="A192" s="779" t="s">
        <v>526</v>
      </c>
      <c r="B192" s="773" t="s">
        <v>479</v>
      </c>
      <c r="C192" s="773"/>
      <c r="D192" s="773"/>
      <c r="E192" s="773"/>
      <c r="F192" s="787">
        <v>1100</v>
      </c>
    </row>
    <row r="193" spans="1:6" s="767" customFormat="1" ht="14.25" customHeight="1" thickBot="1" x14ac:dyDescent="0.25">
      <c r="A193" s="779" t="s">
        <v>526</v>
      </c>
      <c r="B193" s="773" t="s">
        <v>483</v>
      </c>
      <c r="C193" s="773"/>
      <c r="D193" s="773"/>
      <c r="E193" s="773"/>
      <c r="F193" s="787">
        <v>1100</v>
      </c>
    </row>
    <row r="194" spans="1:6" s="767" customFormat="1" ht="14.25" customHeight="1" thickBot="1" x14ac:dyDescent="0.25">
      <c r="A194" s="779" t="s">
        <v>526</v>
      </c>
      <c r="B194" s="773" t="s">
        <v>487</v>
      </c>
      <c r="C194" s="773"/>
      <c r="D194" s="773"/>
      <c r="E194" s="773"/>
      <c r="F194" s="787">
        <v>1080</v>
      </c>
    </row>
    <row r="195" spans="1:6" s="767" customFormat="1" ht="14.25" customHeight="1" thickBot="1" x14ac:dyDescent="0.25">
      <c r="A195" s="779" t="s">
        <v>526</v>
      </c>
      <c r="B195" s="773" t="s">
        <v>491</v>
      </c>
      <c r="C195" s="773"/>
      <c r="D195" s="773"/>
      <c r="E195" s="773"/>
      <c r="F195" s="787">
        <v>1270</v>
      </c>
    </row>
    <row r="196" spans="1:6" s="767" customFormat="1" ht="14.25" customHeight="1" thickBot="1" x14ac:dyDescent="0.25">
      <c r="A196" s="779" t="s">
        <v>526</v>
      </c>
      <c r="B196" s="773" t="s">
        <v>495</v>
      </c>
      <c r="C196" s="773"/>
      <c r="D196" s="773"/>
      <c r="E196" s="773"/>
      <c r="F196" s="787">
        <v>1150</v>
      </c>
    </row>
    <row r="197" spans="1:6" s="767" customFormat="1" ht="14.25" customHeight="1" thickBot="1" x14ac:dyDescent="0.25">
      <c r="A197" s="779" t="s">
        <v>526</v>
      </c>
      <c r="B197" s="773" t="s">
        <v>499</v>
      </c>
      <c r="C197" s="773"/>
      <c r="D197" s="773"/>
      <c r="E197" s="773"/>
      <c r="F197" s="787">
        <v>1330</v>
      </c>
    </row>
    <row r="198" spans="1:6" s="767" customFormat="1" ht="14.25" customHeight="1" thickBot="1" x14ac:dyDescent="0.25">
      <c r="A198" s="779" t="s">
        <v>526</v>
      </c>
      <c r="B198" s="773" t="s">
        <v>502</v>
      </c>
      <c r="C198" s="773"/>
      <c r="D198" s="773"/>
      <c r="E198" s="773"/>
      <c r="F198" s="787">
        <v>1170</v>
      </c>
    </row>
    <row r="199" spans="1:6" s="767" customFormat="1" ht="14.25" customHeight="1" thickBot="1" x14ac:dyDescent="0.25">
      <c r="A199" s="779" t="s">
        <v>526</v>
      </c>
      <c r="B199" s="773" t="s">
        <v>505</v>
      </c>
      <c r="C199" s="773"/>
      <c r="D199" s="773"/>
      <c r="E199" s="773"/>
      <c r="F199" s="787">
        <v>1120</v>
      </c>
    </row>
    <row r="200" spans="1:6" s="767" customFormat="1" ht="14.25" customHeight="1" thickBot="1" x14ac:dyDescent="0.25">
      <c r="A200" s="779" t="s">
        <v>526</v>
      </c>
      <c r="B200" s="773" t="s">
        <v>508</v>
      </c>
      <c r="C200" s="773"/>
      <c r="D200" s="773"/>
      <c r="E200" s="773"/>
      <c r="F200" s="787">
        <v>1120</v>
      </c>
    </row>
    <row r="201" spans="1:6" s="767" customFormat="1" ht="14.25" customHeight="1" thickBot="1" x14ac:dyDescent="0.25">
      <c r="A201" s="779" t="s">
        <v>526</v>
      </c>
      <c r="B201" s="773" t="s">
        <v>511</v>
      </c>
      <c r="C201" s="773"/>
      <c r="D201" s="773"/>
      <c r="E201" s="773"/>
      <c r="F201" s="787">
        <v>1540</v>
      </c>
    </row>
    <row r="202" spans="1:6" s="767" customFormat="1" ht="14.25" customHeight="1" thickBot="1" x14ac:dyDescent="0.25">
      <c r="A202" s="779" t="s">
        <v>526</v>
      </c>
      <c r="B202" s="773" t="s">
        <v>514</v>
      </c>
      <c r="C202" s="773"/>
      <c r="D202" s="773"/>
      <c r="E202" s="773"/>
      <c r="F202" s="787">
        <v>1310</v>
      </c>
    </row>
    <row r="203" spans="1:6" s="767" customFormat="1" ht="14.25" customHeight="1" thickBot="1" x14ac:dyDescent="0.25">
      <c r="A203" s="779" t="s">
        <v>526</v>
      </c>
      <c r="B203" s="773" t="s">
        <v>517</v>
      </c>
      <c r="C203" s="773"/>
      <c r="D203" s="773"/>
      <c r="E203" s="773"/>
      <c r="F203" s="787">
        <v>1310</v>
      </c>
    </row>
    <row r="204" spans="1:6" s="767" customFormat="1" ht="14.25" customHeight="1" thickBot="1" x14ac:dyDescent="0.25">
      <c r="A204" s="779" t="s">
        <v>526</v>
      </c>
      <c r="B204" s="773" t="s">
        <v>519</v>
      </c>
      <c r="C204" s="773"/>
      <c r="D204" s="773"/>
      <c r="E204" s="773"/>
      <c r="F204" s="787">
        <v>1080</v>
      </c>
    </row>
    <row r="205" spans="1:6" s="767" customFormat="1" ht="14.25" customHeight="1" thickBot="1" x14ac:dyDescent="0.25">
      <c r="A205" s="779" t="s">
        <v>526</v>
      </c>
      <c r="B205" s="773" t="s">
        <v>522</v>
      </c>
      <c r="C205" s="773"/>
      <c r="D205" s="773"/>
      <c r="E205" s="773"/>
      <c r="F205" s="787">
        <v>1080</v>
      </c>
    </row>
    <row r="206" spans="1:6" s="767" customFormat="1" ht="14.25" customHeight="1" thickBot="1" x14ac:dyDescent="0.25">
      <c r="A206" s="779" t="s">
        <v>528</v>
      </c>
      <c r="B206" s="780" t="s">
        <v>529</v>
      </c>
      <c r="C206" s="780">
        <v>5450</v>
      </c>
      <c r="D206" s="780">
        <v>5430</v>
      </c>
      <c r="E206" s="780">
        <v>5700</v>
      </c>
      <c r="F206" s="781">
        <v>1020</v>
      </c>
    </row>
    <row r="207" spans="1:6" s="767" customFormat="1" ht="14.25" customHeight="1" thickBot="1" x14ac:dyDescent="0.25">
      <c r="A207" s="779" t="s">
        <v>528</v>
      </c>
      <c r="B207" s="773" t="s">
        <v>194</v>
      </c>
      <c r="C207" s="773">
        <v>5860</v>
      </c>
      <c r="D207" s="773">
        <v>5820</v>
      </c>
      <c r="E207" s="773">
        <v>6050</v>
      </c>
      <c r="F207" s="787">
        <v>1080</v>
      </c>
    </row>
    <row r="208" spans="1:6" s="767" customFormat="1" ht="14.25" customHeight="1" thickBot="1" x14ac:dyDescent="0.25">
      <c r="A208" s="779" t="s">
        <v>528</v>
      </c>
      <c r="B208" s="773" t="s">
        <v>207</v>
      </c>
      <c r="C208" s="773">
        <v>4630</v>
      </c>
      <c r="D208" s="773">
        <v>4600</v>
      </c>
      <c r="E208" s="773">
        <v>4840</v>
      </c>
      <c r="F208" s="787">
        <v>900</v>
      </c>
    </row>
    <row r="209" spans="1:6" s="767" customFormat="1" ht="14.25" customHeight="1" thickBot="1" x14ac:dyDescent="0.25">
      <c r="A209" s="779" t="s">
        <v>528</v>
      </c>
      <c r="B209" s="773" t="s">
        <v>220</v>
      </c>
      <c r="C209" s="773">
        <v>5320</v>
      </c>
      <c r="D209" s="773">
        <v>5270</v>
      </c>
      <c r="E209" s="773">
        <v>5540</v>
      </c>
      <c r="F209" s="787">
        <v>980</v>
      </c>
    </row>
    <row r="210" spans="1:6" s="767" customFormat="1" ht="14.25" customHeight="1" thickBot="1" x14ac:dyDescent="0.25">
      <c r="A210" s="779" t="s">
        <v>528</v>
      </c>
      <c r="B210" s="773" t="s">
        <v>232</v>
      </c>
      <c r="C210" s="773">
        <v>5760</v>
      </c>
      <c r="D210" s="773">
        <v>5710</v>
      </c>
      <c r="E210" s="773">
        <v>6010</v>
      </c>
      <c r="F210" s="787">
        <v>870</v>
      </c>
    </row>
    <row r="211" spans="1:6" s="767" customFormat="1" ht="14.25" customHeight="1" thickBot="1" x14ac:dyDescent="0.25">
      <c r="A211" s="779" t="s">
        <v>528</v>
      </c>
      <c r="B211" s="773" t="s">
        <v>243</v>
      </c>
      <c r="C211" s="773">
        <v>4160</v>
      </c>
      <c r="D211" s="773">
        <v>4100</v>
      </c>
      <c r="E211" s="773">
        <v>4270</v>
      </c>
      <c r="F211" s="787">
        <v>790</v>
      </c>
    </row>
    <row r="212" spans="1:6" s="767" customFormat="1" ht="14.25" customHeight="1" thickBot="1" x14ac:dyDescent="0.25">
      <c r="A212" s="779" t="s">
        <v>528</v>
      </c>
      <c r="B212" s="773" t="s">
        <v>254</v>
      </c>
      <c r="C212" s="773">
        <v>4880</v>
      </c>
      <c r="D212" s="773">
        <v>4850</v>
      </c>
      <c r="E212" s="773">
        <v>5110</v>
      </c>
      <c r="F212" s="787">
        <v>940</v>
      </c>
    </row>
    <row r="213" spans="1:6" s="767" customFormat="1" ht="14.25" customHeight="1" thickBot="1" x14ac:dyDescent="0.25">
      <c r="A213" s="779" t="s">
        <v>528</v>
      </c>
      <c r="B213" s="773" t="s">
        <v>265</v>
      </c>
      <c r="C213" s="773">
        <v>4640</v>
      </c>
      <c r="D213" s="773">
        <v>4590</v>
      </c>
      <c r="E213" s="773">
        <v>4700</v>
      </c>
      <c r="F213" s="787">
        <v>1030</v>
      </c>
    </row>
    <row r="214" spans="1:6" s="767" customFormat="1" ht="14.25" customHeight="1" thickBot="1" x14ac:dyDescent="0.25">
      <c r="A214" s="779" t="s">
        <v>528</v>
      </c>
      <c r="B214" s="773" t="s">
        <v>277</v>
      </c>
      <c r="C214" s="773">
        <v>4540</v>
      </c>
      <c r="D214" s="773">
        <v>4490</v>
      </c>
      <c r="E214" s="773">
        <v>4610</v>
      </c>
      <c r="F214" s="791"/>
    </row>
    <row r="215" spans="1:6" s="767" customFormat="1" ht="14.25" customHeight="1" thickBot="1" x14ac:dyDescent="0.25">
      <c r="A215" s="779" t="s">
        <v>528</v>
      </c>
      <c r="B215" s="773" t="s">
        <v>287</v>
      </c>
      <c r="C215" s="773">
        <v>5280</v>
      </c>
      <c r="D215" s="773">
        <v>5250</v>
      </c>
      <c r="E215" s="773">
        <v>5520</v>
      </c>
      <c r="F215" s="787">
        <v>1000</v>
      </c>
    </row>
    <row r="216" spans="1:6" s="767" customFormat="1" ht="14.25" customHeight="1" thickBot="1" x14ac:dyDescent="0.25">
      <c r="A216" s="779" t="s">
        <v>528</v>
      </c>
      <c r="B216" s="773" t="s">
        <v>297</v>
      </c>
      <c r="C216" s="773">
        <v>5100</v>
      </c>
      <c r="D216" s="773">
        <v>5050</v>
      </c>
      <c r="E216" s="773">
        <v>5300</v>
      </c>
      <c r="F216" s="787">
        <v>950</v>
      </c>
    </row>
    <row r="217" spans="1:6" s="767" customFormat="1" ht="14.25" customHeight="1" thickBot="1" x14ac:dyDescent="0.25">
      <c r="A217" s="779" t="s">
        <v>528</v>
      </c>
      <c r="B217" s="773" t="s">
        <v>307</v>
      </c>
      <c r="C217" s="773">
        <v>5370</v>
      </c>
      <c r="D217" s="773">
        <v>5320</v>
      </c>
      <c r="E217" s="773">
        <v>5410</v>
      </c>
      <c r="F217" s="787">
        <v>950</v>
      </c>
    </row>
    <row r="218" spans="1:6" s="767" customFormat="1" ht="14.25" customHeight="1" thickBot="1" x14ac:dyDescent="0.25">
      <c r="A218" s="779" t="s">
        <v>528</v>
      </c>
      <c r="B218" s="773" t="s">
        <v>317</v>
      </c>
      <c r="C218" s="773">
        <v>5540</v>
      </c>
      <c r="D218" s="773">
        <v>5480</v>
      </c>
      <c r="E218" s="773">
        <v>5740</v>
      </c>
      <c r="F218" s="787">
        <v>1020</v>
      </c>
    </row>
    <row r="219" spans="1:6" s="767" customFormat="1" ht="14.25" customHeight="1" thickBot="1" x14ac:dyDescent="0.25">
      <c r="A219" s="779" t="s">
        <v>528</v>
      </c>
      <c r="B219" s="773" t="s">
        <v>328</v>
      </c>
      <c r="C219" s="773">
        <v>5140</v>
      </c>
      <c r="D219" s="773">
        <v>5100</v>
      </c>
      <c r="E219" s="773">
        <v>5350</v>
      </c>
      <c r="F219" s="787">
        <v>1120</v>
      </c>
    </row>
    <row r="220" spans="1:6" s="767" customFormat="1" ht="14.25" customHeight="1" thickBot="1" x14ac:dyDescent="0.25">
      <c r="A220" s="779" t="s">
        <v>528</v>
      </c>
      <c r="B220" s="773" t="s">
        <v>339</v>
      </c>
      <c r="C220" s="773">
        <v>5040</v>
      </c>
      <c r="D220" s="773">
        <v>5000</v>
      </c>
      <c r="E220" s="773">
        <v>5240</v>
      </c>
      <c r="F220" s="787">
        <v>980</v>
      </c>
    </row>
    <row r="221" spans="1:6" s="767" customFormat="1" ht="14.25" customHeight="1" thickBot="1" x14ac:dyDescent="0.25">
      <c r="A221" s="779" t="s">
        <v>528</v>
      </c>
      <c r="B221" s="773" t="s">
        <v>349</v>
      </c>
      <c r="C221" s="792"/>
      <c r="D221" s="792"/>
      <c r="E221" s="792"/>
      <c r="F221" s="787">
        <v>1070</v>
      </c>
    </row>
    <row r="222" spans="1:6" s="767" customFormat="1" ht="14.25" customHeight="1" thickBot="1" x14ac:dyDescent="0.25">
      <c r="A222" s="779" t="s">
        <v>528</v>
      </c>
      <c r="B222" s="773" t="s">
        <v>359</v>
      </c>
      <c r="C222" s="792"/>
      <c r="D222" s="792"/>
      <c r="E222" s="792"/>
      <c r="F222" s="787">
        <v>870</v>
      </c>
    </row>
    <row r="223" spans="1:6" s="767" customFormat="1" ht="14.25" customHeight="1" thickBot="1" x14ac:dyDescent="0.25">
      <c r="A223" s="779" t="s">
        <v>528</v>
      </c>
      <c r="B223" s="773" t="s">
        <v>369</v>
      </c>
      <c r="C223" s="792"/>
      <c r="D223" s="792"/>
      <c r="E223" s="792"/>
      <c r="F223" s="787">
        <v>940</v>
      </c>
    </row>
    <row r="224" spans="1:6" s="767" customFormat="1" ht="14.25" customHeight="1" thickBot="1" x14ac:dyDescent="0.25">
      <c r="A224" s="779" t="s">
        <v>528</v>
      </c>
      <c r="B224" s="773" t="s">
        <v>379</v>
      </c>
      <c r="C224" s="792"/>
      <c r="D224" s="792"/>
      <c r="E224" s="792"/>
      <c r="F224" s="787">
        <v>990</v>
      </c>
    </row>
    <row r="225" spans="1:6" s="767" customFormat="1" ht="14.25" customHeight="1" thickBot="1" x14ac:dyDescent="0.25">
      <c r="A225" s="779" t="s">
        <v>528</v>
      </c>
      <c r="B225" s="773" t="s">
        <v>388</v>
      </c>
      <c r="C225" s="773">
        <v>5730</v>
      </c>
      <c r="D225" s="773">
        <v>5680</v>
      </c>
      <c r="E225" s="773">
        <v>6020</v>
      </c>
      <c r="F225" s="787">
        <v>1000</v>
      </c>
    </row>
    <row r="226" spans="1:6" s="767" customFormat="1" ht="14.25" customHeight="1" thickBot="1" x14ac:dyDescent="0.25">
      <c r="A226" s="779" t="s">
        <v>528</v>
      </c>
      <c r="B226" s="773" t="s">
        <v>397</v>
      </c>
      <c r="C226" s="773">
        <v>4970</v>
      </c>
      <c r="D226" s="773">
        <v>4940</v>
      </c>
      <c r="E226" s="773">
        <v>5180</v>
      </c>
      <c r="F226" s="787">
        <v>960</v>
      </c>
    </row>
    <row r="227" spans="1:6" s="767" customFormat="1" ht="14.25" customHeight="1" thickBot="1" x14ac:dyDescent="0.25">
      <c r="A227" s="779" t="s">
        <v>528</v>
      </c>
      <c r="B227" s="773" t="s">
        <v>405</v>
      </c>
      <c r="C227" s="773">
        <v>5550</v>
      </c>
      <c r="D227" s="773">
        <v>5500</v>
      </c>
      <c r="E227" s="773">
        <v>5780</v>
      </c>
      <c r="F227" s="787">
        <v>940</v>
      </c>
    </row>
    <row r="228" spans="1:6" s="767" customFormat="1" ht="14.25" customHeight="1" thickBot="1" x14ac:dyDescent="0.25">
      <c r="A228" s="779" t="s">
        <v>528</v>
      </c>
      <c r="B228" s="773" t="s">
        <v>412</v>
      </c>
      <c r="C228" s="773">
        <v>5460</v>
      </c>
      <c r="D228" s="773">
        <v>5420</v>
      </c>
      <c r="E228" s="773">
        <v>5690</v>
      </c>
      <c r="F228" s="787">
        <v>910</v>
      </c>
    </row>
    <row r="229" spans="1:6" s="767" customFormat="1" ht="14.25" customHeight="1" thickBot="1" x14ac:dyDescent="0.25">
      <c r="A229" s="779" t="s">
        <v>528</v>
      </c>
      <c r="B229" s="773" t="s">
        <v>419</v>
      </c>
      <c r="C229" s="773">
        <v>5310</v>
      </c>
      <c r="D229" s="773">
        <v>5270</v>
      </c>
      <c r="E229" s="773">
        <v>5510</v>
      </c>
      <c r="F229" s="791"/>
    </row>
    <row r="230" spans="1:6" s="767" customFormat="1" ht="14.25" customHeight="1" thickBot="1" x14ac:dyDescent="0.25">
      <c r="A230" s="779" t="s">
        <v>528</v>
      </c>
      <c r="B230" s="773" t="s">
        <v>426</v>
      </c>
      <c r="C230" s="773">
        <v>4540</v>
      </c>
      <c r="D230" s="773">
        <v>4500</v>
      </c>
      <c r="E230" s="773">
        <v>4730</v>
      </c>
      <c r="F230" s="791"/>
    </row>
    <row r="231" spans="1:6" s="767" customFormat="1" ht="14.25" customHeight="1" thickBot="1" x14ac:dyDescent="0.25">
      <c r="A231" s="779" t="s">
        <v>528</v>
      </c>
      <c r="B231" s="773" t="s">
        <v>433</v>
      </c>
      <c r="C231" s="773">
        <v>4480</v>
      </c>
      <c r="D231" s="773">
        <v>4410</v>
      </c>
      <c r="E231" s="773">
        <v>4640</v>
      </c>
      <c r="F231" s="791"/>
    </row>
    <row r="232" spans="1:6" s="767" customFormat="1" ht="14.25" customHeight="1" thickBot="1" x14ac:dyDescent="0.25">
      <c r="A232" s="779" t="s">
        <v>528</v>
      </c>
      <c r="B232" s="773" t="s">
        <v>440</v>
      </c>
      <c r="C232" s="773">
        <v>5670</v>
      </c>
      <c r="D232" s="773">
        <v>5600</v>
      </c>
      <c r="E232" s="773">
        <v>5890</v>
      </c>
      <c r="F232" s="787">
        <v>1150</v>
      </c>
    </row>
    <row r="233" spans="1:6" s="767" customFormat="1" ht="14.25" customHeight="1" thickBot="1" x14ac:dyDescent="0.25">
      <c r="A233" s="779" t="s">
        <v>528</v>
      </c>
      <c r="B233" s="773" t="s">
        <v>447</v>
      </c>
      <c r="C233" s="773">
        <v>4590</v>
      </c>
      <c r="D233" s="773">
        <v>4500</v>
      </c>
      <c r="E233" s="773">
        <v>4600</v>
      </c>
      <c r="F233" s="791"/>
    </row>
    <row r="234" spans="1:6" s="767" customFormat="1" ht="14.25" customHeight="1" thickBot="1" x14ac:dyDescent="0.25">
      <c r="A234" s="779" t="s">
        <v>528</v>
      </c>
      <c r="B234" s="773" t="s">
        <v>1021</v>
      </c>
      <c r="C234" s="773">
        <v>3990</v>
      </c>
      <c r="D234" s="773">
        <v>3950</v>
      </c>
      <c r="E234" s="773">
        <v>4180</v>
      </c>
      <c r="F234" s="791"/>
    </row>
    <row r="235" spans="1:6" s="767" customFormat="1" ht="14.25" customHeight="1" thickBot="1" x14ac:dyDescent="0.25">
      <c r="A235" s="779" t="s">
        <v>528</v>
      </c>
      <c r="B235" s="773" t="s">
        <v>456</v>
      </c>
      <c r="C235" s="773">
        <v>5590</v>
      </c>
      <c r="D235" s="773">
        <v>5540</v>
      </c>
      <c r="E235" s="773">
        <v>5810</v>
      </c>
      <c r="F235" s="787">
        <v>970</v>
      </c>
    </row>
    <row r="236" spans="1:6" s="767" customFormat="1" ht="14.25" customHeight="1" thickBot="1" x14ac:dyDescent="0.25">
      <c r="A236" s="779" t="s">
        <v>528</v>
      </c>
      <c r="B236" s="773" t="s">
        <v>461</v>
      </c>
      <c r="C236" s="773"/>
      <c r="D236" s="773"/>
      <c r="E236" s="773"/>
      <c r="F236" s="787">
        <v>1020</v>
      </c>
    </row>
    <row r="237" spans="1:6" s="767" customFormat="1" ht="14.25" customHeight="1" thickBot="1" x14ac:dyDescent="0.25">
      <c r="A237" s="779" t="s">
        <v>528</v>
      </c>
      <c r="B237" s="773" t="s">
        <v>466</v>
      </c>
      <c r="C237" s="773"/>
      <c r="D237" s="773"/>
      <c r="E237" s="773"/>
      <c r="F237" s="787">
        <v>960</v>
      </c>
    </row>
    <row r="238" spans="1:6" s="767" customFormat="1" ht="14.25" customHeight="1" thickBot="1" x14ac:dyDescent="0.25">
      <c r="A238" s="779" t="s">
        <v>528</v>
      </c>
      <c r="B238" s="773" t="s">
        <v>471</v>
      </c>
      <c r="C238" s="773"/>
      <c r="D238" s="773"/>
      <c r="E238" s="773"/>
      <c r="F238" s="787">
        <v>960</v>
      </c>
    </row>
    <row r="239" spans="1:6" s="767" customFormat="1" ht="14.25" customHeight="1" thickBot="1" x14ac:dyDescent="0.25">
      <c r="A239" s="779" t="s">
        <v>528</v>
      </c>
      <c r="B239" s="773" t="s">
        <v>476</v>
      </c>
      <c r="C239" s="773"/>
      <c r="D239" s="773"/>
      <c r="E239" s="773"/>
      <c r="F239" s="787">
        <v>960</v>
      </c>
    </row>
    <row r="240" spans="1:6" s="767" customFormat="1" ht="14.25" customHeight="1" thickBot="1" x14ac:dyDescent="0.25">
      <c r="A240" s="779" t="s">
        <v>528</v>
      </c>
      <c r="B240" s="773" t="s">
        <v>480</v>
      </c>
      <c r="C240" s="773"/>
      <c r="D240" s="773"/>
      <c r="E240" s="773"/>
      <c r="F240" s="787">
        <v>990</v>
      </c>
    </row>
    <row r="241" spans="1:6" s="767" customFormat="1" ht="14.25" customHeight="1" thickBot="1" x14ac:dyDescent="0.25">
      <c r="A241" s="779" t="s">
        <v>528</v>
      </c>
      <c r="B241" s="773" t="s">
        <v>484</v>
      </c>
      <c r="C241" s="773"/>
      <c r="D241" s="773"/>
      <c r="E241" s="773"/>
      <c r="F241" s="787">
        <v>1000</v>
      </c>
    </row>
    <row r="242" spans="1:6" s="767" customFormat="1" ht="14.25" customHeight="1" thickBot="1" x14ac:dyDescent="0.25">
      <c r="A242" s="779" t="s">
        <v>528</v>
      </c>
      <c r="B242" s="773" t="s">
        <v>488</v>
      </c>
      <c r="C242" s="773"/>
      <c r="D242" s="773"/>
      <c r="E242" s="773"/>
      <c r="F242" s="787">
        <v>980</v>
      </c>
    </row>
    <row r="243" spans="1:6" s="767" customFormat="1" ht="14.25" customHeight="1" thickBot="1" x14ac:dyDescent="0.25">
      <c r="A243" s="779" t="s">
        <v>528</v>
      </c>
      <c r="B243" s="773" t="s">
        <v>492</v>
      </c>
      <c r="C243" s="773"/>
      <c r="D243" s="773"/>
      <c r="E243" s="773"/>
      <c r="F243" s="787">
        <v>970</v>
      </c>
    </row>
    <row r="244" spans="1:6" s="767" customFormat="1" ht="14.25" customHeight="1" thickBot="1" x14ac:dyDescent="0.25">
      <c r="A244" s="779" t="s">
        <v>528</v>
      </c>
      <c r="B244" s="785" t="s">
        <v>496</v>
      </c>
      <c r="C244" s="785"/>
      <c r="D244" s="785"/>
      <c r="E244" s="785"/>
      <c r="F244" s="790">
        <v>970</v>
      </c>
    </row>
    <row r="245" spans="1:6" s="767" customFormat="1" ht="14.25" customHeight="1" thickBot="1" x14ac:dyDescent="0.25">
      <c r="A245" s="779" t="s">
        <v>530</v>
      </c>
      <c r="B245" s="780" t="s">
        <v>531</v>
      </c>
      <c r="C245" s="780">
        <v>4050</v>
      </c>
      <c r="D245" s="780">
        <v>4020</v>
      </c>
      <c r="E245" s="780">
        <v>4160</v>
      </c>
      <c r="F245" s="781">
        <v>840</v>
      </c>
    </row>
    <row r="246" spans="1:6" s="767" customFormat="1" ht="14.25" customHeight="1" thickBot="1" x14ac:dyDescent="0.25">
      <c r="A246" s="779" t="s">
        <v>530</v>
      </c>
      <c r="B246" s="773" t="s">
        <v>195</v>
      </c>
      <c r="C246" s="773">
        <v>4010</v>
      </c>
      <c r="D246" s="773">
        <v>3960</v>
      </c>
      <c r="E246" s="773">
        <v>4130</v>
      </c>
      <c r="F246" s="787">
        <v>840</v>
      </c>
    </row>
    <row r="247" spans="1:6" s="767" customFormat="1" ht="14.25" customHeight="1" thickBot="1" x14ac:dyDescent="0.25">
      <c r="A247" s="779" t="s">
        <v>530</v>
      </c>
      <c r="B247" s="773" t="s">
        <v>532</v>
      </c>
      <c r="C247" s="773">
        <v>3170</v>
      </c>
      <c r="D247" s="773">
        <v>3140</v>
      </c>
      <c r="E247" s="773">
        <v>3270</v>
      </c>
      <c r="F247" s="787">
        <v>640</v>
      </c>
    </row>
    <row r="248" spans="1:6" s="767" customFormat="1" ht="14.25" customHeight="1" thickBot="1" x14ac:dyDescent="0.25">
      <c r="A248" s="779" t="s">
        <v>530</v>
      </c>
      <c r="B248" s="773" t="s">
        <v>533</v>
      </c>
      <c r="C248" s="773">
        <v>3140</v>
      </c>
      <c r="D248" s="773">
        <v>3120</v>
      </c>
      <c r="E248" s="773">
        <v>3240</v>
      </c>
      <c r="F248" s="787">
        <v>620</v>
      </c>
    </row>
    <row r="249" spans="1:6" s="767" customFormat="1" ht="14.25" customHeight="1" thickBot="1" x14ac:dyDescent="0.25">
      <c r="A249" s="779" t="s">
        <v>530</v>
      </c>
      <c r="B249" s="773" t="s">
        <v>233</v>
      </c>
      <c r="C249" s="773">
        <v>3200</v>
      </c>
      <c r="D249" s="773">
        <v>3100</v>
      </c>
      <c r="E249" s="773">
        <v>3230</v>
      </c>
      <c r="F249" s="787">
        <v>750</v>
      </c>
    </row>
    <row r="250" spans="1:6" s="767" customFormat="1" ht="14.25" customHeight="1" thickBot="1" x14ac:dyDescent="0.25">
      <c r="A250" s="779" t="s">
        <v>530</v>
      </c>
      <c r="B250" s="773" t="s">
        <v>244</v>
      </c>
      <c r="C250" s="773">
        <v>4060</v>
      </c>
      <c r="D250" s="773">
        <v>4000</v>
      </c>
      <c r="E250" s="773">
        <v>4140</v>
      </c>
      <c r="F250" s="787">
        <v>790</v>
      </c>
    </row>
    <row r="251" spans="1:6" s="767" customFormat="1" ht="14.25" customHeight="1" thickBot="1" x14ac:dyDescent="0.25">
      <c r="A251" s="779" t="s">
        <v>530</v>
      </c>
      <c r="B251" s="773" t="s">
        <v>255</v>
      </c>
      <c r="C251" s="773">
        <v>3990</v>
      </c>
      <c r="D251" s="773">
        <v>3970</v>
      </c>
      <c r="E251" s="773">
        <v>4110</v>
      </c>
      <c r="F251" s="787">
        <v>730</v>
      </c>
    </row>
    <row r="252" spans="1:6" s="767" customFormat="1" ht="14.25" customHeight="1" thickBot="1" x14ac:dyDescent="0.25">
      <c r="A252" s="779" t="s">
        <v>530</v>
      </c>
      <c r="B252" s="773" t="s">
        <v>266</v>
      </c>
      <c r="C252" s="773">
        <v>3560</v>
      </c>
      <c r="D252" s="773">
        <v>3530</v>
      </c>
      <c r="E252" s="773">
        <v>3650</v>
      </c>
      <c r="F252" s="787">
        <v>750</v>
      </c>
    </row>
    <row r="253" spans="1:6" s="767" customFormat="1" ht="14.25" customHeight="1" thickBot="1" x14ac:dyDescent="0.25">
      <c r="A253" s="779" t="s">
        <v>530</v>
      </c>
      <c r="B253" s="773" t="s">
        <v>278</v>
      </c>
      <c r="C253" s="773">
        <v>3780</v>
      </c>
      <c r="D253" s="773">
        <v>3750</v>
      </c>
      <c r="E253" s="773">
        <v>3870</v>
      </c>
      <c r="F253" s="787">
        <v>770</v>
      </c>
    </row>
    <row r="254" spans="1:6" s="767" customFormat="1" ht="14.25" customHeight="1" thickBot="1" x14ac:dyDescent="0.25">
      <c r="A254" s="779" t="s">
        <v>530</v>
      </c>
      <c r="B254" s="773" t="s">
        <v>288</v>
      </c>
      <c r="C254" s="792"/>
      <c r="D254" s="792"/>
      <c r="E254" s="792"/>
      <c r="F254" s="787">
        <v>740</v>
      </c>
    </row>
    <row r="255" spans="1:6" s="767" customFormat="1" ht="14.25" customHeight="1" thickBot="1" x14ac:dyDescent="0.25">
      <c r="A255" s="779" t="s">
        <v>530</v>
      </c>
      <c r="B255" s="773" t="s">
        <v>298</v>
      </c>
      <c r="C255" s="792"/>
      <c r="D255" s="792"/>
      <c r="E255" s="792"/>
      <c r="F255" s="787">
        <v>760</v>
      </c>
    </row>
    <row r="256" spans="1:6" s="767" customFormat="1" ht="14.25" customHeight="1" thickBot="1" x14ac:dyDescent="0.25">
      <c r="A256" s="779" t="s">
        <v>530</v>
      </c>
      <c r="B256" s="773" t="s">
        <v>308</v>
      </c>
      <c r="C256" s="773">
        <v>3760</v>
      </c>
      <c r="D256" s="773">
        <v>3730</v>
      </c>
      <c r="E256" s="773">
        <v>3870</v>
      </c>
      <c r="F256" s="787">
        <v>830</v>
      </c>
    </row>
    <row r="257" spans="1:6" s="767" customFormat="1" ht="14.25" customHeight="1" thickBot="1" x14ac:dyDescent="0.25">
      <c r="A257" s="779" t="s">
        <v>530</v>
      </c>
      <c r="B257" s="773" t="s">
        <v>318</v>
      </c>
      <c r="C257" s="773">
        <v>3570</v>
      </c>
      <c r="D257" s="773">
        <v>3540</v>
      </c>
      <c r="E257" s="773">
        <v>3650</v>
      </c>
      <c r="F257" s="787">
        <v>790</v>
      </c>
    </row>
    <row r="258" spans="1:6" s="767" customFormat="1" ht="14.25" customHeight="1" thickBot="1" x14ac:dyDescent="0.25">
      <c r="A258" s="779" t="s">
        <v>530</v>
      </c>
      <c r="B258" s="773" t="s">
        <v>329</v>
      </c>
      <c r="C258" s="773">
        <v>3410</v>
      </c>
      <c r="D258" s="773">
        <v>3380</v>
      </c>
      <c r="E258" s="773">
        <v>3500</v>
      </c>
      <c r="F258" s="787">
        <v>830</v>
      </c>
    </row>
    <row r="259" spans="1:6" s="767" customFormat="1" ht="14.25" customHeight="1" thickBot="1" x14ac:dyDescent="0.25">
      <c r="A259" s="779" t="s">
        <v>530</v>
      </c>
      <c r="B259" s="773" t="s">
        <v>340</v>
      </c>
      <c r="C259" s="773">
        <v>3870</v>
      </c>
      <c r="D259" s="773">
        <v>3840</v>
      </c>
      <c r="E259" s="773">
        <v>3970</v>
      </c>
      <c r="F259" s="787">
        <v>830</v>
      </c>
    </row>
    <row r="260" spans="1:6" s="767" customFormat="1" ht="14.25" customHeight="1" thickBot="1" x14ac:dyDescent="0.25">
      <c r="A260" s="779" t="s">
        <v>530</v>
      </c>
      <c r="B260" s="773" t="s">
        <v>350</v>
      </c>
      <c r="C260" s="773">
        <v>3700</v>
      </c>
      <c r="D260" s="773">
        <v>3660</v>
      </c>
      <c r="E260" s="773">
        <v>3810</v>
      </c>
      <c r="F260" s="787">
        <v>790</v>
      </c>
    </row>
    <row r="261" spans="1:6" s="767" customFormat="1" ht="14.25" customHeight="1" thickBot="1" x14ac:dyDescent="0.25">
      <c r="A261" s="779" t="s">
        <v>530</v>
      </c>
      <c r="B261" s="773" t="s">
        <v>360</v>
      </c>
      <c r="C261" s="773">
        <v>3470</v>
      </c>
      <c r="D261" s="773">
        <v>3430</v>
      </c>
      <c r="E261" s="773">
        <v>3640</v>
      </c>
      <c r="F261" s="787">
        <v>760</v>
      </c>
    </row>
    <row r="262" spans="1:6" s="767" customFormat="1" ht="14.25" customHeight="1" thickBot="1" x14ac:dyDescent="0.25">
      <c r="A262" s="779" t="s">
        <v>530</v>
      </c>
      <c r="B262" s="773" t="s">
        <v>370</v>
      </c>
      <c r="C262" s="773">
        <v>3510</v>
      </c>
      <c r="D262" s="773">
        <v>3470</v>
      </c>
      <c r="E262" s="773">
        <v>3680</v>
      </c>
      <c r="F262" s="791"/>
    </row>
    <row r="263" spans="1:6" s="767" customFormat="1" ht="14.25" customHeight="1" thickBot="1" x14ac:dyDescent="0.25">
      <c r="A263" s="779" t="s">
        <v>530</v>
      </c>
      <c r="B263" s="773" t="s">
        <v>380</v>
      </c>
      <c r="C263" s="773">
        <v>3960</v>
      </c>
      <c r="D263" s="773">
        <v>3930</v>
      </c>
      <c r="E263" s="773">
        <v>4070</v>
      </c>
      <c r="F263" s="787">
        <v>830</v>
      </c>
    </row>
    <row r="264" spans="1:6" s="767" customFormat="1" ht="14.25" customHeight="1" thickBot="1" x14ac:dyDescent="0.25">
      <c r="A264" s="779" t="s">
        <v>530</v>
      </c>
      <c r="B264" s="773" t="s">
        <v>389</v>
      </c>
      <c r="C264" s="773">
        <v>4010</v>
      </c>
      <c r="D264" s="773">
        <v>3980</v>
      </c>
      <c r="E264" s="773">
        <v>4150</v>
      </c>
      <c r="F264" s="787">
        <v>760</v>
      </c>
    </row>
    <row r="265" spans="1:6" s="767" customFormat="1" ht="14.25" customHeight="1" thickBot="1" x14ac:dyDescent="0.25">
      <c r="A265" s="779" t="s">
        <v>530</v>
      </c>
      <c r="B265" s="773" t="s">
        <v>398</v>
      </c>
      <c r="C265" s="773">
        <v>3910</v>
      </c>
      <c r="D265" s="773">
        <v>3890</v>
      </c>
      <c r="E265" s="773">
        <v>4040</v>
      </c>
      <c r="F265" s="787">
        <v>780</v>
      </c>
    </row>
    <row r="266" spans="1:6" s="767" customFormat="1" ht="14.25" customHeight="1" thickBot="1" x14ac:dyDescent="0.25">
      <c r="A266" s="779" t="s">
        <v>530</v>
      </c>
      <c r="B266" s="773" t="s">
        <v>406</v>
      </c>
      <c r="C266" s="773">
        <v>3930</v>
      </c>
      <c r="D266" s="773">
        <v>3900</v>
      </c>
      <c r="E266" s="773">
        <v>4080</v>
      </c>
      <c r="F266" s="787">
        <v>770</v>
      </c>
    </row>
    <row r="267" spans="1:6" s="767" customFormat="1" ht="14.25" customHeight="1" thickBot="1" x14ac:dyDescent="0.25">
      <c r="A267" s="779" t="s">
        <v>530</v>
      </c>
      <c r="B267" s="773" t="s">
        <v>413</v>
      </c>
      <c r="C267" s="773">
        <v>3800</v>
      </c>
      <c r="D267" s="773">
        <v>3780</v>
      </c>
      <c r="E267" s="773">
        <v>3930</v>
      </c>
      <c r="F267" s="791"/>
    </row>
    <row r="268" spans="1:6" s="767" customFormat="1" ht="14.25" customHeight="1" thickBot="1" x14ac:dyDescent="0.25">
      <c r="A268" s="779" t="s">
        <v>530</v>
      </c>
      <c r="B268" s="773" t="s">
        <v>420</v>
      </c>
      <c r="C268" s="773">
        <v>3460</v>
      </c>
      <c r="D268" s="773">
        <v>3430</v>
      </c>
      <c r="E268" s="773">
        <v>3560</v>
      </c>
      <c r="F268" s="787">
        <v>840</v>
      </c>
    </row>
    <row r="269" spans="1:6" s="767" customFormat="1" ht="14.25" customHeight="1" thickBot="1" x14ac:dyDescent="0.25">
      <c r="A269" s="779" t="s">
        <v>530</v>
      </c>
      <c r="B269" s="773" t="s">
        <v>427</v>
      </c>
      <c r="C269" s="773">
        <v>3210</v>
      </c>
      <c r="D269" s="773">
        <v>3190</v>
      </c>
      <c r="E269" s="773">
        <v>3310</v>
      </c>
      <c r="F269" s="787">
        <v>730</v>
      </c>
    </row>
    <row r="270" spans="1:6" s="767" customFormat="1" ht="14.25" customHeight="1" thickBot="1" x14ac:dyDescent="0.25">
      <c r="A270" s="779" t="s">
        <v>530</v>
      </c>
      <c r="B270" s="773" t="s">
        <v>434</v>
      </c>
      <c r="C270" s="773">
        <v>3240</v>
      </c>
      <c r="D270" s="773">
        <v>3210</v>
      </c>
      <c r="E270" s="773">
        <v>3390</v>
      </c>
      <c r="F270" s="787">
        <v>820</v>
      </c>
    </row>
    <row r="271" spans="1:6" s="767" customFormat="1" ht="14.25" customHeight="1" thickBot="1" x14ac:dyDescent="0.25">
      <c r="A271" s="779" t="s">
        <v>530</v>
      </c>
      <c r="B271" s="773" t="s">
        <v>441</v>
      </c>
      <c r="C271" s="773">
        <v>3300</v>
      </c>
      <c r="D271" s="773">
        <v>3270</v>
      </c>
      <c r="E271" s="773">
        <v>3380</v>
      </c>
      <c r="F271" s="787">
        <v>750</v>
      </c>
    </row>
    <row r="272" spans="1:6" s="767" customFormat="1" ht="14.25" customHeight="1" thickBot="1" x14ac:dyDescent="0.25">
      <c r="A272" s="779" t="s">
        <v>530</v>
      </c>
      <c r="B272" s="773" t="s">
        <v>448</v>
      </c>
      <c r="C272" s="792"/>
      <c r="D272" s="792"/>
      <c r="E272" s="792"/>
      <c r="F272" s="787">
        <v>740</v>
      </c>
    </row>
    <row r="273" spans="1:6" s="767" customFormat="1" ht="14.25" customHeight="1" thickBot="1" x14ac:dyDescent="0.25">
      <c r="A273" s="779" t="s">
        <v>530</v>
      </c>
      <c r="B273" s="773" t="s">
        <v>452</v>
      </c>
      <c r="C273" s="773">
        <v>3130</v>
      </c>
      <c r="D273" s="773">
        <v>3100</v>
      </c>
      <c r="E273" s="773">
        <v>3230</v>
      </c>
      <c r="F273" s="787">
        <v>700</v>
      </c>
    </row>
    <row r="274" spans="1:6" s="767" customFormat="1" ht="14.25" customHeight="1" thickBot="1" x14ac:dyDescent="0.25">
      <c r="A274" s="779" t="s">
        <v>530</v>
      </c>
      <c r="B274" s="773" t="s">
        <v>457</v>
      </c>
      <c r="C274" s="773">
        <v>3460</v>
      </c>
      <c r="D274" s="773">
        <v>3430</v>
      </c>
      <c r="E274" s="773">
        <v>3560</v>
      </c>
      <c r="F274" s="787">
        <v>690</v>
      </c>
    </row>
    <row r="275" spans="1:6" s="767" customFormat="1" ht="14.25" customHeight="1" thickBot="1" x14ac:dyDescent="0.25">
      <c r="A275" s="779" t="s">
        <v>530</v>
      </c>
      <c r="B275" s="773" t="s">
        <v>462</v>
      </c>
      <c r="C275" s="773">
        <v>4040</v>
      </c>
      <c r="D275" s="773">
        <v>4020</v>
      </c>
      <c r="E275" s="773">
        <v>4160</v>
      </c>
      <c r="F275" s="787">
        <v>820</v>
      </c>
    </row>
    <row r="276" spans="1:6" s="767" customFormat="1" ht="14.25" customHeight="1" thickBot="1" x14ac:dyDescent="0.25">
      <c r="A276" s="779" t="s">
        <v>530</v>
      </c>
      <c r="B276" s="773" t="s">
        <v>467</v>
      </c>
      <c r="C276" s="773">
        <v>3270</v>
      </c>
      <c r="D276" s="773">
        <v>3240</v>
      </c>
      <c r="E276" s="773">
        <v>3350</v>
      </c>
      <c r="F276" s="787">
        <v>680</v>
      </c>
    </row>
    <row r="277" spans="1:6" s="767" customFormat="1" ht="14.25" customHeight="1" thickBot="1" x14ac:dyDescent="0.25">
      <c r="A277" s="779" t="s">
        <v>530</v>
      </c>
      <c r="B277" s="773" t="s">
        <v>472</v>
      </c>
      <c r="C277" s="773">
        <v>2930</v>
      </c>
      <c r="D277" s="773">
        <v>2900</v>
      </c>
      <c r="E277" s="773">
        <v>3000</v>
      </c>
      <c r="F277" s="787">
        <v>640</v>
      </c>
    </row>
    <row r="278" spans="1:6" s="767" customFormat="1" ht="14.25" customHeight="1" thickBot="1" x14ac:dyDescent="0.25">
      <c r="A278" s="779" t="s">
        <v>530</v>
      </c>
      <c r="B278" s="773" t="s">
        <v>477</v>
      </c>
      <c r="C278" s="773">
        <v>4080</v>
      </c>
      <c r="D278" s="773">
        <v>4030</v>
      </c>
      <c r="E278" s="773">
        <v>4140</v>
      </c>
      <c r="F278" s="787">
        <v>850</v>
      </c>
    </row>
    <row r="279" spans="1:6" s="767" customFormat="1" ht="14.25" customHeight="1" thickBot="1" x14ac:dyDescent="0.25">
      <c r="A279" s="779" t="s">
        <v>530</v>
      </c>
      <c r="B279" s="773" t="s">
        <v>481</v>
      </c>
      <c r="C279" s="773"/>
      <c r="D279" s="773"/>
      <c r="E279" s="773"/>
      <c r="F279" s="787">
        <v>760</v>
      </c>
    </row>
    <row r="280" spans="1:6" s="767" customFormat="1" ht="14.25" customHeight="1" thickBot="1" x14ac:dyDescent="0.25">
      <c r="A280" s="779" t="s">
        <v>530</v>
      </c>
      <c r="B280" s="773" t="s">
        <v>485</v>
      </c>
      <c r="C280" s="773"/>
      <c r="D280" s="773"/>
      <c r="E280" s="773"/>
      <c r="F280" s="787">
        <v>760</v>
      </c>
    </row>
    <row r="281" spans="1:6" s="767" customFormat="1" ht="14.25" customHeight="1" thickBot="1" x14ac:dyDescent="0.25">
      <c r="A281" s="779" t="s">
        <v>530</v>
      </c>
      <c r="B281" s="773" t="s">
        <v>489</v>
      </c>
      <c r="C281" s="773"/>
      <c r="D281" s="773"/>
      <c r="E281" s="773"/>
      <c r="F281" s="787">
        <v>780</v>
      </c>
    </row>
    <row r="282" spans="1:6" s="767" customFormat="1" ht="14.25" customHeight="1" thickBot="1" x14ac:dyDescent="0.25">
      <c r="A282" s="779" t="s">
        <v>530</v>
      </c>
      <c r="B282" s="773" t="s">
        <v>493</v>
      </c>
      <c r="C282" s="773"/>
      <c r="D282" s="773"/>
      <c r="E282" s="773"/>
      <c r="F282" s="787">
        <v>730</v>
      </c>
    </row>
    <row r="283" spans="1:6" s="767" customFormat="1" ht="14.25" customHeight="1" thickBot="1" x14ac:dyDescent="0.25">
      <c r="A283" s="779" t="s">
        <v>530</v>
      </c>
      <c r="B283" s="773" t="s">
        <v>497</v>
      </c>
      <c r="C283" s="773"/>
      <c r="D283" s="773"/>
      <c r="E283" s="773"/>
      <c r="F283" s="787">
        <v>770</v>
      </c>
    </row>
    <row r="284" spans="1:6" s="767" customFormat="1" ht="14.25" customHeight="1" thickBot="1" x14ac:dyDescent="0.25">
      <c r="A284" s="779" t="s">
        <v>530</v>
      </c>
      <c r="B284" s="773" t="s">
        <v>500</v>
      </c>
      <c r="C284" s="773"/>
      <c r="D284" s="773"/>
      <c r="E284" s="773"/>
      <c r="F284" s="787">
        <v>640</v>
      </c>
    </row>
    <row r="285" spans="1:6" s="767" customFormat="1" ht="14.25" customHeight="1" thickBot="1" x14ac:dyDescent="0.25">
      <c r="A285" s="779" t="s">
        <v>530</v>
      </c>
      <c r="B285" s="773" t="s">
        <v>503</v>
      </c>
      <c r="C285" s="773"/>
      <c r="D285" s="773"/>
      <c r="E285" s="773"/>
      <c r="F285" s="787">
        <v>640</v>
      </c>
    </row>
    <row r="286" spans="1:6" s="767" customFormat="1" ht="14.25" customHeight="1" thickBot="1" x14ac:dyDescent="0.25">
      <c r="A286" s="779" t="s">
        <v>530</v>
      </c>
      <c r="B286" s="773" t="s">
        <v>506</v>
      </c>
      <c r="C286" s="773"/>
      <c r="D286" s="773"/>
      <c r="E286" s="773"/>
      <c r="F286" s="787">
        <v>850</v>
      </c>
    </row>
    <row r="287" spans="1:6" s="767" customFormat="1" ht="14.25" customHeight="1" thickBot="1" x14ac:dyDescent="0.25">
      <c r="A287" s="779" t="s">
        <v>530</v>
      </c>
      <c r="B287" s="773" t="s">
        <v>509</v>
      </c>
      <c r="C287" s="773"/>
      <c r="D287" s="773"/>
      <c r="E287" s="773"/>
      <c r="F287" s="787">
        <v>760</v>
      </c>
    </row>
    <row r="288" spans="1:6" s="767" customFormat="1" ht="14.25" customHeight="1" thickBot="1" x14ac:dyDescent="0.25">
      <c r="A288" s="779" t="s">
        <v>530</v>
      </c>
      <c r="B288" s="773" t="s">
        <v>512</v>
      </c>
      <c r="C288" s="773"/>
      <c r="D288" s="773"/>
      <c r="E288" s="773"/>
      <c r="F288" s="787">
        <v>830</v>
      </c>
    </row>
    <row r="289" spans="1:6" s="767" customFormat="1" ht="14.25" customHeight="1" thickBot="1" x14ac:dyDescent="0.25">
      <c r="A289" s="779" t="s">
        <v>530</v>
      </c>
      <c r="B289" s="785" t="s">
        <v>515</v>
      </c>
      <c r="C289" s="785"/>
      <c r="D289" s="785"/>
      <c r="E289" s="785"/>
      <c r="F289" s="790">
        <v>680</v>
      </c>
    </row>
    <row r="290" spans="1:6" s="767" customFormat="1" ht="14.25" customHeight="1" thickBot="1" x14ac:dyDescent="0.25">
      <c r="A290" s="779" t="s">
        <v>534</v>
      </c>
      <c r="B290" s="780" t="s">
        <v>535</v>
      </c>
      <c r="C290" s="780">
        <v>2770</v>
      </c>
      <c r="D290" s="780">
        <v>2740</v>
      </c>
      <c r="E290" s="780">
        <v>2720</v>
      </c>
      <c r="F290" s="793"/>
    </row>
    <row r="291" spans="1:6" s="767" customFormat="1" ht="14.25" customHeight="1" thickBot="1" x14ac:dyDescent="0.25">
      <c r="A291" s="779" t="s">
        <v>534</v>
      </c>
      <c r="B291" s="773" t="s">
        <v>196</v>
      </c>
      <c r="C291" s="773">
        <v>2670</v>
      </c>
      <c r="D291" s="773">
        <v>2640</v>
      </c>
      <c r="E291" s="773">
        <v>2620</v>
      </c>
      <c r="F291" s="791"/>
    </row>
    <row r="292" spans="1:6" s="767" customFormat="1" ht="14.25" customHeight="1" thickBot="1" x14ac:dyDescent="0.25">
      <c r="A292" s="779" t="s">
        <v>534</v>
      </c>
      <c r="B292" s="773" t="s">
        <v>536</v>
      </c>
      <c r="C292" s="773">
        <v>2180</v>
      </c>
      <c r="D292" s="773">
        <v>2140</v>
      </c>
      <c r="E292" s="773">
        <v>2120</v>
      </c>
      <c r="F292" s="787">
        <v>490</v>
      </c>
    </row>
    <row r="293" spans="1:6" s="767" customFormat="1" ht="14.25" customHeight="1" thickBot="1" x14ac:dyDescent="0.25">
      <c r="A293" s="779" t="s">
        <v>534</v>
      </c>
      <c r="B293" s="773" t="s">
        <v>537</v>
      </c>
      <c r="C293" s="773"/>
      <c r="D293" s="773"/>
      <c r="E293" s="773"/>
      <c r="F293" s="787">
        <v>470</v>
      </c>
    </row>
    <row r="294" spans="1:6" s="767" customFormat="1" ht="14.25" customHeight="1" thickBot="1" x14ac:dyDescent="0.25">
      <c r="A294" s="779" t="s">
        <v>534</v>
      </c>
      <c r="B294" s="773" t="s">
        <v>538</v>
      </c>
      <c r="C294" s="773">
        <v>2730</v>
      </c>
      <c r="D294" s="773">
        <v>2700</v>
      </c>
      <c r="E294" s="773">
        <v>2680</v>
      </c>
      <c r="F294" s="787">
        <v>490</v>
      </c>
    </row>
    <row r="295" spans="1:6" s="767" customFormat="1" ht="14.25" customHeight="1" thickBot="1" x14ac:dyDescent="0.25">
      <c r="A295" s="779" t="s">
        <v>534</v>
      </c>
      <c r="B295" s="773" t="s">
        <v>234</v>
      </c>
      <c r="C295" s="773">
        <v>2380</v>
      </c>
      <c r="D295" s="773">
        <v>2350</v>
      </c>
      <c r="E295" s="773">
        <v>2330</v>
      </c>
      <c r="F295" s="787">
        <v>530</v>
      </c>
    </row>
    <row r="296" spans="1:6" s="767" customFormat="1" ht="14.25" customHeight="1" thickBot="1" x14ac:dyDescent="0.25">
      <c r="A296" s="779" t="s">
        <v>534</v>
      </c>
      <c r="B296" s="773" t="s">
        <v>245</v>
      </c>
      <c r="C296" s="773">
        <v>2650</v>
      </c>
      <c r="D296" s="773">
        <v>2620</v>
      </c>
      <c r="E296" s="773">
        <v>2590</v>
      </c>
      <c r="F296" s="787">
        <v>590</v>
      </c>
    </row>
    <row r="297" spans="1:6" s="767" customFormat="1" ht="14.25" customHeight="1" thickBot="1" x14ac:dyDescent="0.25">
      <c r="A297" s="779" t="s">
        <v>534</v>
      </c>
      <c r="B297" s="773" t="s">
        <v>256</v>
      </c>
      <c r="C297" s="773">
        <v>2700</v>
      </c>
      <c r="D297" s="773">
        <v>2670</v>
      </c>
      <c r="E297" s="773">
        <v>2650</v>
      </c>
      <c r="F297" s="787">
        <v>630</v>
      </c>
    </row>
    <row r="298" spans="1:6" s="767" customFormat="1" ht="14.25" customHeight="1" thickBot="1" x14ac:dyDescent="0.25">
      <c r="A298" s="779" t="s">
        <v>534</v>
      </c>
      <c r="B298" s="773" t="s">
        <v>267</v>
      </c>
      <c r="C298" s="773">
        <v>2650</v>
      </c>
      <c r="D298" s="773">
        <v>2620</v>
      </c>
      <c r="E298" s="773">
        <v>2590</v>
      </c>
      <c r="F298" s="787">
        <v>640</v>
      </c>
    </row>
    <row r="299" spans="1:6" s="767" customFormat="1" ht="14.25" customHeight="1" thickBot="1" x14ac:dyDescent="0.25">
      <c r="A299" s="779" t="s">
        <v>534</v>
      </c>
      <c r="B299" s="773" t="s">
        <v>279</v>
      </c>
      <c r="C299" s="773">
        <v>2500</v>
      </c>
      <c r="D299" s="773">
        <v>2480</v>
      </c>
      <c r="E299" s="773">
        <v>2460</v>
      </c>
      <c r="F299" s="791"/>
    </row>
    <row r="300" spans="1:6" s="767" customFormat="1" ht="14.25" customHeight="1" thickBot="1" x14ac:dyDescent="0.25">
      <c r="A300" s="779" t="s">
        <v>534</v>
      </c>
      <c r="B300" s="773" t="s">
        <v>289</v>
      </c>
      <c r="C300" s="773">
        <v>2760</v>
      </c>
      <c r="D300" s="773">
        <v>2730</v>
      </c>
      <c r="E300" s="773">
        <v>2700</v>
      </c>
      <c r="F300" s="787">
        <v>630</v>
      </c>
    </row>
    <row r="301" spans="1:6" s="767" customFormat="1" ht="14.25" customHeight="1" thickBot="1" x14ac:dyDescent="0.25">
      <c r="A301" s="779" t="s">
        <v>534</v>
      </c>
      <c r="B301" s="773" t="s">
        <v>299</v>
      </c>
      <c r="C301" s="773">
        <v>2510</v>
      </c>
      <c r="D301" s="773">
        <v>2480</v>
      </c>
      <c r="E301" s="773">
        <v>2460</v>
      </c>
      <c r="F301" s="791"/>
    </row>
    <row r="302" spans="1:6" s="767" customFormat="1" ht="14.25" customHeight="1" thickBot="1" x14ac:dyDescent="0.25">
      <c r="A302" s="779" t="s">
        <v>534</v>
      </c>
      <c r="B302" s="773" t="s">
        <v>309</v>
      </c>
      <c r="C302" s="773">
        <v>2480</v>
      </c>
      <c r="D302" s="773">
        <v>2450</v>
      </c>
      <c r="E302" s="773">
        <v>2420</v>
      </c>
      <c r="F302" s="787">
        <v>600</v>
      </c>
    </row>
    <row r="303" spans="1:6" s="767" customFormat="1" ht="14.25" customHeight="1" thickBot="1" x14ac:dyDescent="0.25">
      <c r="A303" s="779" t="s">
        <v>534</v>
      </c>
      <c r="B303" s="773" t="s">
        <v>319</v>
      </c>
      <c r="C303" s="773">
        <v>2270</v>
      </c>
      <c r="D303" s="773">
        <v>2240</v>
      </c>
      <c r="E303" s="773">
        <v>2210</v>
      </c>
      <c r="F303" s="787">
        <v>540</v>
      </c>
    </row>
    <row r="304" spans="1:6" s="767" customFormat="1" ht="14.25" customHeight="1" thickBot="1" x14ac:dyDescent="0.25">
      <c r="A304" s="779" t="s">
        <v>534</v>
      </c>
      <c r="B304" s="773" t="s">
        <v>330</v>
      </c>
      <c r="C304" s="773">
        <v>2310</v>
      </c>
      <c r="D304" s="773">
        <v>2290</v>
      </c>
      <c r="E304" s="773">
        <v>2270</v>
      </c>
      <c r="F304" s="791"/>
    </row>
    <row r="305" spans="1:6" s="767" customFormat="1" ht="14.25" customHeight="1" thickBot="1" x14ac:dyDescent="0.25">
      <c r="A305" s="779" t="s">
        <v>534</v>
      </c>
      <c r="B305" s="773" t="s">
        <v>341</v>
      </c>
      <c r="C305" s="773">
        <v>2490</v>
      </c>
      <c r="D305" s="773">
        <v>2470</v>
      </c>
      <c r="E305" s="773">
        <v>2440</v>
      </c>
      <c r="F305" s="787">
        <v>560</v>
      </c>
    </row>
    <row r="306" spans="1:6" s="767" customFormat="1" ht="14.25" customHeight="1" thickBot="1" x14ac:dyDescent="0.25">
      <c r="A306" s="779" t="s">
        <v>534</v>
      </c>
      <c r="B306" s="773" t="s">
        <v>351</v>
      </c>
      <c r="C306" s="773">
        <v>2420</v>
      </c>
      <c r="D306" s="773">
        <v>2400</v>
      </c>
      <c r="E306" s="773">
        <v>2380</v>
      </c>
      <c r="F306" s="791"/>
    </row>
    <row r="307" spans="1:6" s="767" customFormat="1" ht="14.25" customHeight="1" thickBot="1" x14ac:dyDescent="0.25">
      <c r="A307" s="779" t="s">
        <v>534</v>
      </c>
      <c r="B307" s="773" t="s">
        <v>361</v>
      </c>
      <c r="C307" s="773">
        <v>2770</v>
      </c>
      <c r="D307" s="773">
        <v>2740</v>
      </c>
      <c r="E307" s="773">
        <v>2710</v>
      </c>
      <c r="F307" s="787">
        <v>650</v>
      </c>
    </row>
    <row r="308" spans="1:6" s="767" customFormat="1" ht="14.25" customHeight="1" thickBot="1" x14ac:dyDescent="0.25">
      <c r="A308" s="779" t="s">
        <v>534</v>
      </c>
      <c r="B308" s="773" t="s">
        <v>371</v>
      </c>
      <c r="C308" s="773">
        <v>2610</v>
      </c>
      <c r="D308" s="773">
        <v>2580</v>
      </c>
      <c r="E308" s="773">
        <v>2550</v>
      </c>
      <c r="F308" s="787">
        <v>580</v>
      </c>
    </row>
    <row r="309" spans="1:6" s="767" customFormat="1" ht="14.25" customHeight="1" thickBot="1" x14ac:dyDescent="0.25">
      <c r="A309" s="779" t="s">
        <v>534</v>
      </c>
      <c r="B309" s="773" t="s">
        <v>381</v>
      </c>
      <c r="C309" s="773">
        <v>2690</v>
      </c>
      <c r="D309" s="773">
        <v>2670</v>
      </c>
      <c r="E309" s="773">
        <v>2650</v>
      </c>
      <c r="F309" s="791"/>
    </row>
    <row r="310" spans="1:6" s="767" customFormat="1" ht="14.25" customHeight="1" thickBot="1" x14ac:dyDescent="0.25">
      <c r="A310" s="779" t="s">
        <v>534</v>
      </c>
      <c r="B310" s="773" t="s">
        <v>390</v>
      </c>
      <c r="C310" s="773">
        <v>2360</v>
      </c>
      <c r="D310" s="773">
        <v>2330</v>
      </c>
      <c r="E310" s="773">
        <v>2310</v>
      </c>
      <c r="F310" s="787">
        <v>560</v>
      </c>
    </row>
    <row r="311" spans="1:6" s="767" customFormat="1" ht="14.25" customHeight="1" thickBot="1" x14ac:dyDescent="0.25">
      <c r="A311" s="779" t="s">
        <v>534</v>
      </c>
      <c r="B311" s="773" t="s">
        <v>399</v>
      </c>
      <c r="C311" s="773">
        <v>1970</v>
      </c>
      <c r="D311" s="773">
        <v>1950</v>
      </c>
      <c r="E311" s="773">
        <v>1920</v>
      </c>
      <c r="F311" s="787">
        <v>470</v>
      </c>
    </row>
    <row r="312" spans="1:6" s="767" customFormat="1" ht="14.25" customHeight="1" thickBot="1" x14ac:dyDescent="0.25">
      <c r="A312" s="779" t="s">
        <v>534</v>
      </c>
      <c r="B312" s="773" t="s">
        <v>407</v>
      </c>
      <c r="C312" s="773">
        <v>2230</v>
      </c>
      <c r="D312" s="773">
        <v>2200</v>
      </c>
      <c r="E312" s="773">
        <v>2170</v>
      </c>
      <c r="F312" s="787">
        <v>460</v>
      </c>
    </row>
    <row r="313" spans="1:6" s="767" customFormat="1" ht="14.25" customHeight="1" thickBot="1" x14ac:dyDescent="0.25">
      <c r="A313" s="779" t="s">
        <v>534</v>
      </c>
      <c r="B313" s="773" t="s">
        <v>414</v>
      </c>
      <c r="C313" s="773">
        <v>2770</v>
      </c>
      <c r="D313" s="773">
        <v>2740</v>
      </c>
      <c r="E313" s="773">
        <v>2710</v>
      </c>
      <c r="F313" s="787">
        <v>610</v>
      </c>
    </row>
    <row r="314" spans="1:6" s="767" customFormat="1" ht="14.25" customHeight="1" thickBot="1" x14ac:dyDescent="0.25">
      <c r="A314" s="779" t="s">
        <v>534</v>
      </c>
      <c r="B314" s="773" t="s">
        <v>421</v>
      </c>
      <c r="C314" s="773"/>
      <c r="D314" s="773"/>
      <c r="E314" s="773"/>
      <c r="F314" s="787">
        <v>490</v>
      </c>
    </row>
    <row r="315" spans="1:6" s="767" customFormat="1" ht="14.25" customHeight="1" thickBot="1" x14ac:dyDescent="0.25">
      <c r="A315" s="779" t="s">
        <v>534</v>
      </c>
      <c r="B315" s="773" t="s">
        <v>428</v>
      </c>
      <c r="C315" s="773"/>
      <c r="D315" s="773"/>
      <c r="E315" s="773"/>
      <c r="F315" s="787">
        <v>520</v>
      </c>
    </row>
    <row r="316" spans="1:6" s="767" customFormat="1" ht="14.25" customHeight="1" thickBot="1" x14ac:dyDescent="0.25">
      <c r="A316" s="779" t="s">
        <v>534</v>
      </c>
      <c r="B316" s="785" t="s">
        <v>435</v>
      </c>
      <c r="C316" s="785"/>
      <c r="D316" s="785"/>
      <c r="E316" s="785"/>
      <c r="F316" s="790">
        <v>460</v>
      </c>
    </row>
    <row r="317" spans="1:6" s="767" customFormat="1" ht="14.25" customHeight="1" thickBot="1" x14ac:dyDescent="0.25">
      <c r="A317" s="779" t="s">
        <v>321</v>
      </c>
      <c r="B317" s="780" t="s">
        <v>539</v>
      </c>
      <c r="C317" s="780">
        <v>1200</v>
      </c>
      <c r="D317" s="780">
        <v>1180</v>
      </c>
      <c r="E317" s="780">
        <v>1160</v>
      </c>
      <c r="F317" s="781">
        <v>370</v>
      </c>
    </row>
    <row r="318" spans="1:6" s="767" customFormat="1" ht="14.25" customHeight="1" thickBot="1" x14ac:dyDescent="0.25">
      <c r="A318" s="779" t="s">
        <v>321</v>
      </c>
      <c r="B318" s="773" t="s">
        <v>540</v>
      </c>
      <c r="C318" s="773">
        <v>1090</v>
      </c>
      <c r="D318" s="773">
        <v>1060</v>
      </c>
      <c r="E318" s="773">
        <v>1040</v>
      </c>
      <c r="F318" s="791"/>
    </row>
    <row r="319" spans="1:6" s="767" customFormat="1" ht="14.25" customHeight="1" thickBot="1" x14ac:dyDescent="0.25">
      <c r="A319" s="779" t="s">
        <v>321</v>
      </c>
      <c r="B319" s="773" t="s">
        <v>541</v>
      </c>
      <c r="C319" s="773">
        <v>1520</v>
      </c>
      <c r="D319" s="773">
        <v>1470</v>
      </c>
      <c r="E319" s="773">
        <v>1440</v>
      </c>
      <c r="F319" s="787">
        <v>370</v>
      </c>
    </row>
    <row r="320" spans="1:6" s="767" customFormat="1" ht="14.25" customHeight="1" thickBot="1" x14ac:dyDescent="0.25">
      <c r="A320" s="779" t="s">
        <v>321</v>
      </c>
      <c r="B320" s="773" t="s">
        <v>223</v>
      </c>
      <c r="C320" s="773">
        <v>1360</v>
      </c>
      <c r="D320" s="773">
        <v>1300</v>
      </c>
      <c r="E320" s="773">
        <v>1270</v>
      </c>
      <c r="F320" s="791"/>
    </row>
    <row r="321" spans="1:6" s="767" customFormat="1" ht="14.25" customHeight="1" thickBot="1" x14ac:dyDescent="0.25">
      <c r="A321" s="779" t="s">
        <v>321</v>
      </c>
      <c r="B321" s="773" t="s">
        <v>235</v>
      </c>
      <c r="C321" s="773">
        <v>1750</v>
      </c>
      <c r="D321" s="773">
        <v>1690</v>
      </c>
      <c r="E321" s="773">
        <v>1660</v>
      </c>
      <c r="F321" s="791"/>
    </row>
    <row r="322" spans="1:6" s="767" customFormat="1" ht="14.25" customHeight="1" thickBot="1" x14ac:dyDescent="0.25">
      <c r="A322" s="779" t="s">
        <v>321</v>
      </c>
      <c r="B322" s="773" t="s">
        <v>246</v>
      </c>
      <c r="C322" s="773">
        <v>1650</v>
      </c>
      <c r="D322" s="773">
        <v>1610</v>
      </c>
      <c r="E322" s="773">
        <v>1580</v>
      </c>
      <c r="F322" s="787">
        <v>500</v>
      </c>
    </row>
    <row r="323" spans="1:6" s="767" customFormat="1" ht="14.25" customHeight="1" thickBot="1" x14ac:dyDescent="0.25">
      <c r="A323" s="779" t="s">
        <v>321</v>
      </c>
      <c r="B323" s="773" t="s">
        <v>257</v>
      </c>
      <c r="C323" s="773">
        <v>1780</v>
      </c>
      <c r="D323" s="773">
        <v>1740</v>
      </c>
      <c r="E323" s="773">
        <v>1720</v>
      </c>
      <c r="F323" s="791"/>
    </row>
    <row r="324" spans="1:6" s="767" customFormat="1" ht="14.25" customHeight="1" thickBot="1" x14ac:dyDescent="0.25">
      <c r="A324" s="779" t="s">
        <v>321</v>
      </c>
      <c r="B324" s="773" t="s">
        <v>268</v>
      </c>
      <c r="C324" s="773">
        <v>1650</v>
      </c>
      <c r="D324" s="773">
        <v>1610</v>
      </c>
      <c r="E324" s="773">
        <v>1580</v>
      </c>
      <c r="F324" s="791"/>
    </row>
    <row r="325" spans="1:6" s="767" customFormat="1" ht="14.25" customHeight="1" thickBot="1" x14ac:dyDescent="0.25">
      <c r="A325" s="779" t="s">
        <v>321</v>
      </c>
      <c r="B325" s="773" t="s">
        <v>280</v>
      </c>
      <c r="C325" s="773">
        <v>1330</v>
      </c>
      <c r="D325" s="773">
        <v>1270</v>
      </c>
      <c r="E325" s="773">
        <v>1240</v>
      </c>
      <c r="F325" s="787">
        <v>430</v>
      </c>
    </row>
    <row r="326" spans="1:6" s="767" customFormat="1" ht="14.25" customHeight="1" thickBot="1" x14ac:dyDescent="0.25">
      <c r="A326" s="779" t="s">
        <v>321</v>
      </c>
      <c r="B326" s="773" t="s">
        <v>290</v>
      </c>
      <c r="C326" s="773">
        <v>1470</v>
      </c>
      <c r="D326" s="773">
        <v>1430</v>
      </c>
      <c r="E326" s="773">
        <v>1400</v>
      </c>
      <c r="F326" s="791"/>
    </row>
    <row r="327" spans="1:6" s="767" customFormat="1" ht="14.25" customHeight="1" thickBot="1" x14ac:dyDescent="0.25">
      <c r="A327" s="779" t="s">
        <v>321</v>
      </c>
      <c r="B327" s="773" t="s">
        <v>300</v>
      </c>
      <c r="C327" s="773">
        <v>1420</v>
      </c>
      <c r="D327" s="773">
        <v>1380</v>
      </c>
      <c r="E327" s="773">
        <v>1360</v>
      </c>
      <c r="F327" s="787">
        <v>420</v>
      </c>
    </row>
    <row r="328" spans="1:6" s="767" customFormat="1" ht="14.25" customHeight="1" thickBot="1" x14ac:dyDescent="0.25">
      <c r="A328" s="779" t="s">
        <v>321</v>
      </c>
      <c r="B328" s="773" t="s">
        <v>310</v>
      </c>
      <c r="C328" s="773">
        <v>1400</v>
      </c>
      <c r="D328" s="773">
        <v>1360</v>
      </c>
      <c r="E328" s="773">
        <v>1330</v>
      </c>
      <c r="F328" s="787">
        <v>460</v>
      </c>
    </row>
    <row r="329" spans="1:6" s="767" customFormat="1" ht="14.25" customHeight="1" thickBot="1" x14ac:dyDescent="0.25">
      <c r="A329" s="779" t="s">
        <v>321</v>
      </c>
      <c r="B329" s="773" t="s">
        <v>320</v>
      </c>
      <c r="C329" s="773">
        <v>1640</v>
      </c>
      <c r="D329" s="773">
        <v>1610</v>
      </c>
      <c r="E329" s="773">
        <v>1580</v>
      </c>
      <c r="F329" s="787">
        <v>410</v>
      </c>
    </row>
    <row r="330" spans="1:6" s="767" customFormat="1" ht="14.25" customHeight="1" thickBot="1" x14ac:dyDescent="0.25">
      <c r="A330" s="779" t="s">
        <v>321</v>
      </c>
      <c r="B330" s="773" t="s">
        <v>331</v>
      </c>
      <c r="C330" s="773">
        <v>1260</v>
      </c>
      <c r="D330" s="773">
        <v>1220</v>
      </c>
      <c r="E330" s="773">
        <v>1200</v>
      </c>
      <c r="F330" s="791"/>
    </row>
    <row r="331" spans="1:6" s="767" customFormat="1" ht="14.25" customHeight="1" thickBot="1" x14ac:dyDescent="0.25">
      <c r="A331" s="779" t="s">
        <v>321</v>
      </c>
      <c r="B331" s="773" t="s">
        <v>342</v>
      </c>
      <c r="C331" s="773">
        <v>1620</v>
      </c>
      <c r="D331" s="773">
        <v>1560</v>
      </c>
      <c r="E331" s="773">
        <v>1530</v>
      </c>
      <c r="F331" s="787">
        <v>490</v>
      </c>
    </row>
    <row r="332" spans="1:6" s="767" customFormat="1" ht="14.25" customHeight="1" thickBot="1" x14ac:dyDescent="0.25">
      <c r="A332" s="779" t="s">
        <v>321</v>
      </c>
      <c r="B332" s="773" t="s">
        <v>352</v>
      </c>
      <c r="C332" s="773">
        <v>1520</v>
      </c>
      <c r="D332" s="773">
        <v>1470</v>
      </c>
      <c r="E332" s="773">
        <v>1440</v>
      </c>
      <c r="F332" s="787">
        <v>440</v>
      </c>
    </row>
    <row r="333" spans="1:6" s="767" customFormat="1" ht="14.25" customHeight="1" thickBot="1" x14ac:dyDescent="0.25">
      <c r="A333" s="779" t="s">
        <v>321</v>
      </c>
      <c r="B333" s="773" t="s">
        <v>362</v>
      </c>
      <c r="C333" s="773">
        <v>1370</v>
      </c>
      <c r="D333" s="773">
        <v>1320</v>
      </c>
      <c r="E333" s="773">
        <v>1300</v>
      </c>
      <c r="F333" s="787">
        <v>460</v>
      </c>
    </row>
    <row r="334" spans="1:6" s="767" customFormat="1" ht="14.25" customHeight="1" thickBot="1" x14ac:dyDescent="0.25">
      <c r="A334" s="779" t="s">
        <v>321</v>
      </c>
      <c r="B334" s="773" t="s">
        <v>372</v>
      </c>
      <c r="C334" s="773">
        <v>1410</v>
      </c>
      <c r="D334" s="773">
        <v>1340</v>
      </c>
      <c r="E334" s="773">
        <v>1310</v>
      </c>
      <c r="F334" s="787">
        <v>410</v>
      </c>
    </row>
    <row r="335" spans="1:6" s="767" customFormat="1" ht="14.25" customHeight="1" thickBot="1" x14ac:dyDescent="0.25">
      <c r="A335" s="779" t="s">
        <v>321</v>
      </c>
      <c r="B335" s="773" t="s">
        <v>382</v>
      </c>
      <c r="C335" s="773">
        <v>1260</v>
      </c>
      <c r="D335" s="773">
        <v>1220</v>
      </c>
      <c r="E335" s="773">
        <v>1200</v>
      </c>
      <c r="F335" s="791"/>
    </row>
    <row r="336" spans="1:6" s="767" customFormat="1" ht="14.25" customHeight="1" thickBot="1" x14ac:dyDescent="0.25">
      <c r="A336" s="779" t="s">
        <v>321</v>
      </c>
      <c r="B336" s="773" t="s">
        <v>391</v>
      </c>
      <c r="C336" s="773">
        <v>1160</v>
      </c>
      <c r="D336" s="773">
        <v>1140</v>
      </c>
      <c r="E336" s="773">
        <v>1120</v>
      </c>
      <c r="F336" s="787">
        <v>430</v>
      </c>
    </row>
    <row r="337" spans="1:6" s="767" customFormat="1" ht="14.25" customHeight="1" thickBot="1" x14ac:dyDescent="0.25">
      <c r="A337" s="779" t="s">
        <v>321</v>
      </c>
      <c r="B337" s="785" t="s">
        <v>400</v>
      </c>
      <c r="C337" s="785"/>
      <c r="D337" s="785"/>
      <c r="E337" s="785"/>
      <c r="F337" s="790">
        <v>380</v>
      </c>
    </row>
    <row r="338" spans="1:6" s="767" customFormat="1" ht="14.25" customHeight="1" thickBot="1" x14ac:dyDescent="0.25">
      <c r="A338" s="779" t="s">
        <v>332</v>
      </c>
      <c r="B338" s="780" t="s">
        <v>542</v>
      </c>
      <c r="C338" s="780">
        <v>880</v>
      </c>
      <c r="D338" s="780">
        <v>850</v>
      </c>
      <c r="E338" s="780">
        <v>830</v>
      </c>
      <c r="F338" s="793"/>
    </row>
    <row r="339" spans="1:6" s="767" customFormat="1" ht="14.25" customHeight="1" thickBot="1" x14ac:dyDescent="0.25">
      <c r="A339" s="779" t="s">
        <v>332</v>
      </c>
      <c r="B339" s="773" t="s">
        <v>543</v>
      </c>
      <c r="C339" s="773">
        <v>830</v>
      </c>
      <c r="D339" s="773">
        <v>800</v>
      </c>
      <c r="E339" s="773">
        <v>780</v>
      </c>
      <c r="F339" s="791"/>
    </row>
    <row r="340" spans="1:6" s="767" customFormat="1" ht="14.25" customHeight="1" thickBot="1" x14ac:dyDescent="0.25">
      <c r="A340" s="779" t="s">
        <v>332</v>
      </c>
      <c r="B340" s="773" t="s">
        <v>544</v>
      </c>
      <c r="C340" s="773">
        <v>980</v>
      </c>
      <c r="D340" s="773">
        <v>950</v>
      </c>
      <c r="E340" s="773">
        <v>920</v>
      </c>
      <c r="F340" s="791"/>
    </row>
    <row r="341" spans="1:6" s="767" customFormat="1" ht="14.25" customHeight="1" thickBot="1" x14ac:dyDescent="0.25">
      <c r="A341" s="779" t="s">
        <v>332</v>
      </c>
      <c r="B341" s="773" t="s">
        <v>545</v>
      </c>
      <c r="C341" s="773">
        <v>760</v>
      </c>
      <c r="D341" s="773">
        <v>720</v>
      </c>
      <c r="E341" s="773">
        <v>690</v>
      </c>
      <c r="F341" s="787">
        <v>350</v>
      </c>
    </row>
    <row r="342" spans="1:6" s="767" customFormat="1" ht="14.25" customHeight="1" thickBot="1" x14ac:dyDescent="0.25">
      <c r="A342" s="779" t="s">
        <v>332</v>
      </c>
      <c r="B342" s="773" t="s">
        <v>236</v>
      </c>
      <c r="C342" s="773">
        <v>910</v>
      </c>
      <c r="D342" s="773">
        <v>870</v>
      </c>
      <c r="E342" s="773">
        <v>850</v>
      </c>
      <c r="F342" s="787">
        <v>370</v>
      </c>
    </row>
    <row r="343" spans="1:6" s="767" customFormat="1" ht="14.25" customHeight="1" thickBot="1" x14ac:dyDescent="0.25">
      <c r="A343" s="779" t="s">
        <v>332</v>
      </c>
      <c r="B343" s="773" t="s">
        <v>247</v>
      </c>
      <c r="C343" s="773">
        <v>800</v>
      </c>
      <c r="D343" s="773">
        <v>760</v>
      </c>
      <c r="E343" s="773">
        <v>730</v>
      </c>
      <c r="F343" s="787">
        <v>340</v>
      </c>
    </row>
    <row r="344" spans="1:6" s="767" customFormat="1" ht="14.25" customHeight="1" thickBot="1" x14ac:dyDescent="0.25">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dimension ref="A1:F344"/>
  <sheetViews>
    <sheetView workbookViewId="0">
      <selection activeCell="F6" sqref="F6"/>
    </sheetView>
  </sheetViews>
  <sheetFormatPr baseColWidth="10" defaultColWidth="8.83203125" defaultRowHeight="15" x14ac:dyDescent="0.2"/>
  <cols>
    <col min="1" max="1" width="12.6640625" style="794" customWidth="1"/>
    <col min="2" max="2" width="10.1640625" style="752" customWidth="1"/>
  </cols>
  <sheetData>
    <row r="1" spans="1:6" x14ac:dyDescent="0.2">
      <c r="A1" s="3611" t="s">
        <v>839</v>
      </c>
      <c r="B1" s="3611"/>
    </row>
    <row r="2" spans="1:6" ht="16" thickBot="1" x14ac:dyDescent="0.25">
      <c r="A2" s="972"/>
      <c r="B2" s="972"/>
    </row>
    <row r="3" spans="1:6" ht="16" thickBot="1" x14ac:dyDescent="0.25">
      <c r="A3" s="972"/>
      <c r="B3" s="972"/>
      <c r="C3" s="975" t="s">
        <v>842</v>
      </c>
      <c r="D3" s="975" t="s">
        <v>843</v>
      </c>
      <c r="E3" s="975" t="s">
        <v>844</v>
      </c>
      <c r="F3" s="975" t="s">
        <v>845</v>
      </c>
    </row>
    <row r="4" spans="1:6" ht="16" thickBot="1" x14ac:dyDescent="0.25">
      <c r="A4" s="973" t="s">
        <v>840</v>
      </c>
      <c r="B4" s="974" t="s">
        <v>841</v>
      </c>
      <c r="C4" s="975"/>
      <c r="D4" s="975"/>
      <c r="E4" s="975"/>
      <c r="F4" s="975"/>
    </row>
    <row r="5" spans="1:6" ht="16" thickBot="1" x14ac:dyDescent="0.25">
      <c r="A5" s="779" t="s">
        <v>846</v>
      </c>
      <c r="B5" s="780" t="s">
        <v>847</v>
      </c>
      <c r="C5" s="976">
        <v>8.8999999999999996E-2</v>
      </c>
      <c r="D5" s="976">
        <v>7.3999999999999996E-2</v>
      </c>
      <c r="E5" s="976">
        <v>7.4999999999999997E-2</v>
      </c>
      <c r="F5" s="977">
        <v>0.1</v>
      </c>
    </row>
    <row r="6" spans="1:6" ht="16" thickBot="1" x14ac:dyDescent="0.25">
      <c r="A6" s="779" t="s">
        <v>212</v>
      </c>
      <c r="B6" s="773" t="s">
        <v>848</v>
      </c>
      <c r="C6" s="978">
        <v>0.1</v>
      </c>
      <c r="D6" s="978">
        <v>9.0999999999999998E-2</v>
      </c>
      <c r="E6" s="978">
        <v>9.0999999999999998E-2</v>
      </c>
      <c r="F6" s="979">
        <v>0.1</v>
      </c>
    </row>
    <row r="7" spans="1:6" ht="16" thickBot="1" x14ac:dyDescent="0.25">
      <c r="A7" s="779" t="s">
        <v>212</v>
      </c>
      <c r="B7" s="783" t="s">
        <v>201</v>
      </c>
      <c r="C7" s="978">
        <v>8.5999999999999993E-2</v>
      </c>
      <c r="D7" s="978">
        <v>9.6000000000000002E-2</v>
      </c>
      <c r="E7" s="978">
        <v>7.5999999999999998E-2</v>
      </c>
      <c r="F7" s="979">
        <v>0.1</v>
      </c>
    </row>
    <row r="8" spans="1:6" ht="16" thickBot="1" x14ac:dyDescent="0.25">
      <c r="A8" s="779" t="s">
        <v>212</v>
      </c>
      <c r="B8" s="773" t="s">
        <v>213</v>
      </c>
      <c r="C8" s="978">
        <v>9.9000000000000005E-2</v>
      </c>
      <c r="D8" s="978">
        <v>9.8000000000000004E-2</v>
      </c>
      <c r="E8" s="978">
        <v>9.8000000000000004E-2</v>
      </c>
      <c r="F8" s="979">
        <v>0.1</v>
      </c>
    </row>
    <row r="9" spans="1:6" ht="16" thickBot="1" x14ac:dyDescent="0.25">
      <c r="A9" s="789" t="s">
        <v>212</v>
      </c>
      <c r="B9" s="784" t="s">
        <v>225</v>
      </c>
      <c r="C9" s="980">
        <v>0.05</v>
      </c>
      <c r="D9" s="988"/>
      <c r="E9" s="988"/>
      <c r="F9" s="989"/>
    </row>
    <row r="10" spans="1:6" ht="16" thickBot="1" x14ac:dyDescent="0.25">
      <c r="A10" s="779" t="s">
        <v>269</v>
      </c>
      <c r="B10" s="780" t="s">
        <v>849</v>
      </c>
      <c r="C10" s="976">
        <v>8.8999999999999996E-2</v>
      </c>
      <c r="D10" s="976">
        <v>7.2999999999999995E-2</v>
      </c>
      <c r="E10" s="976">
        <v>8.2000000000000003E-2</v>
      </c>
      <c r="F10" s="977">
        <v>0.1</v>
      </c>
    </row>
    <row r="11" spans="1:6" ht="16" thickBot="1" x14ac:dyDescent="0.25">
      <c r="A11" s="779" t="s">
        <v>269</v>
      </c>
      <c r="B11" s="783" t="s">
        <v>188</v>
      </c>
      <c r="C11" s="978">
        <v>8.8999999999999996E-2</v>
      </c>
      <c r="D11" s="978">
        <v>7.2999999999999995E-2</v>
      </c>
      <c r="E11" s="978">
        <v>8.2000000000000003E-2</v>
      </c>
      <c r="F11" s="979">
        <v>0.1</v>
      </c>
    </row>
    <row r="12" spans="1:6" ht="16" thickBot="1" x14ac:dyDescent="0.25">
      <c r="A12" s="779" t="s">
        <v>269</v>
      </c>
      <c r="B12" s="783" t="s">
        <v>138</v>
      </c>
      <c r="C12" s="978">
        <v>6.0999999999999999E-2</v>
      </c>
      <c r="D12" s="978">
        <v>7.0999999999999994E-2</v>
      </c>
      <c r="E12" s="978">
        <v>9.6000000000000002E-2</v>
      </c>
      <c r="F12" s="979">
        <v>0.1</v>
      </c>
    </row>
    <row r="13" spans="1:6" ht="16" thickBot="1" x14ac:dyDescent="0.25">
      <c r="A13" s="779" t="s">
        <v>269</v>
      </c>
      <c r="B13" s="783" t="s">
        <v>214</v>
      </c>
      <c r="C13" s="978">
        <v>6.9000000000000006E-2</v>
      </c>
      <c r="D13" s="978">
        <v>6.5000000000000002E-2</v>
      </c>
      <c r="E13" s="978">
        <v>6.6000000000000003E-2</v>
      </c>
      <c r="F13" s="979">
        <v>0.1</v>
      </c>
    </row>
    <row r="14" spans="1:6" ht="16" thickBot="1" x14ac:dyDescent="0.25">
      <c r="A14" s="779" t="s">
        <v>269</v>
      </c>
      <c r="B14" s="783" t="s">
        <v>226</v>
      </c>
      <c r="C14" s="978">
        <v>0.1</v>
      </c>
      <c r="D14" s="978">
        <v>6.5000000000000002E-2</v>
      </c>
      <c r="E14" s="978">
        <v>7.0000000000000007E-2</v>
      </c>
      <c r="F14" s="979">
        <v>0.1</v>
      </c>
    </row>
    <row r="15" spans="1:6" ht="16" thickBot="1" x14ac:dyDescent="0.25">
      <c r="A15" s="779" t="s">
        <v>269</v>
      </c>
      <c r="B15" s="783" t="s">
        <v>237</v>
      </c>
      <c r="C15" s="978">
        <v>9.8000000000000004E-2</v>
      </c>
      <c r="D15" s="978">
        <v>8.8999999999999996E-2</v>
      </c>
      <c r="E15" s="978">
        <v>8.8999999999999996E-2</v>
      </c>
      <c r="F15" s="979">
        <v>0.1</v>
      </c>
    </row>
    <row r="16" spans="1:6" ht="16" thickBot="1" x14ac:dyDescent="0.25">
      <c r="A16" s="779" t="s">
        <v>269</v>
      </c>
      <c r="B16" s="783" t="s">
        <v>248</v>
      </c>
      <c r="C16" s="978">
        <v>7.0000000000000007E-2</v>
      </c>
      <c r="D16" s="978">
        <v>9.2999999999999999E-2</v>
      </c>
      <c r="E16" s="978">
        <v>9.6000000000000002E-2</v>
      </c>
      <c r="F16" s="979">
        <v>0.1</v>
      </c>
    </row>
    <row r="17" spans="1:6" ht="16" thickBot="1" x14ac:dyDescent="0.25">
      <c r="A17" s="779" t="s">
        <v>269</v>
      </c>
      <c r="B17" s="783" t="s">
        <v>259</v>
      </c>
      <c r="C17" s="978">
        <v>9.5000000000000001E-2</v>
      </c>
      <c r="D17" s="978">
        <v>0.1</v>
      </c>
      <c r="E17" s="978">
        <v>0.1</v>
      </c>
      <c r="F17" s="990"/>
    </row>
    <row r="18" spans="1:6" ht="16" thickBot="1" x14ac:dyDescent="0.25">
      <c r="A18" s="779" t="s">
        <v>269</v>
      </c>
      <c r="B18" s="783" t="s">
        <v>271</v>
      </c>
      <c r="C18" s="978">
        <v>7.3999999999999996E-2</v>
      </c>
      <c r="D18" s="978">
        <v>9.9000000000000005E-2</v>
      </c>
      <c r="E18" s="978">
        <v>0.1</v>
      </c>
      <c r="F18" s="990"/>
    </row>
    <row r="19" spans="1:6" ht="16" thickBot="1" x14ac:dyDescent="0.25">
      <c r="A19" s="779" t="s">
        <v>269</v>
      </c>
      <c r="B19" s="783" t="s">
        <v>281</v>
      </c>
      <c r="C19" s="978">
        <v>9.9000000000000005E-2</v>
      </c>
      <c r="D19" s="978">
        <v>7.5999999999999998E-2</v>
      </c>
      <c r="E19" s="978">
        <v>8.6999999999999994E-2</v>
      </c>
      <c r="F19" s="990"/>
    </row>
    <row r="20" spans="1:6" ht="16" thickBot="1" x14ac:dyDescent="0.25">
      <c r="A20" s="779" t="s">
        <v>269</v>
      </c>
      <c r="B20" s="783" t="s">
        <v>291</v>
      </c>
      <c r="C20" s="978">
        <v>9.8000000000000004E-2</v>
      </c>
      <c r="D20" s="978">
        <v>8.5000000000000006E-2</v>
      </c>
      <c r="E20" s="978">
        <v>8.2000000000000003E-2</v>
      </c>
      <c r="F20" s="990"/>
    </row>
    <row r="21" spans="1:6" ht="16" thickBot="1" x14ac:dyDescent="0.25">
      <c r="A21" s="779" t="s">
        <v>269</v>
      </c>
      <c r="B21" s="783" t="s">
        <v>301</v>
      </c>
      <c r="C21" s="978">
        <v>6.6000000000000003E-2</v>
      </c>
      <c r="D21" s="978">
        <v>6.4000000000000001E-2</v>
      </c>
      <c r="E21" s="978">
        <v>6.5000000000000002E-2</v>
      </c>
      <c r="F21" s="990"/>
    </row>
    <row r="22" spans="1:6" ht="16" thickBot="1" x14ac:dyDescent="0.25">
      <c r="A22" s="779" t="s">
        <v>269</v>
      </c>
      <c r="B22" s="783" t="s">
        <v>850</v>
      </c>
      <c r="C22" s="978">
        <v>0.08</v>
      </c>
      <c r="D22" s="978">
        <v>9.8000000000000004E-2</v>
      </c>
      <c r="E22" s="978">
        <v>9.8000000000000004E-2</v>
      </c>
      <c r="F22" s="990"/>
    </row>
    <row r="23" spans="1:6" ht="16" thickBot="1" x14ac:dyDescent="0.25">
      <c r="A23" s="779" t="s">
        <v>269</v>
      </c>
      <c r="B23" s="783" t="s">
        <v>322</v>
      </c>
      <c r="C23" s="978">
        <v>9.9000000000000005E-2</v>
      </c>
      <c r="D23" s="978">
        <v>9.8000000000000004E-2</v>
      </c>
      <c r="E23" s="978">
        <v>9.0999999999999998E-2</v>
      </c>
      <c r="F23" s="990"/>
    </row>
    <row r="24" spans="1:6" ht="16" thickBot="1" x14ac:dyDescent="0.25">
      <c r="A24" s="779" t="s">
        <v>269</v>
      </c>
      <c r="B24" s="783" t="s">
        <v>333</v>
      </c>
      <c r="C24" s="978">
        <v>8.8999999999999996E-2</v>
      </c>
      <c r="D24" s="978">
        <v>9.7000000000000003E-2</v>
      </c>
      <c r="E24" s="978">
        <v>7.0000000000000007E-2</v>
      </c>
      <c r="F24" s="990"/>
    </row>
    <row r="25" spans="1:6" ht="16" thickBot="1" x14ac:dyDescent="0.25">
      <c r="A25" s="779" t="s">
        <v>269</v>
      </c>
      <c r="B25" s="783" t="s">
        <v>343</v>
      </c>
      <c r="C25" s="978">
        <v>8.8999999999999996E-2</v>
      </c>
      <c r="D25" s="978">
        <v>0.1</v>
      </c>
      <c r="E25" s="978">
        <v>8.1000000000000003E-2</v>
      </c>
      <c r="F25" s="990"/>
    </row>
    <row r="26" spans="1:6" ht="16" thickBot="1" x14ac:dyDescent="0.25">
      <c r="A26" s="779" t="s">
        <v>269</v>
      </c>
      <c r="B26" s="783" t="s">
        <v>353</v>
      </c>
      <c r="C26" s="991"/>
      <c r="D26" s="978">
        <v>9.6000000000000002E-2</v>
      </c>
      <c r="E26" s="978">
        <v>9.2999999999999999E-2</v>
      </c>
      <c r="F26" s="990"/>
    </row>
    <row r="27" spans="1:6" ht="16" thickBot="1" x14ac:dyDescent="0.25">
      <c r="A27" s="779" t="s">
        <v>269</v>
      </c>
      <c r="B27" s="783" t="s">
        <v>363</v>
      </c>
      <c r="C27" s="991"/>
      <c r="D27" s="978">
        <v>7.5999999999999998E-2</v>
      </c>
      <c r="E27" s="978">
        <v>9.1999999999999998E-2</v>
      </c>
      <c r="F27" s="990"/>
    </row>
    <row r="28" spans="1:6" ht="16" thickBot="1" x14ac:dyDescent="0.25">
      <c r="A28" s="789" t="s">
        <v>269</v>
      </c>
      <c r="B28" s="784" t="s">
        <v>373</v>
      </c>
      <c r="C28" s="988"/>
      <c r="D28" s="980">
        <v>7.5999999999999998E-2</v>
      </c>
      <c r="E28" s="980">
        <v>9.1999999999999998E-2</v>
      </c>
      <c r="F28" s="989"/>
    </row>
    <row r="29" spans="1:6" ht="16" thickBot="1" x14ac:dyDescent="0.25">
      <c r="A29" s="779" t="s">
        <v>442</v>
      </c>
      <c r="B29" s="780" t="s">
        <v>851</v>
      </c>
      <c r="C29" s="976">
        <v>6.4000000000000001E-2</v>
      </c>
      <c r="D29" s="976">
        <v>6.5000000000000002E-2</v>
      </c>
      <c r="E29" s="976">
        <v>6.9000000000000006E-2</v>
      </c>
      <c r="F29" s="977">
        <v>0.1</v>
      </c>
    </row>
    <row r="30" spans="1:6" ht="16" thickBot="1" x14ac:dyDescent="0.25">
      <c r="A30" s="779" t="s">
        <v>442</v>
      </c>
      <c r="B30" s="783" t="s">
        <v>189</v>
      </c>
      <c r="C30" s="978">
        <v>6.4000000000000001E-2</v>
      </c>
      <c r="D30" s="978">
        <v>9.9000000000000005E-2</v>
      </c>
      <c r="E30" s="978">
        <v>0.1</v>
      </c>
      <c r="F30" s="979">
        <v>0.1</v>
      </c>
    </row>
    <row r="31" spans="1:6" ht="16" thickBot="1" x14ac:dyDescent="0.25">
      <c r="A31" s="779" t="s">
        <v>442</v>
      </c>
      <c r="B31" s="783" t="s">
        <v>202</v>
      </c>
      <c r="C31" s="978">
        <v>0.1</v>
      </c>
      <c r="D31" s="978">
        <v>9.5000000000000001E-2</v>
      </c>
      <c r="E31" s="978">
        <v>8.8999999999999996E-2</v>
      </c>
      <c r="F31" s="979">
        <v>0.1</v>
      </c>
    </row>
    <row r="32" spans="1:6" ht="16" thickBot="1" x14ac:dyDescent="0.25">
      <c r="A32" s="779" t="s">
        <v>442</v>
      </c>
      <c r="B32" s="783" t="s">
        <v>215</v>
      </c>
      <c r="C32" s="978">
        <v>0.05</v>
      </c>
      <c r="D32" s="978">
        <v>0.05</v>
      </c>
      <c r="E32" s="978">
        <v>8.7999999999999995E-2</v>
      </c>
      <c r="F32" s="979">
        <v>0.1</v>
      </c>
    </row>
    <row r="33" spans="1:6" ht="16" thickBot="1" x14ac:dyDescent="0.25">
      <c r="A33" s="779" t="s">
        <v>442</v>
      </c>
      <c r="B33" s="783" t="s">
        <v>227</v>
      </c>
      <c r="C33" s="978">
        <v>7.4999999999999997E-2</v>
      </c>
      <c r="D33" s="978">
        <v>9.4E-2</v>
      </c>
      <c r="E33" s="978">
        <v>9.7000000000000003E-2</v>
      </c>
      <c r="F33" s="979">
        <v>0.1</v>
      </c>
    </row>
    <row r="34" spans="1:6" ht="16" thickBot="1" x14ac:dyDescent="0.25">
      <c r="A34" s="779" t="s">
        <v>442</v>
      </c>
      <c r="B34" s="783" t="s">
        <v>238</v>
      </c>
      <c r="C34" s="978">
        <v>9.8000000000000004E-2</v>
      </c>
      <c r="D34" s="978">
        <v>8.5999999999999993E-2</v>
      </c>
      <c r="E34" s="978">
        <v>9.7000000000000003E-2</v>
      </c>
      <c r="F34" s="979">
        <v>0.1</v>
      </c>
    </row>
    <row r="35" spans="1:6" ht="16" thickBot="1" x14ac:dyDescent="0.25">
      <c r="A35" s="779" t="s">
        <v>442</v>
      </c>
      <c r="B35" s="783" t="s">
        <v>249</v>
      </c>
      <c r="C35" s="978">
        <v>5.8999999999999997E-2</v>
      </c>
      <c r="D35" s="978">
        <v>6.5000000000000002E-2</v>
      </c>
      <c r="E35" s="978">
        <v>7.0000000000000007E-2</v>
      </c>
      <c r="F35" s="979">
        <v>0.1</v>
      </c>
    </row>
    <row r="36" spans="1:6" ht="16" thickBot="1" x14ac:dyDescent="0.25">
      <c r="A36" s="779" t="s">
        <v>442</v>
      </c>
      <c r="B36" s="783" t="s">
        <v>260</v>
      </c>
      <c r="C36" s="978">
        <v>6.3E-2</v>
      </c>
      <c r="D36" s="978">
        <v>0.1</v>
      </c>
      <c r="E36" s="978">
        <v>0.1</v>
      </c>
      <c r="F36" s="979">
        <v>0.1</v>
      </c>
    </row>
    <row r="37" spans="1:6" ht="16" thickBot="1" x14ac:dyDescent="0.25">
      <c r="A37" s="779" t="s">
        <v>442</v>
      </c>
      <c r="B37" s="783" t="s">
        <v>272</v>
      </c>
      <c r="C37" s="978">
        <v>7.3999999999999996E-2</v>
      </c>
      <c r="D37" s="978">
        <v>0.1</v>
      </c>
      <c r="E37" s="978">
        <v>0.1</v>
      </c>
      <c r="F37" s="979">
        <v>0.1</v>
      </c>
    </row>
    <row r="38" spans="1:6" ht="16" thickBot="1" x14ac:dyDescent="0.25">
      <c r="A38" s="779" t="s">
        <v>442</v>
      </c>
      <c r="B38" s="783" t="s">
        <v>282</v>
      </c>
      <c r="C38" s="978">
        <v>0.1</v>
      </c>
      <c r="D38" s="978">
        <v>9.6000000000000002E-2</v>
      </c>
      <c r="E38" s="978">
        <v>9.6000000000000002E-2</v>
      </c>
      <c r="F38" s="990"/>
    </row>
    <row r="39" spans="1:6" ht="16" thickBot="1" x14ac:dyDescent="0.25">
      <c r="A39" s="779" t="s">
        <v>442</v>
      </c>
      <c r="B39" s="783" t="s">
        <v>292</v>
      </c>
      <c r="C39" s="978">
        <v>0.1</v>
      </c>
      <c r="D39" s="978">
        <v>9.6000000000000002E-2</v>
      </c>
      <c r="E39" s="978">
        <v>9.6000000000000002E-2</v>
      </c>
      <c r="F39" s="990"/>
    </row>
    <row r="40" spans="1:6" ht="16" thickBot="1" x14ac:dyDescent="0.25">
      <c r="A40" s="779" t="s">
        <v>442</v>
      </c>
      <c r="B40" s="783" t="s">
        <v>302</v>
      </c>
      <c r="C40" s="978">
        <v>9.6000000000000002E-2</v>
      </c>
      <c r="D40" s="978">
        <v>0.1</v>
      </c>
      <c r="E40" s="978">
        <v>9.9000000000000005E-2</v>
      </c>
      <c r="F40" s="990"/>
    </row>
    <row r="41" spans="1:6" ht="16" thickBot="1" x14ac:dyDescent="0.25">
      <c r="A41" s="779" t="s">
        <v>442</v>
      </c>
      <c r="B41" s="783" t="s">
        <v>312</v>
      </c>
      <c r="C41" s="978">
        <v>9.6000000000000002E-2</v>
      </c>
      <c r="D41" s="978">
        <v>9.8000000000000004E-2</v>
      </c>
      <c r="E41" s="978">
        <v>9.8000000000000004E-2</v>
      </c>
      <c r="F41" s="990"/>
    </row>
    <row r="42" spans="1:6" ht="16" thickBot="1" x14ac:dyDescent="0.25">
      <c r="A42" s="779" t="s">
        <v>442</v>
      </c>
      <c r="B42" s="783" t="s">
        <v>323</v>
      </c>
      <c r="C42" s="978">
        <v>0.1</v>
      </c>
      <c r="D42" s="978">
        <v>8.7999999999999995E-2</v>
      </c>
      <c r="E42" s="978">
        <v>0.1</v>
      </c>
      <c r="F42" s="990"/>
    </row>
    <row r="43" spans="1:6" ht="16" thickBot="1" x14ac:dyDescent="0.25">
      <c r="A43" s="779" t="s">
        <v>442</v>
      </c>
      <c r="B43" s="783" t="s">
        <v>334</v>
      </c>
      <c r="C43" s="978">
        <v>9.8000000000000004E-2</v>
      </c>
      <c r="D43" s="978">
        <v>9.7000000000000003E-2</v>
      </c>
      <c r="E43" s="978">
        <v>9.6000000000000002E-2</v>
      </c>
      <c r="F43" s="990"/>
    </row>
    <row r="44" spans="1:6" ht="16" thickBot="1" x14ac:dyDescent="0.25">
      <c r="A44" s="779" t="s">
        <v>442</v>
      </c>
      <c r="B44" s="783" t="s">
        <v>344</v>
      </c>
      <c r="C44" s="978">
        <v>8.5999999999999993E-2</v>
      </c>
      <c r="D44" s="978">
        <v>7.9000000000000001E-2</v>
      </c>
      <c r="E44" s="978">
        <v>7.0999999999999994E-2</v>
      </c>
      <c r="F44" s="990"/>
    </row>
    <row r="45" spans="1:6" ht="16" thickBot="1" x14ac:dyDescent="0.25">
      <c r="A45" s="779" t="s">
        <v>442</v>
      </c>
      <c r="B45" s="783" t="s">
        <v>354</v>
      </c>
      <c r="C45" s="978">
        <v>9.8000000000000004E-2</v>
      </c>
      <c r="D45" s="978">
        <v>9.6000000000000002E-2</v>
      </c>
      <c r="E45" s="978">
        <v>9.6000000000000002E-2</v>
      </c>
      <c r="F45" s="990"/>
    </row>
    <row r="46" spans="1:6" ht="16" thickBot="1" x14ac:dyDescent="0.25">
      <c r="A46" s="779" t="s">
        <v>442</v>
      </c>
      <c r="B46" s="783" t="s">
        <v>364</v>
      </c>
      <c r="C46" s="978">
        <v>8.5999999999999993E-2</v>
      </c>
      <c r="D46" s="978">
        <v>9.8000000000000004E-2</v>
      </c>
      <c r="E46" s="978">
        <v>8.7999999999999995E-2</v>
      </c>
      <c r="F46" s="990"/>
    </row>
    <row r="47" spans="1:6" ht="16" thickBot="1" x14ac:dyDescent="0.25">
      <c r="A47" s="779" t="s">
        <v>442</v>
      </c>
      <c r="B47" s="783" t="s">
        <v>374</v>
      </c>
      <c r="C47" s="978">
        <v>9.6000000000000002E-2</v>
      </c>
      <c r="D47" s="991"/>
      <c r="E47" s="978">
        <v>6.9000000000000006E-2</v>
      </c>
      <c r="F47" s="990"/>
    </row>
    <row r="48" spans="1:6" ht="16" thickBot="1" x14ac:dyDescent="0.25">
      <c r="A48" s="789" t="s">
        <v>442</v>
      </c>
      <c r="B48" s="784" t="s">
        <v>383</v>
      </c>
      <c r="C48" s="980">
        <v>9.8000000000000004E-2</v>
      </c>
      <c r="D48" s="988"/>
      <c r="E48" s="980">
        <v>9.5000000000000001E-2</v>
      </c>
      <c r="F48" s="989"/>
    </row>
    <row r="49" spans="1:6" ht="16" thickBot="1" x14ac:dyDescent="0.25">
      <c r="A49" s="779" t="s">
        <v>137</v>
      </c>
      <c r="B49" s="780" t="s">
        <v>852</v>
      </c>
      <c r="C49" s="976">
        <v>9.7000000000000003E-2</v>
      </c>
      <c r="D49" s="976">
        <v>9.5000000000000001E-2</v>
      </c>
      <c r="E49" s="976">
        <v>9.7000000000000003E-2</v>
      </c>
      <c r="F49" s="977">
        <v>0.1</v>
      </c>
    </row>
    <row r="50" spans="1:6" ht="16" thickBot="1" x14ac:dyDescent="0.25">
      <c r="A50" s="779" t="s">
        <v>137</v>
      </c>
      <c r="B50" s="773" t="s">
        <v>190</v>
      </c>
      <c r="C50" s="978">
        <v>7.4999999999999997E-2</v>
      </c>
      <c r="D50" s="978">
        <v>9.5000000000000001E-2</v>
      </c>
      <c r="E50" s="978">
        <v>0.1</v>
      </c>
      <c r="F50" s="979">
        <v>0.1</v>
      </c>
    </row>
    <row r="51" spans="1:6" ht="16" thickBot="1" x14ac:dyDescent="0.25">
      <c r="A51" s="779" t="s">
        <v>137</v>
      </c>
      <c r="B51" s="773" t="s">
        <v>203</v>
      </c>
      <c r="C51" s="978">
        <v>9.8000000000000004E-2</v>
      </c>
      <c r="D51" s="978">
        <v>8.8999999999999996E-2</v>
      </c>
      <c r="E51" s="978">
        <v>0.1</v>
      </c>
      <c r="F51" s="979">
        <v>0.1</v>
      </c>
    </row>
    <row r="52" spans="1:6" ht="16" thickBot="1" x14ac:dyDescent="0.25">
      <c r="A52" s="779" t="s">
        <v>137</v>
      </c>
      <c r="B52" s="773" t="s">
        <v>216</v>
      </c>
      <c r="C52" s="978">
        <v>9.8000000000000004E-2</v>
      </c>
      <c r="D52" s="978">
        <v>9.7000000000000003E-2</v>
      </c>
      <c r="E52" s="978">
        <v>8.1000000000000003E-2</v>
      </c>
      <c r="F52" s="979">
        <v>0.1</v>
      </c>
    </row>
    <row r="53" spans="1:6" ht="16" thickBot="1" x14ac:dyDescent="0.25">
      <c r="A53" s="779" t="s">
        <v>137</v>
      </c>
      <c r="B53" s="773" t="s">
        <v>228</v>
      </c>
      <c r="C53" s="978">
        <v>9.7000000000000003E-2</v>
      </c>
      <c r="D53" s="978">
        <v>7.5999999999999998E-2</v>
      </c>
      <c r="E53" s="978">
        <v>7.0999999999999994E-2</v>
      </c>
      <c r="F53" s="979">
        <v>0.1</v>
      </c>
    </row>
    <row r="54" spans="1:6" ht="16" thickBot="1" x14ac:dyDescent="0.25">
      <c r="A54" s="779" t="s">
        <v>137</v>
      </c>
      <c r="B54" s="773" t="s">
        <v>239</v>
      </c>
      <c r="C54" s="978">
        <v>7.5999999999999998E-2</v>
      </c>
      <c r="D54" s="978">
        <v>0.1</v>
      </c>
      <c r="E54" s="978">
        <v>9.9000000000000005E-2</v>
      </c>
      <c r="F54" s="979">
        <v>0.1</v>
      </c>
    </row>
    <row r="55" spans="1:6" ht="16" thickBot="1" x14ac:dyDescent="0.25">
      <c r="A55" s="779" t="s">
        <v>137</v>
      </c>
      <c r="B55" s="773" t="s">
        <v>250</v>
      </c>
      <c r="C55" s="978">
        <v>0.1</v>
      </c>
      <c r="D55" s="978">
        <v>0.1</v>
      </c>
      <c r="E55" s="978">
        <v>9.6000000000000002E-2</v>
      </c>
      <c r="F55" s="979">
        <v>0.1</v>
      </c>
    </row>
    <row r="56" spans="1:6" ht="16" thickBot="1" x14ac:dyDescent="0.25">
      <c r="A56" s="779" t="s">
        <v>137</v>
      </c>
      <c r="B56" s="773" t="s">
        <v>261</v>
      </c>
      <c r="C56" s="978">
        <v>0.1</v>
      </c>
      <c r="D56" s="978">
        <v>9.6000000000000002E-2</v>
      </c>
      <c r="E56" s="978">
        <v>5.1999999999999998E-2</v>
      </c>
      <c r="F56" s="979">
        <v>0.1</v>
      </c>
    </row>
    <row r="57" spans="1:6" ht="16" thickBot="1" x14ac:dyDescent="0.25">
      <c r="A57" s="779" t="s">
        <v>137</v>
      </c>
      <c r="B57" s="773" t="s">
        <v>273</v>
      </c>
      <c r="C57" s="978">
        <v>9.7000000000000003E-2</v>
      </c>
      <c r="D57" s="978">
        <v>9.6000000000000002E-2</v>
      </c>
      <c r="E57" s="978">
        <v>9.6000000000000002E-2</v>
      </c>
      <c r="F57" s="979">
        <v>0.1</v>
      </c>
    </row>
    <row r="58" spans="1:6" ht="16" thickBot="1" x14ac:dyDescent="0.25">
      <c r="A58" s="779" t="s">
        <v>137</v>
      </c>
      <c r="B58" s="773" t="s">
        <v>283</v>
      </c>
      <c r="C58" s="978">
        <v>9.6000000000000002E-2</v>
      </c>
      <c r="D58" s="978">
        <v>9.9000000000000005E-2</v>
      </c>
      <c r="E58" s="978">
        <v>9.6000000000000002E-2</v>
      </c>
      <c r="F58" s="979">
        <v>0.1</v>
      </c>
    </row>
    <row r="59" spans="1:6" ht="16" thickBot="1" x14ac:dyDescent="0.25">
      <c r="A59" s="779" t="s">
        <v>137</v>
      </c>
      <c r="B59" s="773" t="s">
        <v>293</v>
      </c>
      <c r="C59" s="978">
        <v>7.1999999999999995E-2</v>
      </c>
      <c r="D59" s="978">
        <v>9.6000000000000002E-2</v>
      </c>
      <c r="E59" s="978">
        <v>7.0999999999999994E-2</v>
      </c>
      <c r="F59" s="979">
        <v>0.1</v>
      </c>
    </row>
    <row r="60" spans="1:6" ht="16" thickBot="1" x14ac:dyDescent="0.25">
      <c r="A60" s="779" t="s">
        <v>137</v>
      </c>
      <c r="B60" s="773" t="s">
        <v>303</v>
      </c>
      <c r="C60" s="978">
        <v>9.6000000000000002E-2</v>
      </c>
      <c r="D60" s="978">
        <v>8.8999999999999996E-2</v>
      </c>
      <c r="E60" s="978">
        <v>9.6000000000000002E-2</v>
      </c>
      <c r="F60" s="979">
        <v>0.1</v>
      </c>
    </row>
    <row r="61" spans="1:6" ht="16" thickBot="1" x14ac:dyDescent="0.25">
      <c r="A61" s="779" t="s">
        <v>137</v>
      </c>
      <c r="B61" s="773" t="s">
        <v>313</v>
      </c>
      <c r="C61" s="978">
        <v>8.8999999999999996E-2</v>
      </c>
      <c r="D61" s="978">
        <v>9.8000000000000004E-2</v>
      </c>
      <c r="E61" s="978">
        <v>8.7999999999999995E-2</v>
      </c>
      <c r="F61" s="990"/>
    </row>
    <row r="62" spans="1:6" ht="16" thickBot="1" x14ac:dyDescent="0.25">
      <c r="A62" s="779" t="s">
        <v>137</v>
      </c>
      <c r="B62" s="773" t="s">
        <v>324</v>
      </c>
      <c r="C62" s="978">
        <v>9.8000000000000004E-2</v>
      </c>
      <c r="D62" s="978">
        <v>9.2999999999999999E-2</v>
      </c>
      <c r="E62" s="978">
        <v>9.7000000000000003E-2</v>
      </c>
      <c r="F62" s="990"/>
    </row>
    <row r="63" spans="1:6" ht="16" thickBot="1" x14ac:dyDescent="0.25">
      <c r="A63" s="779" t="s">
        <v>137</v>
      </c>
      <c r="B63" s="773" t="s">
        <v>335</v>
      </c>
      <c r="C63" s="978">
        <v>9.6000000000000002E-2</v>
      </c>
      <c r="D63" s="978">
        <v>9.8000000000000004E-2</v>
      </c>
      <c r="E63" s="978">
        <v>0.09</v>
      </c>
      <c r="F63" s="990"/>
    </row>
    <row r="64" spans="1:6" ht="16" thickBot="1" x14ac:dyDescent="0.25">
      <c r="A64" s="779" t="s">
        <v>137</v>
      </c>
      <c r="B64" s="773" t="s">
        <v>345</v>
      </c>
      <c r="C64" s="978">
        <v>9.9000000000000005E-2</v>
      </c>
      <c r="D64" s="978">
        <v>9.7000000000000003E-2</v>
      </c>
      <c r="E64" s="978">
        <v>9.9000000000000005E-2</v>
      </c>
      <c r="F64" s="990"/>
    </row>
    <row r="65" spans="1:6" ht="16" thickBot="1" x14ac:dyDescent="0.25">
      <c r="A65" s="779" t="s">
        <v>137</v>
      </c>
      <c r="B65" s="773" t="s">
        <v>355</v>
      </c>
      <c r="C65" s="978">
        <v>9.8000000000000004E-2</v>
      </c>
      <c r="D65" s="978">
        <v>9.6000000000000002E-2</v>
      </c>
      <c r="E65" s="978">
        <v>9.6000000000000002E-2</v>
      </c>
      <c r="F65" s="990"/>
    </row>
    <row r="66" spans="1:6" ht="16" thickBot="1" x14ac:dyDescent="0.25">
      <c r="A66" s="779" t="s">
        <v>137</v>
      </c>
      <c r="B66" s="773" t="s">
        <v>365</v>
      </c>
      <c r="C66" s="978">
        <v>9.6000000000000002E-2</v>
      </c>
      <c r="D66" s="978">
        <v>9.1999999999999998E-2</v>
      </c>
      <c r="E66" s="978">
        <v>9.6000000000000002E-2</v>
      </c>
      <c r="F66" s="990"/>
    </row>
    <row r="67" spans="1:6" ht="16" thickBot="1" x14ac:dyDescent="0.25">
      <c r="A67" s="779" t="s">
        <v>137</v>
      </c>
      <c r="B67" s="773" t="s">
        <v>375</v>
      </c>
      <c r="C67" s="978">
        <v>9.4E-2</v>
      </c>
      <c r="D67" s="978">
        <v>0.1</v>
      </c>
      <c r="E67" s="978">
        <v>8.7999999999999995E-2</v>
      </c>
      <c r="F67" s="990"/>
    </row>
    <row r="68" spans="1:6" ht="16" thickBot="1" x14ac:dyDescent="0.25">
      <c r="A68" s="779" t="s">
        <v>137</v>
      </c>
      <c r="B68" s="773" t="s">
        <v>384</v>
      </c>
      <c r="C68" s="978">
        <v>0.1</v>
      </c>
      <c r="D68" s="978">
        <v>8.7999999999999995E-2</v>
      </c>
      <c r="E68" s="978">
        <v>9.7000000000000003E-2</v>
      </c>
      <c r="F68" s="990"/>
    </row>
    <row r="69" spans="1:6" ht="16" thickBot="1" x14ac:dyDescent="0.25">
      <c r="A69" s="779" t="s">
        <v>137</v>
      </c>
      <c r="B69" s="773" t="s">
        <v>393</v>
      </c>
      <c r="C69" s="978">
        <v>6.4000000000000001E-2</v>
      </c>
      <c r="D69" s="978">
        <v>0.1</v>
      </c>
      <c r="E69" s="978">
        <v>0.1</v>
      </c>
      <c r="F69" s="990"/>
    </row>
    <row r="70" spans="1:6" ht="16" thickBot="1" x14ac:dyDescent="0.25">
      <c r="A70" s="779" t="s">
        <v>137</v>
      </c>
      <c r="B70" s="773" t="s">
        <v>401</v>
      </c>
      <c r="C70" s="978">
        <v>9.0999999999999998E-2</v>
      </c>
      <c r="D70" s="991"/>
      <c r="E70" s="991"/>
      <c r="F70" s="990"/>
    </row>
    <row r="71" spans="1:6" ht="16" thickBot="1" x14ac:dyDescent="0.25">
      <c r="A71" s="779" t="s">
        <v>137</v>
      </c>
      <c r="B71" s="773" t="s">
        <v>408</v>
      </c>
      <c r="C71" s="978">
        <v>0.1</v>
      </c>
      <c r="D71" s="991"/>
      <c r="E71" s="991"/>
      <c r="F71" s="990"/>
    </row>
    <row r="72" spans="1:6" ht="16" thickBot="1" x14ac:dyDescent="0.25">
      <c r="A72" s="779" t="s">
        <v>137</v>
      </c>
      <c r="B72" s="773" t="s">
        <v>853</v>
      </c>
      <c r="C72" s="991"/>
      <c r="D72" s="991"/>
      <c r="E72" s="991"/>
      <c r="F72" s="979">
        <v>0.05</v>
      </c>
    </row>
    <row r="73" spans="1:6" ht="16" thickBot="1" x14ac:dyDescent="0.25">
      <c r="A73" s="779" t="s">
        <v>137</v>
      </c>
      <c r="B73" s="773" t="s">
        <v>854</v>
      </c>
      <c r="C73" s="991"/>
      <c r="D73" s="991"/>
      <c r="E73" s="991"/>
      <c r="F73" s="979">
        <v>0.05</v>
      </c>
    </row>
    <row r="74" spans="1:6" ht="16" thickBot="1" x14ac:dyDescent="0.25">
      <c r="A74" s="779" t="s">
        <v>137</v>
      </c>
      <c r="B74" s="773" t="s">
        <v>855</v>
      </c>
      <c r="C74" s="991"/>
      <c r="D74" s="991"/>
      <c r="E74" s="991"/>
      <c r="F74" s="979">
        <v>0.05</v>
      </c>
    </row>
    <row r="75" spans="1:6" ht="16" thickBot="1" x14ac:dyDescent="0.25">
      <c r="A75" s="789" t="s">
        <v>137</v>
      </c>
      <c r="B75" s="785" t="s">
        <v>856</v>
      </c>
      <c r="C75" s="988"/>
      <c r="D75" s="988"/>
      <c r="E75" s="988"/>
      <c r="F75" s="981">
        <v>0.05</v>
      </c>
    </row>
    <row r="76" spans="1:6" ht="16" thickBot="1" x14ac:dyDescent="0.25">
      <c r="A76" s="779" t="s">
        <v>523</v>
      </c>
      <c r="B76" s="780" t="s">
        <v>857</v>
      </c>
      <c r="C76" s="976">
        <v>0.1</v>
      </c>
      <c r="D76" s="976">
        <v>0.1</v>
      </c>
      <c r="E76" s="976">
        <v>0.1</v>
      </c>
      <c r="F76" s="977">
        <v>0.1</v>
      </c>
    </row>
    <row r="77" spans="1:6" ht="16" thickBot="1" x14ac:dyDescent="0.25">
      <c r="A77" s="779" t="s">
        <v>523</v>
      </c>
      <c r="B77" s="773" t="s">
        <v>191</v>
      </c>
      <c r="C77" s="978">
        <v>8.7999999999999995E-2</v>
      </c>
      <c r="D77" s="978">
        <v>8.6999999999999994E-2</v>
      </c>
      <c r="E77" s="978">
        <v>7.9000000000000001E-2</v>
      </c>
      <c r="F77" s="979">
        <v>0.1</v>
      </c>
    </row>
    <row r="78" spans="1:6" ht="16" thickBot="1" x14ac:dyDescent="0.25">
      <c r="A78" s="779" t="s">
        <v>523</v>
      </c>
      <c r="B78" s="773" t="s">
        <v>204</v>
      </c>
      <c r="C78" s="978">
        <v>8.6999999999999994E-2</v>
      </c>
      <c r="D78" s="978">
        <v>8.4000000000000005E-2</v>
      </c>
      <c r="E78" s="978">
        <v>9.6000000000000002E-2</v>
      </c>
      <c r="F78" s="979">
        <v>0.1</v>
      </c>
    </row>
    <row r="79" spans="1:6" ht="16" thickBot="1" x14ac:dyDescent="0.25">
      <c r="A79" s="779" t="s">
        <v>523</v>
      </c>
      <c r="B79" s="773" t="s">
        <v>217</v>
      </c>
      <c r="C79" s="978">
        <v>9.8000000000000004E-2</v>
      </c>
      <c r="D79" s="978">
        <v>9.8000000000000004E-2</v>
      </c>
      <c r="E79" s="978">
        <v>9.0999999999999998E-2</v>
      </c>
      <c r="F79" s="979">
        <v>0.1</v>
      </c>
    </row>
    <row r="80" spans="1:6" ht="16" thickBot="1" x14ac:dyDescent="0.25">
      <c r="A80" s="779" t="s">
        <v>523</v>
      </c>
      <c r="B80" s="773" t="s">
        <v>229</v>
      </c>
      <c r="C80" s="978">
        <v>9.6000000000000002E-2</v>
      </c>
      <c r="D80" s="978">
        <v>9.6000000000000002E-2</v>
      </c>
      <c r="E80" s="978">
        <v>0.1</v>
      </c>
      <c r="F80" s="979">
        <v>0.1</v>
      </c>
    </row>
    <row r="81" spans="1:6" ht="16" thickBot="1" x14ac:dyDescent="0.25">
      <c r="A81" s="779" t="s">
        <v>523</v>
      </c>
      <c r="B81" s="773" t="s">
        <v>240</v>
      </c>
      <c r="C81" s="978">
        <v>9.9000000000000005E-2</v>
      </c>
      <c r="D81" s="978">
        <v>9.9000000000000005E-2</v>
      </c>
      <c r="E81" s="978">
        <v>9.8000000000000004E-2</v>
      </c>
      <c r="F81" s="979">
        <v>0.1</v>
      </c>
    </row>
    <row r="82" spans="1:6" ht="16" thickBot="1" x14ac:dyDescent="0.25">
      <c r="A82" s="779" t="s">
        <v>523</v>
      </c>
      <c r="B82" s="773" t="s">
        <v>251</v>
      </c>
      <c r="C82" s="978">
        <v>9.9000000000000005E-2</v>
      </c>
      <c r="D82" s="978">
        <v>9.9000000000000005E-2</v>
      </c>
      <c r="E82" s="978">
        <v>9.7000000000000003E-2</v>
      </c>
      <c r="F82" s="979">
        <v>0.1</v>
      </c>
    </row>
    <row r="83" spans="1:6" ht="16" thickBot="1" x14ac:dyDescent="0.25">
      <c r="A83" s="779" t="s">
        <v>523</v>
      </c>
      <c r="B83" s="773" t="s">
        <v>262</v>
      </c>
      <c r="C83" s="978">
        <v>9.8000000000000004E-2</v>
      </c>
      <c r="D83" s="978">
        <v>9.8000000000000004E-2</v>
      </c>
      <c r="E83" s="978">
        <v>9.8000000000000004E-2</v>
      </c>
      <c r="F83" s="979">
        <v>0.1</v>
      </c>
    </row>
    <row r="84" spans="1:6" ht="16" thickBot="1" x14ac:dyDescent="0.25">
      <c r="A84" s="779" t="s">
        <v>523</v>
      </c>
      <c r="B84" s="773" t="s">
        <v>274</v>
      </c>
      <c r="C84" s="978">
        <v>9.9000000000000005E-2</v>
      </c>
      <c r="D84" s="978">
        <v>9.9000000000000005E-2</v>
      </c>
      <c r="E84" s="978">
        <v>9.9000000000000005E-2</v>
      </c>
      <c r="F84" s="979">
        <v>0.1</v>
      </c>
    </row>
    <row r="85" spans="1:6" ht="16" thickBot="1" x14ac:dyDescent="0.25">
      <c r="A85" s="779" t="s">
        <v>523</v>
      </c>
      <c r="B85" s="773" t="s">
        <v>284</v>
      </c>
      <c r="C85" s="978">
        <v>9.9000000000000005E-2</v>
      </c>
      <c r="D85" s="978">
        <v>9.9000000000000005E-2</v>
      </c>
      <c r="E85" s="978">
        <v>9.9000000000000005E-2</v>
      </c>
      <c r="F85" s="979">
        <v>0.1</v>
      </c>
    </row>
    <row r="86" spans="1:6" ht="16" thickBot="1" x14ac:dyDescent="0.25">
      <c r="A86" s="779" t="s">
        <v>523</v>
      </c>
      <c r="B86" s="773" t="s">
        <v>294</v>
      </c>
      <c r="C86" s="978">
        <v>0.1</v>
      </c>
      <c r="D86" s="978">
        <v>0.1</v>
      </c>
      <c r="E86" s="978">
        <v>7.6999999999999999E-2</v>
      </c>
      <c r="F86" s="979">
        <v>0.1</v>
      </c>
    </row>
    <row r="87" spans="1:6" ht="16" thickBot="1" x14ac:dyDescent="0.25">
      <c r="A87" s="779" t="s">
        <v>523</v>
      </c>
      <c r="B87" s="773" t="s">
        <v>304</v>
      </c>
      <c r="C87" s="978">
        <v>0.1</v>
      </c>
      <c r="D87" s="978">
        <v>0.1</v>
      </c>
      <c r="E87" s="978">
        <v>9.8000000000000004E-2</v>
      </c>
      <c r="F87" s="990"/>
    </row>
    <row r="88" spans="1:6" ht="16" thickBot="1" x14ac:dyDescent="0.25">
      <c r="A88" s="779" t="s">
        <v>523</v>
      </c>
      <c r="B88" s="773" t="s">
        <v>314</v>
      </c>
      <c r="C88" s="978">
        <v>9.1999999999999998E-2</v>
      </c>
      <c r="D88" s="978">
        <v>8.5000000000000006E-2</v>
      </c>
      <c r="E88" s="978">
        <v>9.6000000000000002E-2</v>
      </c>
      <c r="F88" s="990"/>
    </row>
    <row r="89" spans="1:6" ht="16" thickBot="1" x14ac:dyDescent="0.25">
      <c r="A89" s="779" t="s">
        <v>523</v>
      </c>
      <c r="B89" s="773" t="s">
        <v>325</v>
      </c>
      <c r="C89" s="978">
        <v>0.1</v>
      </c>
      <c r="D89" s="978">
        <v>0.1</v>
      </c>
      <c r="E89" s="978">
        <v>9.7000000000000003E-2</v>
      </c>
      <c r="F89" s="990"/>
    </row>
    <row r="90" spans="1:6" ht="16" thickBot="1" x14ac:dyDescent="0.25">
      <c r="A90" s="779" t="s">
        <v>523</v>
      </c>
      <c r="B90" s="773" t="s">
        <v>336</v>
      </c>
      <c r="C90" s="978">
        <v>9.8000000000000004E-2</v>
      </c>
      <c r="D90" s="978">
        <v>9.8000000000000004E-2</v>
      </c>
      <c r="E90" s="978">
        <v>8.7999999999999995E-2</v>
      </c>
      <c r="F90" s="990"/>
    </row>
    <row r="91" spans="1:6" ht="16" thickBot="1" x14ac:dyDescent="0.25">
      <c r="A91" s="779" t="s">
        <v>523</v>
      </c>
      <c r="B91" s="773" t="s">
        <v>346</v>
      </c>
      <c r="C91" s="978">
        <v>9.9000000000000005E-2</v>
      </c>
      <c r="D91" s="978">
        <v>9.9000000000000005E-2</v>
      </c>
      <c r="E91" s="978">
        <v>9.0999999999999998E-2</v>
      </c>
      <c r="F91" s="990"/>
    </row>
    <row r="92" spans="1:6" ht="16" thickBot="1" x14ac:dyDescent="0.25">
      <c r="A92" s="779" t="s">
        <v>523</v>
      </c>
      <c r="B92" s="773" t="s">
        <v>356</v>
      </c>
      <c r="C92" s="978">
        <v>9.6000000000000002E-2</v>
      </c>
      <c r="D92" s="978">
        <v>9.6000000000000002E-2</v>
      </c>
      <c r="E92" s="978">
        <v>7.2999999999999995E-2</v>
      </c>
      <c r="F92" s="990"/>
    </row>
    <row r="93" spans="1:6" ht="16" thickBot="1" x14ac:dyDescent="0.25">
      <c r="A93" s="779" t="s">
        <v>523</v>
      </c>
      <c r="B93" s="773" t="s">
        <v>366</v>
      </c>
      <c r="C93" s="978">
        <v>9.6000000000000002E-2</v>
      </c>
      <c r="D93" s="978">
        <v>9.6000000000000002E-2</v>
      </c>
      <c r="E93" s="978">
        <v>9.9000000000000005E-2</v>
      </c>
      <c r="F93" s="990"/>
    </row>
    <row r="94" spans="1:6" ht="16" thickBot="1" x14ac:dyDescent="0.25">
      <c r="A94" s="779" t="s">
        <v>523</v>
      </c>
      <c r="B94" s="773" t="s">
        <v>376</v>
      </c>
      <c r="C94" s="978">
        <v>7.5999999999999998E-2</v>
      </c>
      <c r="D94" s="978">
        <v>7.3999999999999996E-2</v>
      </c>
      <c r="E94" s="978">
        <v>9.7000000000000003E-2</v>
      </c>
      <c r="F94" s="990"/>
    </row>
    <row r="95" spans="1:6" ht="16" thickBot="1" x14ac:dyDescent="0.25">
      <c r="A95" s="779" t="s">
        <v>523</v>
      </c>
      <c r="B95" s="773" t="s">
        <v>385</v>
      </c>
      <c r="C95" s="978">
        <v>9.9000000000000005E-2</v>
      </c>
      <c r="D95" s="978">
        <v>9.4E-2</v>
      </c>
      <c r="E95" s="978">
        <v>9.6000000000000002E-2</v>
      </c>
      <c r="F95" s="990"/>
    </row>
    <row r="96" spans="1:6" ht="16" thickBot="1" x14ac:dyDescent="0.25">
      <c r="A96" s="779" t="s">
        <v>523</v>
      </c>
      <c r="B96" s="773" t="s">
        <v>394</v>
      </c>
      <c r="C96" s="978">
        <v>9.9000000000000005E-2</v>
      </c>
      <c r="D96" s="978">
        <v>9.9000000000000005E-2</v>
      </c>
      <c r="E96" s="978">
        <v>9.9000000000000005E-2</v>
      </c>
      <c r="F96" s="990"/>
    </row>
    <row r="97" spans="1:6" ht="16" thickBot="1" x14ac:dyDescent="0.25">
      <c r="A97" s="779" t="s">
        <v>523</v>
      </c>
      <c r="B97" s="773" t="s">
        <v>402</v>
      </c>
      <c r="C97" s="978">
        <v>9.8000000000000004E-2</v>
      </c>
      <c r="D97" s="978">
        <v>9.8000000000000004E-2</v>
      </c>
      <c r="E97" s="978">
        <v>9.7000000000000003E-2</v>
      </c>
      <c r="F97" s="990"/>
    </row>
    <row r="98" spans="1:6" ht="16" thickBot="1" x14ac:dyDescent="0.25">
      <c r="A98" s="779" t="s">
        <v>523</v>
      </c>
      <c r="B98" s="773" t="s">
        <v>409</v>
      </c>
      <c r="C98" s="978">
        <v>0.1</v>
      </c>
      <c r="D98" s="978">
        <v>0.1</v>
      </c>
      <c r="E98" s="978">
        <v>9.7000000000000003E-2</v>
      </c>
      <c r="F98" s="990"/>
    </row>
    <row r="99" spans="1:6" ht="16" thickBot="1" x14ac:dyDescent="0.25">
      <c r="A99" s="779" t="s">
        <v>523</v>
      </c>
      <c r="B99" s="773" t="s">
        <v>416</v>
      </c>
      <c r="C99" s="978">
        <v>0.1</v>
      </c>
      <c r="D99" s="978">
        <v>0.1</v>
      </c>
      <c r="E99" s="991"/>
      <c r="F99" s="990"/>
    </row>
    <row r="100" spans="1:6" ht="16" thickBot="1" x14ac:dyDescent="0.25">
      <c r="A100" s="779" t="s">
        <v>523</v>
      </c>
      <c r="B100" s="773" t="s">
        <v>423</v>
      </c>
      <c r="C100" s="978">
        <v>0.09</v>
      </c>
      <c r="D100" s="978">
        <v>8.8999999999999996E-2</v>
      </c>
      <c r="E100" s="991"/>
      <c r="F100" s="990"/>
    </row>
    <row r="101" spans="1:6" ht="16" thickBot="1" x14ac:dyDescent="0.25">
      <c r="A101" s="779" t="s">
        <v>523</v>
      </c>
      <c r="B101" s="773" t="s">
        <v>430</v>
      </c>
      <c r="C101" s="978">
        <v>9.8000000000000004E-2</v>
      </c>
      <c r="D101" s="978">
        <v>9.7000000000000003E-2</v>
      </c>
      <c r="E101" s="991"/>
      <c r="F101" s="990"/>
    </row>
    <row r="102" spans="1:6" ht="16" thickBot="1" x14ac:dyDescent="0.25">
      <c r="A102" s="779" t="s">
        <v>523</v>
      </c>
      <c r="B102" s="773" t="s">
        <v>858</v>
      </c>
      <c r="C102" s="991"/>
      <c r="D102" s="991"/>
      <c r="E102" s="991"/>
      <c r="F102" s="979">
        <v>0.05</v>
      </c>
    </row>
    <row r="103" spans="1:6" ht="29" thickBot="1" x14ac:dyDescent="0.25">
      <c r="A103" s="779" t="s">
        <v>523</v>
      </c>
      <c r="B103" s="773" t="s">
        <v>859</v>
      </c>
      <c r="C103" s="991"/>
      <c r="D103" s="991"/>
      <c r="E103" s="991"/>
      <c r="F103" s="979">
        <v>0.05</v>
      </c>
    </row>
    <row r="104" spans="1:6" ht="16" thickBot="1" x14ac:dyDescent="0.25">
      <c r="A104" s="779" t="s">
        <v>523</v>
      </c>
      <c r="B104" s="773" t="s">
        <v>860</v>
      </c>
      <c r="C104" s="991"/>
      <c r="D104" s="991"/>
      <c r="E104" s="991"/>
      <c r="F104" s="979">
        <v>0.05</v>
      </c>
    </row>
    <row r="105" spans="1:6" ht="16" thickBot="1" x14ac:dyDescent="0.25">
      <c r="A105" s="779" t="s">
        <v>523</v>
      </c>
      <c r="B105" s="773" t="s">
        <v>861</v>
      </c>
      <c r="C105" s="991"/>
      <c r="D105" s="991"/>
      <c r="E105" s="991"/>
      <c r="F105" s="979">
        <v>0.05</v>
      </c>
    </row>
    <row r="106" spans="1:6" ht="16" thickBot="1" x14ac:dyDescent="0.25">
      <c r="A106" s="779" t="s">
        <v>523</v>
      </c>
      <c r="B106" s="773" t="s">
        <v>862</v>
      </c>
      <c r="C106" s="991"/>
      <c r="D106" s="991"/>
      <c r="E106" s="991"/>
      <c r="F106" s="979">
        <v>0.05</v>
      </c>
    </row>
    <row r="107" spans="1:6" ht="29" thickBot="1" x14ac:dyDescent="0.25">
      <c r="A107" s="779" t="s">
        <v>523</v>
      </c>
      <c r="B107" s="773" t="s">
        <v>863</v>
      </c>
      <c r="C107" s="991"/>
      <c r="D107" s="991"/>
      <c r="E107" s="991"/>
      <c r="F107" s="979">
        <v>0.05</v>
      </c>
    </row>
    <row r="108" spans="1:6" ht="29" thickBot="1" x14ac:dyDescent="0.25">
      <c r="A108" s="779" t="s">
        <v>523</v>
      </c>
      <c r="B108" s="773" t="s">
        <v>864</v>
      </c>
      <c r="C108" s="991"/>
      <c r="D108" s="991"/>
      <c r="E108" s="991"/>
      <c r="F108" s="979">
        <v>0.05</v>
      </c>
    </row>
    <row r="109" spans="1:6" ht="29" thickBot="1" x14ac:dyDescent="0.25">
      <c r="A109" s="789" t="s">
        <v>523</v>
      </c>
      <c r="B109" s="785" t="s">
        <v>865</v>
      </c>
      <c r="C109" s="988"/>
      <c r="D109" s="988"/>
      <c r="E109" s="988"/>
      <c r="F109" s="981">
        <v>0.05</v>
      </c>
    </row>
    <row r="110" spans="1:6" ht="16" thickBot="1" x14ac:dyDescent="0.25">
      <c r="A110" s="779" t="s">
        <v>56</v>
      </c>
      <c r="B110" s="780" t="s">
        <v>866</v>
      </c>
      <c r="C110" s="976">
        <v>0.129</v>
      </c>
      <c r="D110" s="976">
        <v>0.129</v>
      </c>
      <c r="E110" s="976">
        <v>0.126</v>
      </c>
      <c r="F110" s="977">
        <v>0.13</v>
      </c>
    </row>
    <row r="111" spans="1:6" ht="16" thickBot="1" x14ac:dyDescent="0.25">
      <c r="A111" s="779" t="s">
        <v>56</v>
      </c>
      <c r="B111" s="773" t="s">
        <v>192</v>
      </c>
      <c r="C111" s="978">
        <v>0.11</v>
      </c>
      <c r="D111" s="978">
        <v>0.11</v>
      </c>
      <c r="E111" s="978">
        <v>9.9000000000000005E-2</v>
      </c>
      <c r="F111" s="979">
        <v>0.128</v>
      </c>
    </row>
    <row r="112" spans="1:6" ht="16" thickBot="1" x14ac:dyDescent="0.25">
      <c r="A112" s="779" t="s">
        <v>56</v>
      </c>
      <c r="B112" s="773" t="s">
        <v>205</v>
      </c>
      <c r="C112" s="978">
        <v>0.125</v>
      </c>
      <c r="D112" s="978">
        <v>0.125</v>
      </c>
      <c r="E112" s="978">
        <v>0.12</v>
      </c>
      <c r="F112" s="979">
        <v>0.125</v>
      </c>
    </row>
    <row r="113" spans="1:6" ht="16" thickBot="1" x14ac:dyDescent="0.25">
      <c r="A113" s="779" t="s">
        <v>56</v>
      </c>
      <c r="B113" s="773" t="s">
        <v>218</v>
      </c>
      <c r="C113" s="978">
        <v>0.13</v>
      </c>
      <c r="D113" s="978">
        <v>0.13</v>
      </c>
      <c r="E113" s="978">
        <v>0.13</v>
      </c>
      <c r="F113" s="979">
        <v>0.13</v>
      </c>
    </row>
    <row r="114" spans="1:6" ht="16" thickBot="1" x14ac:dyDescent="0.25">
      <c r="A114" s="779" t="s">
        <v>56</v>
      </c>
      <c r="B114" s="773" t="s">
        <v>230</v>
      </c>
      <c r="C114" s="978">
        <v>0.123</v>
      </c>
      <c r="D114" s="978">
        <v>0.123</v>
      </c>
      <c r="E114" s="978">
        <v>0.12</v>
      </c>
      <c r="F114" s="979">
        <v>0.13</v>
      </c>
    </row>
    <row r="115" spans="1:6" ht="16" thickBot="1" x14ac:dyDescent="0.25">
      <c r="A115" s="779" t="s">
        <v>56</v>
      </c>
      <c r="B115" s="773" t="s">
        <v>241</v>
      </c>
      <c r="C115" s="978">
        <v>0.125</v>
      </c>
      <c r="D115" s="978">
        <v>0.125</v>
      </c>
      <c r="E115" s="978">
        <v>0.11700000000000001</v>
      </c>
      <c r="F115" s="979">
        <v>0.13</v>
      </c>
    </row>
    <row r="116" spans="1:6" ht="16" thickBot="1" x14ac:dyDescent="0.25">
      <c r="A116" s="779" t="s">
        <v>56</v>
      </c>
      <c r="B116" s="773" t="s">
        <v>252</v>
      </c>
      <c r="C116" s="978">
        <v>0.11700000000000001</v>
      </c>
      <c r="D116" s="978">
        <v>0.11700000000000001</v>
      </c>
      <c r="E116" s="978">
        <v>8.7999999999999995E-2</v>
      </c>
      <c r="F116" s="979">
        <v>0.13</v>
      </c>
    </row>
    <row r="117" spans="1:6" ht="16" thickBot="1" x14ac:dyDescent="0.25">
      <c r="A117" s="779" t="s">
        <v>56</v>
      </c>
      <c r="B117" s="773" t="s">
        <v>263</v>
      </c>
      <c r="C117" s="978">
        <v>0.13</v>
      </c>
      <c r="D117" s="978">
        <v>0.13</v>
      </c>
      <c r="E117" s="978">
        <v>0.129</v>
      </c>
      <c r="F117" s="979">
        <v>0.13</v>
      </c>
    </row>
    <row r="118" spans="1:6" ht="16" thickBot="1" x14ac:dyDescent="0.25">
      <c r="A118" s="779" t="s">
        <v>56</v>
      </c>
      <c r="B118" s="773" t="s">
        <v>275</v>
      </c>
      <c r="C118" s="978">
        <v>0.123</v>
      </c>
      <c r="D118" s="978">
        <v>0.123</v>
      </c>
      <c r="E118" s="978">
        <v>0.11600000000000001</v>
      </c>
      <c r="F118" s="979">
        <v>0.13</v>
      </c>
    </row>
    <row r="119" spans="1:6" ht="16" thickBot="1" x14ac:dyDescent="0.25">
      <c r="A119" s="779" t="s">
        <v>56</v>
      </c>
      <c r="B119" s="773" t="s">
        <v>285</v>
      </c>
      <c r="C119" s="978">
        <v>0.127</v>
      </c>
      <c r="D119" s="978">
        <v>0.127</v>
      </c>
      <c r="E119" s="978">
        <v>0.124</v>
      </c>
      <c r="F119" s="979">
        <v>0.13</v>
      </c>
    </row>
    <row r="120" spans="1:6" ht="16" thickBot="1" x14ac:dyDescent="0.25">
      <c r="A120" s="779" t="s">
        <v>56</v>
      </c>
      <c r="B120" s="773" t="s">
        <v>295</v>
      </c>
      <c r="C120" s="978">
        <v>0.125</v>
      </c>
      <c r="D120" s="978">
        <v>0.125</v>
      </c>
      <c r="E120" s="978">
        <v>0.122</v>
      </c>
      <c r="F120" s="979">
        <v>0.13</v>
      </c>
    </row>
    <row r="121" spans="1:6" ht="16" thickBot="1" x14ac:dyDescent="0.25">
      <c r="A121" s="779" t="s">
        <v>56</v>
      </c>
      <c r="B121" s="773" t="s">
        <v>305</v>
      </c>
      <c r="C121" s="978">
        <v>0.13</v>
      </c>
      <c r="D121" s="978">
        <v>0.13</v>
      </c>
      <c r="E121" s="978">
        <v>0.13</v>
      </c>
      <c r="F121" s="979">
        <v>0.13</v>
      </c>
    </row>
    <row r="122" spans="1:6" ht="16" thickBot="1" x14ac:dyDescent="0.25">
      <c r="A122" s="779" t="s">
        <v>56</v>
      </c>
      <c r="B122" s="773" t="s">
        <v>315</v>
      </c>
      <c r="C122" s="978">
        <v>0.13</v>
      </c>
      <c r="D122" s="978">
        <v>0.13</v>
      </c>
      <c r="E122" s="978">
        <v>0.125</v>
      </c>
      <c r="F122" s="979">
        <v>0.13</v>
      </c>
    </row>
    <row r="123" spans="1:6" ht="16" thickBot="1" x14ac:dyDescent="0.25">
      <c r="A123" s="779" t="s">
        <v>56</v>
      </c>
      <c r="B123" s="773" t="s">
        <v>326</v>
      </c>
      <c r="C123" s="978">
        <v>0.129</v>
      </c>
      <c r="D123" s="978">
        <v>0.129</v>
      </c>
      <c r="E123" s="978">
        <v>0.123</v>
      </c>
      <c r="F123" s="979">
        <v>0.13</v>
      </c>
    </row>
    <row r="124" spans="1:6" ht="16" thickBot="1" x14ac:dyDescent="0.25">
      <c r="A124" s="779" t="s">
        <v>56</v>
      </c>
      <c r="B124" s="773" t="s">
        <v>337</v>
      </c>
      <c r="C124" s="978">
        <v>0.10199999999999999</v>
      </c>
      <c r="D124" s="978">
        <v>0.10100000000000001</v>
      </c>
      <c r="E124" s="978">
        <v>0.08</v>
      </c>
      <c r="F124" s="990"/>
    </row>
    <row r="125" spans="1:6" ht="16" thickBot="1" x14ac:dyDescent="0.25">
      <c r="A125" s="779" t="s">
        <v>56</v>
      </c>
      <c r="B125" s="773" t="s">
        <v>347</v>
      </c>
      <c r="C125" s="978">
        <v>0.13</v>
      </c>
      <c r="D125" s="978">
        <v>0.13</v>
      </c>
      <c r="E125" s="978">
        <v>0.129</v>
      </c>
      <c r="F125" s="990"/>
    </row>
    <row r="126" spans="1:6" ht="16" thickBot="1" x14ac:dyDescent="0.25">
      <c r="A126" s="779" t="s">
        <v>56</v>
      </c>
      <c r="B126" s="773" t="s">
        <v>357</v>
      </c>
      <c r="C126" s="978">
        <v>0.13</v>
      </c>
      <c r="D126" s="978">
        <v>0.13</v>
      </c>
      <c r="E126" s="978">
        <v>0.126</v>
      </c>
      <c r="F126" s="990"/>
    </row>
    <row r="127" spans="1:6" ht="16" thickBot="1" x14ac:dyDescent="0.25">
      <c r="A127" s="779" t="s">
        <v>56</v>
      </c>
      <c r="B127" s="773" t="s">
        <v>367</v>
      </c>
      <c r="C127" s="978">
        <v>0.125</v>
      </c>
      <c r="D127" s="978">
        <v>0.125</v>
      </c>
      <c r="E127" s="978">
        <v>0.121</v>
      </c>
      <c r="F127" s="990"/>
    </row>
    <row r="128" spans="1:6" ht="16" thickBot="1" x14ac:dyDescent="0.25">
      <c r="A128" s="779" t="s">
        <v>56</v>
      </c>
      <c r="B128" s="773" t="s">
        <v>377</v>
      </c>
      <c r="C128" s="978">
        <v>0.12</v>
      </c>
      <c r="D128" s="978">
        <v>0.12</v>
      </c>
      <c r="E128" s="978">
        <v>0.105</v>
      </c>
      <c r="F128" s="990"/>
    </row>
    <row r="129" spans="1:6" ht="16" thickBot="1" x14ac:dyDescent="0.25">
      <c r="A129" s="779" t="s">
        <v>56</v>
      </c>
      <c r="B129" s="773" t="s">
        <v>386</v>
      </c>
      <c r="C129" s="978">
        <v>0.13</v>
      </c>
      <c r="D129" s="978">
        <v>0.13</v>
      </c>
      <c r="E129" s="978">
        <v>0.126</v>
      </c>
      <c r="F129" s="990"/>
    </row>
    <row r="130" spans="1:6" ht="16" thickBot="1" x14ac:dyDescent="0.25">
      <c r="A130" s="779" t="s">
        <v>56</v>
      </c>
      <c r="B130" s="773" t="s">
        <v>395</v>
      </c>
      <c r="C130" s="978">
        <v>0.125</v>
      </c>
      <c r="D130" s="978">
        <v>0.125</v>
      </c>
      <c r="E130" s="978">
        <v>0.122</v>
      </c>
      <c r="F130" s="990"/>
    </row>
    <row r="131" spans="1:6" ht="16" thickBot="1" x14ac:dyDescent="0.25">
      <c r="A131" s="779" t="s">
        <v>56</v>
      </c>
      <c r="B131" s="773" t="s">
        <v>403</v>
      </c>
      <c r="C131" s="978">
        <v>0.127</v>
      </c>
      <c r="D131" s="978">
        <v>0.126</v>
      </c>
      <c r="E131" s="978">
        <v>0.123</v>
      </c>
      <c r="F131" s="990"/>
    </row>
    <row r="132" spans="1:6" ht="16" thickBot="1" x14ac:dyDescent="0.25">
      <c r="A132" s="779" t="s">
        <v>56</v>
      </c>
      <c r="B132" s="773" t="s">
        <v>410</v>
      </c>
      <c r="C132" s="978">
        <v>9.0999999999999998E-2</v>
      </c>
      <c r="D132" s="978">
        <v>0.121</v>
      </c>
      <c r="E132" s="978">
        <v>9.9000000000000005E-2</v>
      </c>
      <c r="F132" s="990"/>
    </row>
    <row r="133" spans="1:6" ht="16" thickBot="1" x14ac:dyDescent="0.25">
      <c r="A133" s="779" t="s">
        <v>56</v>
      </c>
      <c r="B133" s="773" t="s">
        <v>417</v>
      </c>
      <c r="C133" s="978">
        <v>0.13</v>
      </c>
      <c r="D133" s="978">
        <v>0.13</v>
      </c>
      <c r="E133" s="978">
        <v>0.129</v>
      </c>
      <c r="F133" s="990"/>
    </row>
    <row r="134" spans="1:6" ht="16" thickBot="1" x14ac:dyDescent="0.25">
      <c r="A134" s="779" t="s">
        <v>56</v>
      </c>
      <c r="B134" s="773" t="s">
        <v>867</v>
      </c>
      <c r="C134" s="978">
        <v>6.8000000000000005E-2</v>
      </c>
      <c r="D134" s="978">
        <v>6.5000000000000002E-2</v>
      </c>
      <c r="E134" s="978">
        <v>6.5000000000000002E-2</v>
      </c>
      <c r="F134" s="979">
        <v>0.13</v>
      </c>
    </row>
    <row r="135" spans="1:6" ht="16" thickBot="1" x14ac:dyDescent="0.25">
      <c r="A135" s="779" t="s">
        <v>56</v>
      </c>
      <c r="B135" s="773" t="s">
        <v>431</v>
      </c>
      <c r="C135" s="978">
        <v>0.123</v>
      </c>
      <c r="D135" s="978">
        <v>0.123</v>
      </c>
      <c r="E135" s="978">
        <v>0.11</v>
      </c>
      <c r="F135" s="990"/>
    </row>
    <row r="136" spans="1:6" ht="16" thickBot="1" x14ac:dyDescent="0.25">
      <c r="A136" s="779" t="s">
        <v>56</v>
      </c>
      <c r="B136" s="773" t="s">
        <v>438</v>
      </c>
      <c r="C136" s="978">
        <v>0.13</v>
      </c>
      <c r="D136" s="978">
        <v>0.13</v>
      </c>
      <c r="E136" s="978">
        <v>0.125</v>
      </c>
      <c r="F136" s="990"/>
    </row>
    <row r="137" spans="1:6" ht="16" thickBot="1" x14ac:dyDescent="0.25">
      <c r="A137" s="779" t="s">
        <v>56</v>
      </c>
      <c r="B137" s="773" t="s">
        <v>445</v>
      </c>
      <c r="C137" s="978">
        <v>0.121</v>
      </c>
      <c r="D137" s="978">
        <v>0.122</v>
      </c>
      <c r="E137" s="978">
        <v>0.115</v>
      </c>
      <c r="F137" s="990"/>
    </row>
    <row r="138" spans="1:6" ht="16" thickBot="1" x14ac:dyDescent="0.25">
      <c r="A138" s="779" t="s">
        <v>56</v>
      </c>
      <c r="B138" s="773" t="s">
        <v>868</v>
      </c>
      <c r="C138" s="978">
        <v>0.105</v>
      </c>
      <c r="D138" s="978">
        <v>0.125</v>
      </c>
      <c r="E138" s="978">
        <v>0.112</v>
      </c>
      <c r="F138" s="990"/>
    </row>
    <row r="139" spans="1:6" ht="16" thickBot="1" x14ac:dyDescent="0.25">
      <c r="A139" s="779" t="s">
        <v>56</v>
      </c>
      <c r="B139" s="773" t="s">
        <v>869</v>
      </c>
      <c r="C139" s="978">
        <v>0.127</v>
      </c>
      <c r="D139" s="978">
        <v>0.127</v>
      </c>
      <c r="E139" s="978">
        <v>0.122</v>
      </c>
      <c r="F139" s="979">
        <v>0.13</v>
      </c>
    </row>
    <row r="140" spans="1:6" ht="16" thickBot="1" x14ac:dyDescent="0.25">
      <c r="A140" s="779" t="s">
        <v>56</v>
      </c>
      <c r="B140" s="773" t="s">
        <v>870</v>
      </c>
      <c r="C140" s="978">
        <v>0.125</v>
      </c>
      <c r="D140" s="978">
        <v>0.125</v>
      </c>
      <c r="E140" s="978">
        <v>0.11899999999999999</v>
      </c>
      <c r="F140" s="979">
        <v>0.13</v>
      </c>
    </row>
    <row r="141" spans="1:6" ht="16" thickBot="1" x14ac:dyDescent="0.25">
      <c r="A141" s="779" t="s">
        <v>56</v>
      </c>
      <c r="B141" s="773" t="s">
        <v>464</v>
      </c>
      <c r="C141" s="978">
        <v>0.125</v>
      </c>
      <c r="D141" s="978">
        <v>0.125</v>
      </c>
      <c r="E141" s="978">
        <v>0.11700000000000001</v>
      </c>
      <c r="F141" s="990"/>
    </row>
    <row r="142" spans="1:6" ht="16" thickBot="1" x14ac:dyDescent="0.25">
      <c r="A142" s="779" t="s">
        <v>56</v>
      </c>
      <c r="B142" s="773" t="s">
        <v>469</v>
      </c>
      <c r="C142" s="978">
        <v>0.125</v>
      </c>
      <c r="D142" s="978">
        <v>0.125</v>
      </c>
      <c r="E142" s="978">
        <v>0.115</v>
      </c>
      <c r="F142" s="990"/>
    </row>
    <row r="143" spans="1:6" ht="16" thickBot="1" x14ac:dyDescent="0.25">
      <c r="A143" s="779" t="s">
        <v>56</v>
      </c>
      <c r="B143" s="773" t="s">
        <v>474</v>
      </c>
      <c r="C143" s="978">
        <v>0.121</v>
      </c>
      <c r="D143" s="978">
        <v>0.121</v>
      </c>
      <c r="E143" s="978">
        <v>0.108</v>
      </c>
      <c r="F143" s="990"/>
    </row>
    <row r="144" spans="1:6" ht="16" thickBot="1" x14ac:dyDescent="0.25">
      <c r="A144" s="779" t="s">
        <v>56</v>
      </c>
      <c r="B144" s="982" t="s">
        <v>871</v>
      </c>
      <c r="C144" s="983">
        <v>0.126</v>
      </c>
      <c r="D144" s="983">
        <v>0.126</v>
      </c>
      <c r="E144" s="983">
        <v>0.121</v>
      </c>
      <c r="F144" s="990"/>
    </row>
    <row r="145" spans="1:6" ht="16" thickBot="1" x14ac:dyDescent="0.25">
      <c r="A145" s="789" t="s">
        <v>56</v>
      </c>
      <c r="B145" s="984" t="s">
        <v>872</v>
      </c>
      <c r="C145" s="992"/>
      <c r="D145" s="992"/>
      <c r="E145" s="992"/>
      <c r="F145" s="985">
        <v>0.05</v>
      </c>
    </row>
    <row r="146" spans="1:6" ht="29" thickBot="1" x14ac:dyDescent="0.25">
      <c r="A146" s="986" t="s">
        <v>56</v>
      </c>
      <c r="B146" s="783" t="s">
        <v>873</v>
      </c>
      <c r="C146" s="991"/>
      <c r="D146" s="991"/>
      <c r="E146" s="991"/>
      <c r="F146" s="987">
        <v>0.05</v>
      </c>
    </row>
    <row r="147" spans="1:6" ht="29" thickBot="1" x14ac:dyDescent="0.25">
      <c r="A147" s="779" t="s">
        <v>56</v>
      </c>
      <c r="B147" s="773" t="s">
        <v>874</v>
      </c>
      <c r="C147" s="991"/>
      <c r="D147" s="991"/>
      <c r="E147" s="991"/>
      <c r="F147" s="979">
        <v>0.05</v>
      </c>
    </row>
    <row r="148" spans="1:6" ht="29" thickBot="1" x14ac:dyDescent="0.25">
      <c r="A148" s="779" t="s">
        <v>56</v>
      </c>
      <c r="B148" s="773" t="s">
        <v>875</v>
      </c>
      <c r="C148" s="991"/>
      <c r="D148" s="991"/>
      <c r="E148" s="991"/>
      <c r="F148" s="979">
        <v>0.05</v>
      </c>
    </row>
    <row r="149" spans="1:6" ht="29" thickBot="1" x14ac:dyDescent="0.25">
      <c r="A149" s="779" t="s">
        <v>56</v>
      </c>
      <c r="B149" s="773" t="s">
        <v>876</v>
      </c>
      <c r="C149" s="991"/>
      <c r="D149" s="991"/>
      <c r="E149" s="991"/>
      <c r="F149" s="979">
        <v>0.05</v>
      </c>
    </row>
    <row r="150" spans="1:6" ht="29" thickBot="1" x14ac:dyDescent="0.25">
      <c r="A150" s="779" t="s">
        <v>56</v>
      </c>
      <c r="B150" s="773" t="s">
        <v>877</v>
      </c>
      <c r="C150" s="991"/>
      <c r="D150" s="991"/>
      <c r="E150" s="991"/>
      <c r="F150" s="979">
        <v>0.05</v>
      </c>
    </row>
    <row r="151" spans="1:6" ht="29" thickBot="1" x14ac:dyDescent="0.25">
      <c r="A151" s="779" t="s">
        <v>56</v>
      </c>
      <c r="B151" s="773" t="s">
        <v>878</v>
      </c>
      <c r="C151" s="991"/>
      <c r="D151" s="991"/>
      <c r="E151" s="991"/>
      <c r="F151" s="979">
        <v>0.05</v>
      </c>
    </row>
    <row r="152" spans="1:6" ht="29" thickBot="1" x14ac:dyDescent="0.25">
      <c r="A152" s="779" t="s">
        <v>56</v>
      </c>
      <c r="B152" s="773" t="s">
        <v>507</v>
      </c>
      <c r="C152" s="991"/>
      <c r="D152" s="991"/>
      <c r="E152" s="991"/>
      <c r="F152" s="979">
        <v>0.05</v>
      </c>
    </row>
    <row r="153" spans="1:6" ht="16" thickBot="1" x14ac:dyDescent="0.25">
      <c r="A153" s="779" t="s">
        <v>56</v>
      </c>
      <c r="B153" s="773" t="s">
        <v>879</v>
      </c>
      <c r="C153" s="991"/>
      <c r="D153" s="991"/>
      <c r="E153" s="991"/>
      <c r="F153" s="979">
        <v>0.05</v>
      </c>
    </row>
    <row r="154" spans="1:6" ht="16" thickBot="1" x14ac:dyDescent="0.25">
      <c r="A154" s="779" t="s">
        <v>56</v>
      </c>
      <c r="B154" s="773" t="s">
        <v>880</v>
      </c>
      <c r="C154" s="991"/>
      <c r="D154" s="991"/>
      <c r="E154" s="991"/>
      <c r="F154" s="979">
        <v>0.05</v>
      </c>
    </row>
    <row r="155" spans="1:6" ht="29" thickBot="1" x14ac:dyDescent="0.25">
      <c r="A155" s="779" t="s">
        <v>56</v>
      </c>
      <c r="B155" s="773" t="s">
        <v>881</v>
      </c>
      <c r="C155" s="991"/>
      <c r="D155" s="991"/>
      <c r="E155" s="991"/>
      <c r="F155" s="979">
        <v>0.05</v>
      </c>
    </row>
    <row r="156" spans="1:6" ht="29" thickBot="1" x14ac:dyDescent="0.25">
      <c r="A156" s="779" t="s">
        <v>56</v>
      </c>
      <c r="B156" s="773" t="s">
        <v>882</v>
      </c>
      <c r="C156" s="991"/>
      <c r="D156" s="991"/>
      <c r="E156" s="991"/>
      <c r="F156" s="979">
        <v>0.05</v>
      </c>
    </row>
    <row r="157" spans="1:6" ht="16" thickBot="1" x14ac:dyDescent="0.25">
      <c r="A157" s="789" t="s">
        <v>56</v>
      </c>
      <c r="B157" s="785" t="s">
        <v>883</v>
      </c>
      <c r="C157" s="988"/>
      <c r="D157" s="988"/>
      <c r="E157" s="988"/>
      <c r="F157" s="981">
        <v>0.05</v>
      </c>
    </row>
    <row r="158" spans="1:6" ht="16" thickBot="1" x14ac:dyDescent="0.25">
      <c r="A158" s="779" t="s">
        <v>526</v>
      </c>
      <c r="B158" s="780" t="s">
        <v>884</v>
      </c>
      <c r="C158" s="976">
        <v>0.13</v>
      </c>
      <c r="D158" s="976">
        <v>0.13</v>
      </c>
      <c r="E158" s="976">
        <v>0.13</v>
      </c>
      <c r="F158" s="977">
        <v>0.13</v>
      </c>
    </row>
    <row r="159" spans="1:6" ht="16" thickBot="1" x14ac:dyDescent="0.25">
      <c r="A159" s="779" t="s">
        <v>526</v>
      </c>
      <c r="B159" s="773" t="s">
        <v>193</v>
      </c>
      <c r="C159" s="978">
        <v>0.13</v>
      </c>
      <c r="D159" s="978">
        <v>0.13</v>
      </c>
      <c r="E159" s="978">
        <v>0.13</v>
      </c>
      <c r="F159" s="979">
        <v>0.13</v>
      </c>
    </row>
    <row r="160" spans="1:6" ht="16" thickBot="1" x14ac:dyDescent="0.25">
      <c r="A160" s="779" t="s">
        <v>526</v>
      </c>
      <c r="B160" s="773" t="s">
        <v>206</v>
      </c>
      <c r="C160" s="978">
        <v>0.13</v>
      </c>
      <c r="D160" s="978">
        <v>0.13</v>
      </c>
      <c r="E160" s="978">
        <v>0.129</v>
      </c>
      <c r="F160" s="979">
        <v>0.13</v>
      </c>
    </row>
    <row r="161" spans="1:6" ht="16" thickBot="1" x14ac:dyDescent="0.25">
      <c r="A161" s="779" t="s">
        <v>526</v>
      </c>
      <c r="B161" s="773" t="s">
        <v>219</v>
      </c>
      <c r="C161" s="978">
        <v>0.128</v>
      </c>
      <c r="D161" s="978">
        <v>0.128</v>
      </c>
      <c r="E161" s="978">
        <v>0.125</v>
      </c>
      <c r="F161" s="979">
        <v>0.13</v>
      </c>
    </row>
    <row r="162" spans="1:6" ht="16" thickBot="1" x14ac:dyDescent="0.25">
      <c r="A162" s="779" t="s">
        <v>526</v>
      </c>
      <c r="B162" s="773" t="s">
        <v>231</v>
      </c>
      <c r="C162" s="978">
        <v>0.122</v>
      </c>
      <c r="D162" s="978">
        <v>0.122</v>
      </c>
      <c r="E162" s="978">
        <v>0.126</v>
      </c>
      <c r="F162" s="979">
        <v>0.122</v>
      </c>
    </row>
    <row r="163" spans="1:6" ht="16" thickBot="1" x14ac:dyDescent="0.25">
      <c r="A163" s="779" t="s">
        <v>526</v>
      </c>
      <c r="B163" s="773" t="s">
        <v>242</v>
      </c>
      <c r="C163" s="978">
        <v>0.13</v>
      </c>
      <c r="D163" s="978">
        <v>0.13</v>
      </c>
      <c r="E163" s="978">
        <v>0.125</v>
      </c>
      <c r="F163" s="979">
        <v>0.13</v>
      </c>
    </row>
    <row r="164" spans="1:6" ht="16" thickBot="1" x14ac:dyDescent="0.25">
      <c r="A164" s="779" t="s">
        <v>526</v>
      </c>
      <c r="B164" s="773" t="s">
        <v>253</v>
      </c>
      <c r="C164" s="978">
        <v>0.13</v>
      </c>
      <c r="D164" s="978">
        <v>0.13</v>
      </c>
      <c r="E164" s="978">
        <v>0.13</v>
      </c>
      <c r="F164" s="979">
        <v>0.13</v>
      </c>
    </row>
    <row r="165" spans="1:6" ht="16" thickBot="1" x14ac:dyDescent="0.25">
      <c r="A165" s="779" t="s">
        <v>526</v>
      </c>
      <c r="B165" s="773" t="s">
        <v>264</v>
      </c>
      <c r="C165" s="978">
        <v>0.13</v>
      </c>
      <c r="D165" s="978">
        <v>0.13</v>
      </c>
      <c r="E165" s="978">
        <v>0.124</v>
      </c>
      <c r="F165" s="979">
        <v>0.13</v>
      </c>
    </row>
    <row r="166" spans="1:6" ht="16" thickBot="1" x14ac:dyDescent="0.25">
      <c r="A166" s="779" t="s">
        <v>526</v>
      </c>
      <c r="B166" s="773" t="s">
        <v>276</v>
      </c>
      <c r="C166" s="978">
        <v>0.13</v>
      </c>
      <c r="D166" s="978">
        <v>0.13</v>
      </c>
      <c r="E166" s="978">
        <v>0.13</v>
      </c>
      <c r="F166" s="979">
        <v>0.13</v>
      </c>
    </row>
    <row r="167" spans="1:6" ht="16" thickBot="1" x14ac:dyDescent="0.25">
      <c r="A167" s="779" t="s">
        <v>526</v>
      </c>
      <c r="B167" s="773" t="s">
        <v>286</v>
      </c>
      <c r="C167" s="978">
        <v>0.125</v>
      </c>
      <c r="D167" s="978">
        <v>0.125</v>
      </c>
      <c r="E167" s="978">
        <v>0.121</v>
      </c>
      <c r="F167" s="990"/>
    </row>
    <row r="168" spans="1:6" ht="16" thickBot="1" x14ac:dyDescent="0.25">
      <c r="A168" s="779" t="s">
        <v>526</v>
      </c>
      <c r="B168" s="773" t="s">
        <v>296</v>
      </c>
      <c r="C168" s="978">
        <v>0.13</v>
      </c>
      <c r="D168" s="978">
        <v>0.13</v>
      </c>
      <c r="E168" s="978">
        <v>0.126</v>
      </c>
      <c r="F168" s="990"/>
    </row>
    <row r="169" spans="1:6" ht="16" thickBot="1" x14ac:dyDescent="0.25">
      <c r="A169" s="779" t="s">
        <v>526</v>
      </c>
      <c r="B169" s="773" t="s">
        <v>306</v>
      </c>
      <c r="C169" s="978">
        <v>0.128</v>
      </c>
      <c r="D169" s="978">
        <v>0.129</v>
      </c>
      <c r="E169" s="978">
        <v>0.13</v>
      </c>
      <c r="F169" s="990"/>
    </row>
    <row r="170" spans="1:6" ht="16" thickBot="1" x14ac:dyDescent="0.25">
      <c r="A170" s="779" t="s">
        <v>526</v>
      </c>
      <c r="B170" s="773" t="s">
        <v>316</v>
      </c>
      <c r="C170" s="978">
        <v>0.14099999999999999</v>
      </c>
      <c r="D170" s="978">
        <v>0.13</v>
      </c>
      <c r="E170" s="978">
        <v>0.125</v>
      </c>
      <c r="F170" s="990"/>
    </row>
    <row r="171" spans="1:6" ht="16" thickBot="1" x14ac:dyDescent="0.25">
      <c r="A171" s="779" t="s">
        <v>526</v>
      </c>
      <c r="B171" s="773" t="s">
        <v>885</v>
      </c>
      <c r="C171" s="978">
        <v>0.127</v>
      </c>
      <c r="D171" s="978">
        <v>0.126</v>
      </c>
      <c r="E171" s="978">
        <v>0.126</v>
      </c>
      <c r="F171" s="979">
        <v>0.11799999999999999</v>
      </c>
    </row>
    <row r="172" spans="1:6" ht="16" thickBot="1" x14ac:dyDescent="0.25">
      <c r="A172" s="779" t="s">
        <v>526</v>
      </c>
      <c r="B172" s="773" t="s">
        <v>886</v>
      </c>
      <c r="C172" s="978">
        <v>0.13</v>
      </c>
      <c r="D172" s="978">
        <v>0.13</v>
      </c>
      <c r="E172" s="978">
        <v>0.13</v>
      </c>
      <c r="F172" s="990"/>
    </row>
    <row r="173" spans="1:6" ht="16" thickBot="1" x14ac:dyDescent="0.25">
      <c r="A173" s="779" t="s">
        <v>526</v>
      </c>
      <c r="B173" s="773" t="s">
        <v>348</v>
      </c>
      <c r="C173" s="978">
        <v>0.13</v>
      </c>
      <c r="D173" s="978">
        <v>0.13</v>
      </c>
      <c r="E173" s="978">
        <v>0.13</v>
      </c>
      <c r="F173" s="990"/>
    </row>
    <row r="174" spans="1:6" ht="16" thickBot="1" x14ac:dyDescent="0.25">
      <c r="A174" s="779" t="s">
        <v>526</v>
      </c>
      <c r="B174" s="773" t="s">
        <v>887</v>
      </c>
      <c r="C174" s="978">
        <v>0.13</v>
      </c>
      <c r="D174" s="978">
        <v>0.13</v>
      </c>
      <c r="E174" s="978">
        <v>0.13</v>
      </c>
      <c r="F174" s="979">
        <v>0.13</v>
      </c>
    </row>
    <row r="175" spans="1:6" ht="16" thickBot="1" x14ac:dyDescent="0.25">
      <c r="A175" s="779" t="s">
        <v>526</v>
      </c>
      <c r="B175" s="773" t="s">
        <v>888</v>
      </c>
      <c r="C175" s="978">
        <v>0.13</v>
      </c>
      <c r="D175" s="978">
        <v>0.13</v>
      </c>
      <c r="E175" s="978">
        <v>0.13</v>
      </c>
      <c r="F175" s="979">
        <v>0.13</v>
      </c>
    </row>
    <row r="176" spans="1:6" ht="16" thickBot="1" x14ac:dyDescent="0.25">
      <c r="A176" s="779" t="s">
        <v>526</v>
      </c>
      <c r="B176" s="773" t="s">
        <v>378</v>
      </c>
      <c r="C176" s="978">
        <v>0.13</v>
      </c>
      <c r="D176" s="978">
        <v>0.13</v>
      </c>
      <c r="E176" s="978">
        <v>0.13</v>
      </c>
      <c r="F176" s="979">
        <v>0.13</v>
      </c>
    </row>
    <row r="177" spans="1:6" ht="16" thickBot="1" x14ac:dyDescent="0.25">
      <c r="A177" s="779" t="s">
        <v>526</v>
      </c>
      <c r="B177" s="773" t="s">
        <v>889</v>
      </c>
      <c r="C177" s="978">
        <v>0.13</v>
      </c>
      <c r="D177" s="978">
        <v>0.13</v>
      </c>
      <c r="E177" s="978">
        <v>0.13</v>
      </c>
      <c r="F177" s="979">
        <v>0.13</v>
      </c>
    </row>
    <row r="178" spans="1:6" ht="16" thickBot="1" x14ac:dyDescent="0.25">
      <c r="A178" s="779" t="s">
        <v>526</v>
      </c>
      <c r="B178" s="773" t="s">
        <v>396</v>
      </c>
      <c r="C178" s="978">
        <v>0.13</v>
      </c>
      <c r="D178" s="978">
        <v>0.13</v>
      </c>
      <c r="E178" s="978">
        <v>0.13</v>
      </c>
      <c r="F178" s="979">
        <v>0.127</v>
      </c>
    </row>
    <row r="179" spans="1:6" ht="16" thickBot="1" x14ac:dyDescent="0.25">
      <c r="A179" s="779" t="s">
        <v>526</v>
      </c>
      <c r="B179" s="773" t="s">
        <v>404</v>
      </c>
      <c r="C179" s="978">
        <v>0.13</v>
      </c>
      <c r="D179" s="978">
        <v>0.13</v>
      </c>
      <c r="E179" s="978">
        <v>0.13</v>
      </c>
      <c r="F179" s="990"/>
    </row>
    <row r="180" spans="1:6" ht="16" thickBot="1" x14ac:dyDescent="0.25">
      <c r="A180" s="779" t="s">
        <v>526</v>
      </c>
      <c r="B180" s="773" t="s">
        <v>890</v>
      </c>
      <c r="C180" s="978">
        <v>0.13</v>
      </c>
      <c r="D180" s="978">
        <v>0.13</v>
      </c>
      <c r="E180" s="978">
        <v>0.125</v>
      </c>
      <c r="F180" s="979">
        <v>0.13</v>
      </c>
    </row>
    <row r="181" spans="1:6" ht="16" thickBot="1" x14ac:dyDescent="0.25">
      <c r="A181" s="779" t="s">
        <v>526</v>
      </c>
      <c r="B181" s="773" t="s">
        <v>418</v>
      </c>
      <c r="C181" s="978">
        <v>0.122</v>
      </c>
      <c r="D181" s="978">
        <v>0.123</v>
      </c>
      <c r="E181" s="978">
        <v>0.126</v>
      </c>
      <c r="F181" s="979">
        <v>0.121</v>
      </c>
    </row>
    <row r="182" spans="1:6" ht="16" thickBot="1" x14ac:dyDescent="0.25">
      <c r="A182" s="779" t="s">
        <v>526</v>
      </c>
      <c r="B182" s="773" t="s">
        <v>425</v>
      </c>
      <c r="C182" s="978">
        <v>0.125</v>
      </c>
      <c r="D182" s="978">
        <v>0.125</v>
      </c>
      <c r="E182" s="978">
        <v>0.11700000000000001</v>
      </c>
      <c r="F182" s="979">
        <v>0.13</v>
      </c>
    </row>
    <row r="183" spans="1:6" ht="16" thickBot="1" x14ac:dyDescent="0.25">
      <c r="A183" s="779" t="s">
        <v>526</v>
      </c>
      <c r="B183" s="773" t="s">
        <v>432</v>
      </c>
      <c r="C183" s="978">
        <v>0.127</v>
      </c>
      <c r="D183" s="978">
        <v>0.127</v>
      </c>
      <c r="E183" s="978">
        <v>0.128</v>
      </c>
      <c r="F183" s="990"/>
    </row>
    <row r="184" spans="1:6" ht="16" thickBot="1" x14ac:dyDescent="0.25">
      <c r="A184" s="779" t="s">
        <v>526</v>
      </c>
      <c r="B184" s="773" t="s">
        <v>439</v>
      </c>
      <c r="C184" s="978">
        <v>0.125</v>
      </c>
      <c r="D184" s="978">
        <v>0.125</v>
      </c>
      <c r="E184" s="978">
        <v>0.127</v>
      </c>
      <c r="F184" s="990"/>
    </row>
    <row r="185" spans="1:6" ht="16" thickBot="1" x14ac:dyDescent="0.25">
      <c r="A185" s="779" t="s">
        <v>526</v>
      </c>
      <c r="B185" s="773" t="s">
        <v>891</v>
      </c>
      <c r="C185" s="978">
        <v>0.127</v>
      </c>
      <c r="D185" s="978">
        <v>0.127</v>
      </c>
      <c r="E185" s="978">
        <v>0.128</v>
      </c>
      <c r="F185" s="979">
        <v>0.13</v>
      </c>
    </row>
    <row r="186" spans="1:6" ht="29" thickBot="1" x14ac:dyDescent="0.25">
      <c r="A186" s="779" t="s">
        <v>526</v>
      </c>
      <c r="B186" s="773" t="s">
        <v>892</v>
      </c>
      <c r="C186" s="991"/>
      <c r="D186" s="991"/>
      <c r="E186" s="991"/>
      <c r="F186" s="979">
        <v>0.05</v>
      </c>
    </row>
    <row r="187" spans="1:6" ht="16" thickBot="1" x14ac:dyDescent="0.25">
      <c r="A187" s="779" t="s">
        <v>526</v>
      </c>
      <c r="B187" s="773" t="s">
        <v>893</v>
      </c>
      <c r="C187" s="991"/>
      <c r="D187" s="991"/>
      <c r="E187" s="991"/>
      <c r="F187" s="979">
        <v>0.05</v>
      </c>
    </row>
    <row r="188" spans="1:6" ht="16" thickBot="1" x14ac:dyDescent="0.25">
      <c r="A188" s="779" t="s">
        <v>526</v>
      </c>
      <c r="B188" s="773" t="s">
        <v>894</v>
      </c>
      <c r="C188" s="991"/>
      <c r="D188" s="991"/>
      <c r="E188" s="991"/>
      <c r="F188" s="979">
        <v>0.05</v>
      </c>
    </row>
    <row r="189" spans="1:6" ht="29" thickBot="1" x14ac:dyDescent="0.25">
      <c r="A189" s="779" t="s">
        <v>526</v>
      </c>
      <c r="B189" s="773" t="s">
        <v>895</v>
      </c>
      <c r="C189" s="991"/>
      <c r="D189" s="991"/>
      <c r="E189" s="991"/>
      <c r="F189" s="979">
        <v>0.05</v>
      </c>
    </row>
    <row r="190" spans="1:6" ht="29" thickBot="1" x14ac:dyDescent="0.25">
      <c r="A190" s="779" t="s">
        <v>526</v>
      </c>
      <c r="B190" s="773" t="s">
        <v>896</v>
      </c>
      <c r="C190" s="991"/>
      <c r="D190" s="991"/>
      <c r="E190" s="991"/>
      <c r="F190" s="979">
        <v>0.05</v>
      </c>
    </row>
    <row r="191" spans="1:6" ht="29" thickBot="1" x14ac:dyDescent="0.25">
      <c r="A191" s="779" t="s">
        <v>526</v>
      </c>
      <c r="B191" s="773" t="s">
        <v>897</v>
      </c>
      <c r="C191" s="991"/>
      <c r="D191" s="991"/>
      <c r="E191" s="991"/>
      <c r="F191" s="979">
        <v>0.05</v>
      </c>
    </row>
    <row r="192" spans="1:6" ht="29" thickBot="1" x14ac:dyDescent="0.25">
      <c r="A192" s="779" t="s">
        <v>526</v>
      </c>
      <c r="B192" s="773" t="s">
        <v>898</v>
      </c>
      <c r="C192" s="991"/>
      <c r="D192" s="991"/>
      <c r="E192" s="991"/>
      <c r="F192" s="979">
        <v>0.05</v>
      </c>
    </row>
    <row r="193" spans="1:6" ht="29" thickBot="1" x14ac:dyDescent="0.25">
      <c r="A193" s="779" t="s">
        <v>526</v>
      </c>
      <c r="B193" s="773" t="s">
        <v>899</v>
      </c>
      <c r="C193" s="991"/>
      <c r="D193" s="991"/>
      <c r="E193" s="991"/>
      <c r="F193" s="979">
        <v>0.05</v>
      </c>
    </row>
    <row r="194" spans="1:6" ht="29" thickBot="1" x14ac:dyDescent="0.25">
      <c r="A194" s="779" t="s">
        <v>526</v>
      </c>
      <c r="B194" s="773" t="s">
        <v>900</v>
      </c>
      <c r="C194" s="991"/>
      <c r="D194" s="991"/>
      <c r="E194" s="991"/>
      <c r="F194" s="979">
        <v>0.05</v>
      </c>
    </row>
    <row r="195" spans="1:6" ht="16" thickBot="1" x14ac:dyDescent="0.25">
      <c r="A195" s="779" t="s">
        <v>526</v>
      </c>
      <c r="B195" s="773" t="s">
        <v>901</v>
      </c>
      <c r="C195" s="991"/>
      <c r="D195" s="991"/>
      <c r="E195" s="991"/>
      <c r="F195" s="979">
        <v>0.05</v>
      </c>
    </row>
    <row r="196" spans="1:6" ht="29" thickBot="1" x14ac:dyDescent="0.25">
      <c r="A196" s="779" t="s">
        <v>526</v>
      </c>
      <c r="B196" s="773" t="s">
        <v>902</v>
      </c>
      <c r="C196" s="991"/>
      <c r="D196" s="991"/>
      <c r="E196" s="991"/>
      <c r="F196" s="979">
        <v>0.05</v>
      </c>
    </row>
    <row r="197" spans="1:6" ht="29" thickBot="1" x14ac:dyDescent="0.25">
      <c r="A197" s="779" t="s">
        <v>526</v>
      </c>
      <c r="B197" s="773" t="s">
        <v>903</v>
      </c>
      <c r="C197" s="991"/>
      <c r="D197" s="991"/>
      <c r="E197" s="991"/>
      <c r="F197" s="979">
        <v>0.05</v>
      </c>
    </row>
    <row r="198" spans="1:6" ht="29" thickBot="1" x14ac:dyDescent="0.25">
      <c r="A198" s="779" t="s">
        <v>526</v>
      </c>
      <c r="B198" s="773" t="s">
        <v>904</v>
      </c>
      <c r="C198" s="991"/>
      <c r="D198" s="991"/>
      <c r="E198" s="991"/>
      <c r="F198" s="979">
        <v>0.05</v>
      </c>
    </row>
    <row r="199" spans="1:6" ht="29" thickBot="1" x14ac:dyDescent="0.25">
      <c r="A199" s="779" t="s">
        <v>526</v>
      </c>
      <c r="B199" s="773" t="s">
        <v>905</v>
      </c>
      <c r="C199" s="991"/>
      <c r="D199" s="991"/>
      <c r="E199" s="991"/>
      <c r="F199" s="979">
        <v>0.05</v>
      </c>
    </row>
    <row r="200" spans="1:6" ht="29" thickBot="1" x14ac:dyDescent="0.25">
      <c r="A200" s="779" t="s">
        <v>526</v>
      </c>
      <c r="B200" s="773" t="s">
        <v>906</v>
      </c>
      <c r="C200" s="991"/>
      <c r="D200" s="991"/>
      <c r="E200" s="991"/>
      <c r="F200" s="979">
        <v>0.05</v>
      </c>
    </row>
    <row r="201" spans="1:6" ht="29" thickBot="1" x14ac:dyDescent="0.25">
      <c r="A201" s="779" t="s">
        <v>526</v>
      </c>
      <c r="B201" s="773" t="s">
        <v>907</v>
      </c>
      <c r="C201" s="991"/>
      <c r="D201" s="991"/>
      <c r="E201" s="991"/>
      <c r="F201" s="979">
        <v>0.05</v>
      </c>
    </row>
    <row r="202" spans="1:6" ht="29" thickBot="1" x14ac:dyDescent="0.25">
      <c r="A202" s="779" t="s">
        <v>526</v>
      </c>
      <c r="B202" s="773" t="s">
        <v>908</v>
      </c>
      <c r="C202" s="991"/>
      <c r="D202" s="991"/>
      <c r="E202" s="991"/>
      <c r="F202" s="979">
        <v>0.05</v>
      </c>
    </row>
    <row r="203" spans="1:6" ht="29" thickBot="1" x14ac:dyDescent="0.25">
      <c r="A203" s="779" t="s">
        <v>526</v>
      </c>
      <c r="B203" s="773" t="s">
        <v>909</v>
      </c>
      <c r="C203" s="991"/>
      <c r="D203" s="991"/>
      <c r="E203" s="991"/>
      <c r="F203" s="979">
        <v>0.05</v>
      </c>
    </row>
    <row r="204" spans="1:6" ht="16" thickBot="1" x14ac:dyDescent="0.25">
      <c r="A204" s="779" t="s">
        <v>526</v>
      </c>
      <c r="B204" s="773" t="s">
        <v>910</v>
      </c>
      <c r="C204" s="991"/>
      <c r="D204" s="991"/>
      <c r="E204" s="991"/>
      <c r="F204" s="979">
        <v>0.05</v>
      </c>
    </row>
    <row r="205" spans="1:6" ht="16" thickBot="1" x14ac:dyDescent="0.25">
      <c r="A205" s="789" t="s">
        <v>526</v>
      </c>
      <c r="B205" s="785" t="s">
        <v>911</v>
      </c>
      <c r="C205" s="988"/>
      <c r="D205" s="988"/>
      <c r="E205" s="988"/>
      <c r="F205" s="981">
        <v>0.05</v>
      </c>
    </row>
    <row r="206" spans="1:6" ht="16" thickBot="1" x14ac:dyDescent="0.25">
      <c r="A206" s="779" t="s">
        <v>528</v>
      </c>
      <c r="B206" s="780" t="s">
        <v>912</v>
      </c>
      <c r="C206" s="976">
        <v>0.15</v>
      </c>
      <c r="D206" s="976">
        <v>0.15</v>
      </c>
      <c r="E206" s="976">
        <v>0.15</v>
      </c>
      <c r="F206" s="977">
        <v>0.15</v>
      </c>
    </row>
    <row r="207" spans="1:6" ht="16" thickBot="1" x14ac:dyDescent="0.25">
      <c r="A207" s="779" t="s">
        <v>528</v>
      </c>
      <c r="B207" s="773" t="s">
        <v>194</v>
      </c>
      <c r="C207" s="978">
        <v>0.15</v>
      </c>
      <c r="D207" s="978">
        <v>0.15</v>
      </c>
      <c r="E207" s="978">
        <v>0.15</v>
      </c>
      <c r="F207" s="979">
        <v>0.14399999999999999</v>
      </c>
    </row>
    <row r="208" spans="1:6" ht="16" thickBot="1" x14ac:dyDescent="0.25">
      <c r="A208" s="779" t="s">
        <v>528</v>
      </c>
      <c r="B208" s="773" t="s">
        <v>207</v>
      </c>
      <c r="C208" s="978">
        <v>0.15</v>
      </c>
      <c r="D208" s="978">
        <v>0.15</v>
      </c>
      <c r="E208" s="978">
        <v>0.15</v>
      </c>
      <c r="F208" s="979">
        <v>0.15</v>
      </c>
    </row>
    <row r="209" spans="1:6" ht="16" thickBot="1" x14ac:dyDescent="0.25">
      <c r="A209" s="779" t="s">
        <v>528</v>
      </c>
      <c r="B209" s="773" t="s">
        <v>220</v>
      </c>
      <c r="C209" s="978">
        <v>0.13700000000000001</v>
      </c>
      <c r="D209" s="978">
        <v>0.13700000000000001</v>
      </c>
      <c r="E209" s="978">
        <v>0.14000000000000001</v>
      </c>
      <c r="F209" s="979">
        <v>0.11700000000000001</v>
      </c>
    </row>
    <row r="210" spans="1:6" ht="16" thickBot="1" x14ac:dyDescent="0.25">
      <c r="A210" s="779" t="s">
        <v>528</v>
      </c>
      <c r="B210" s="773" t="s">
        <v>913</v>
      </c>
      <c r="C210" s="978">
        <v>0.15</v>
      </c>
      <c r="D210" s="978">
        <v>0.15</v>
      </c>
      <c r="E210" s="978">
        <v>0.15</v>
      </c>
      <c r="F210" s="979">
        <v>0.13800000000000001</v>
      </c>
    </row>
    <row r="211" spans="1:6" ht="16" thickBot="1" x14ac:dyDescent="0.25">
      <c r="A211" s="779" t="s">
        <v>528</v>
      </c>
      <c r="B211" s="773" t="s">
        <v>914</v>
      </c>
      <c r="C211" s="978">
        <v>0.13700000000000001</v>
      </c>
      <c r="D211" s="978">
        <v>0.13500000000000001</v>
      </c>
      <c r="E211" s="978">
        <v>0.13600000000000001</v>
      </c>
      <c r="F211" s="979">
        <v>0.1</v>
      </c>
    </row>
    <row r="212" spans="1:6" ht="16" thickBot="1" x14ac:dyDescent="0.25">
      <c r="A212" s="779" t="s">
        <v>528</v>
      </c>
      <c r="B212" s="773" t="s">
        <v>915</v>
      </c>
      <c r="C212" s="978">
        <v>0.15</v>
      </c>
      <c r="D212" s="978">
        <v>0.15</v>
      </c>
      <c r="E212" s="978">
        <v>0.14799999999999999</v>
      </c>
      <c r="F212" s="979">
        <v>0.13600000000000001</v>
      </c>
    </row>
    <row r="213" spans="1:6" ht="16" thickBot="1" x14ac:dyDescent="0.25">
      <c r="A213" s="779" t="s">
        <v>528</v>
      </c>
      <c r="B213" s="773" t="s">
        <v>265</v>
      </c>
      <c r="C213" s="978">
        <v>0.15</v>
      </c>
      <c r="D213" s="978">
        <v>0.15</v>
      </c>
      <c r="E213" s="978">
        <v>0.15</v>
      </c>
      <c r="F213" s="979">
        <v>0.13800000000000001</v>
      </c>
    </row>
    <row r="214" spans="1:6" ht="16" thickBot="1" x14ac:dyDescent="0.25">
      <c r="A214" s="779" t="s">
        <v>528</v>
      </c>
      <c r="B214" s="773" t="s">
        <v>277</v>
      </c>
      <c r="C214" s="978">
        <v>9.0999999999999998E-2</v>
      </c>
      <c r="D214" s="978">
        <v>0.09</v>
      </c>
      <c r="E214" s="978">
        <v>9.1999999999999998E-2</v>
      </c>
      <c r="F214" s="990"/>
    </row>
    <row r="215" spans="1:6" ht="16" thickBot="1" x14ac:dyDescent="0.25">
      <c r="A215" s="779" t="s">
        <v>528</v>
      </c>
      <c r="B215" s="773" t="s">
        <v>916</v>
      </c>
      <c r="C215" s="978">
        <v>0.15</v>
      </c>
      <c r="D215" s="978">
        <v>0.15</v>
      </c>
      <c r="E215" s="978">
        <v>0.15</v>
      </c>
      <c r="F215" s="979">
        <v>0.15</v>
      </c>
    </row>
    <row r="216" spans="1:6" ht="16" thickBot="1" x14ac:dyDescent="0.25">
      <c r="A216" s="779" t="s">
        <v>528</v>
      </c>
      <c r="B216" s="773" t="s">
        <v>297</v>
      </c>
      <c r="C216" s="978">
        <v>0.14699999999999999</v>
      </c>
      <c r="D216" s="978">
        <v>0.14699999999999999</v>
      </c>
      <c r="E216" s="978">
        <v>0.15</v>
      </c>
      <c r="F216" s="979">
        <v>0.14000000000000001</v>
      </c>
    </row>
    <row r="217" spans="1:6" ht="16" thickBot="1" x14ac:dyDescent="0.25">
      <c r="A217" s="779" t="s">
        <v>528</v>
      </c>
      <c r="B217" s="773" t="s">
        <v>307</v>
      </c>
      <c r="C217" s="978">
        <v>0.15</v>
      </c>
      <c r="D217" s="978">
        <v>0.15</v>
      </c>
      <c r="E217" s="978">
        <v>0.15</v>
      </c>
      <c r="F217" s="979">
        <v>0.15</v>
      </c>
    </row>
    <row r="218" spans="1:6" ht="16" thickBot="1" x14ac:dyDescent="0.25">
      <c r="A218" s="779" t="s">
        <v>528</v>
      </c>
      <c r="B218" s="773" t="s">
        <v>917</v>
      </c>
      <c r="C218" s="978">
        <v>0.15</v>
      </c>
      <c r="D218" s="978">
        <v>0.15</v>
      </c>
      <c r="E218" s="978">
        <v>0.15</v>
      </c>
      <c r="F218" s="979">
        <v>0.15</v>
      </c>
    </row>
    <row r="219" spans="1:6" ht="16" thickBot="1" x14ac:dyDescent="0.25">
      <c r="A219" s="779" t="s">
        <v>528</v>
      </c>
      <c r="B219" s="773" t="s">
        <v>328</v>
      </c>
      <c r="C219" s="978">
        <v>0.15</v>
      </c>
      <c r="D219" s="978">
        <v>0.15</v>
      </c>
      <c r="E219" s="978">
        <v>0.15</v>
      </c>
      <c r="F219" s="979">
        <v>0.14799999999999999</v>
      </c>
    </row>
    <row r="220" spans="1:6" ht="16" thickBot="1" x14ac:dyDescent="0.25">
      <c r="A220" s="779" t="s">
        <v>528</v>
      </c>
      <c r="B220" s="773" t="s">
        <v>918</v>
      </c>
      <c r="C220" s="978">
        <v>0.15</v>
      </c>
      <c r="D220" s="978">
        <v>0.15</v>
      </c>
      <c r="E220" s="978">
        <v>0.15</v>
      </c>
      <c r="F220" s="979">
        <v>0.15</v>
      </c>
    </row>
    <row r="221" spans="1:6" ht="16" thickBot="1" x14ac:dyDescent="0.25">
      <c r="A221" s="779" t="s">
        <v>528</v>
      </c>
      <c r="B221" s="773" t="s">
        <v>349</v>
      </c>
      <c r="C221" s="978"/>
      <c r="D221" s="991"/>
      <c r="E221" s="991"/>
      <c r="F221" s="979">
        <v>0.14799999999999999</v>
      </c>
    </row>
    <row r="222" spans="1:6" ht="16" thickBot="1" x14ac:dyDescent="0.25">
      <c r="A222" s="779" t="s">
        <v>528</v>
      </c>
      <c r="B222" s="773" t="s">
        <v>359</v>
      </c>
      <c r="C222" s="978"/>
      <c r="D222" s="991"/>
      <c r="E222" s="991"/>
      <c r="F222" s="979">
        <v>0.1</v>
      </c>
    </row>
    <row r="223" spans="1:6" ht="16" thickBot="1" x14ac:dyDescent="0.25">
      <c r="A223" s="779" t="s">
        <v>528</v>
      </c>
      <c r="B223" s="773" t="s">
        <v>369</v>
      </c>
      <c r="C223" s="978"/>
      <c r="D223" s="991"/>
      <c r="E223" s="991"/>
      <c r="F223" s="979">
        <v>0.15</v>
      </c>
    </row>
    <row r="224" spans="1:6" ht="16" thickBot="1" x14ac:dyDescent="0.25">
      <c r="A224" s="779" t="s">
        <v>528</v>
      </c>
      <c r="B224" s="773" t="s">
        <v>379</v>
      </c>
      <c r="C224" s="978"/>
      <c r="D224" s="991"/>
      <c r="E224" s="991"/>
      <c r="F224" s="979">
        <v>0.15</v>
      </c>
    </row>
    <row r="225" spans="1:6" ht="16" thickBot="1" x14ac:dyDescent="0.25">
      <c r="A225" s="779" t="s">
        <v>528</v>
      </c>
      <c r="B225" s="773" t="s">
        <v>919</v>
      </c>
      <c r="C225" s="978">
        <v>0.15</v>
      </c>
      <c r="D225" s="978">
        <v>0.15</v>
      </c>
      <c r="E225" s="978">
        <v>0.15</v>
      </c>
      <c r="F225" s="979">
        <v>0.15</v>
      </c>
    </row>
    <row r="226" spans="1:6" ht="16" thickBot="1" x14ac:dyDescent="0.25">
      <c r="A226" s="779" t="s">
        <v>528</v>
      </c>
      <c r="B226" s="773" t="s">
        <v>397</v>
      </c>
      <c r="C226" s="978">
        <v>0.15</v>
      </c>
      <c r="D226" s="978">
        <v>0.15</v>
      </c>
      <c r="E226" s="978">
        <v>0.15</v>
      </c>
      <c r="F226" s="979">
        <v>0.14799999999999999</v>
      </c>
    </row>
    <row r="227" spans="1:6" ht="16" thickBot="1" x14ac:dyDescent="0.25">
      <c r="A227" s="779" t="s">
        <v>528</v>
      </c>
      <c r="B227" s="773" t="s">
        <v>920</v>
      </c>
      <c r="C227" s="978">
        <v>0.15</v>
      </c>
      <c r="D227" s="978">
        <v>0.15</v>
      </c>
      <c r="E227" s="978">
        <v>0.15</v>
      </c>
      <c r="F227" s="979">
        <v>0.15</v>
      </c>
    </row>
    <row r="228" spans="1:6" ht="16" thickBot="1" x14ac:dyDescent="0.25">
      <c r="A228" s="779" t="s">
        <v>528</v>
      </c>
      <c r="B228" s="773" t="s">
        <v>412</v>
      </c>
      <c r="C228" s="978">
        <v>0.15</v>
      </c>
      <c r="D228" s="978">
        <v>0.15</v>
      </c>
      <c r="E228" s="978">
        <v>0.15</v>
      </c>
      <c r="F228" s="979">
        <v>0.15</v>
      </c>
    </row>
    <row r="229" spans="1:6" ht="16" thickBot="1" x14ac:dyDescent="0.25">
      <c r="A229" s="779" t="s">
        <v>528</v>
      </c>
      <c r="B229" s="773" t="s">
        <v>419</v>
      </c>
      <c r="C229" s="978">
        <v>0.15</v>
      </c>
      <c r="D229" s="978">
        <v>0.15</v>
      </c>
      <c r="E229" s="978">
        <v>0.15</v>
      </c>
      <c r="F229" s="990"/>
    </row>
    <row r="230" spans="1:6" ht="16" thickBot="1" x14ac:dyDescent="0.25">
      <c r="A230" s="779" t="s">
        <v>528</v>
      </c>
      <c r="B230" s="773" t="s">
        <v>426</v>
      </c>
      <c r="C230" s="978">
        <v>0.14499999999999999</v>
      </c>
      <c r="D230" s="978">
        <v>0.14499999999999999</v>
      </c>
      <c r="E230" s="978">
        <v>0.14399999999999999</v>
      </c>
      <c r="F230" s="990"/>
    </row>
    <row r="231" spans="1:6" ht="16" thickBot="1" x14ac:dyDescent="0.25">
      <c r="A231" s="779" t="s">
        <v>528</v>
      </c>
      <c r="B231" s="773" t="s">
        <v>921</v>
      </c>
      <c r="C231" s="978">
        <v>0.128</v>
      </c>
      <c r="D231" s="978">
        <v>0.125</v>
      </c>
      <c r="E231" s="978">
        <v>0.13200000000000001</v>
      </c>
      <c r="F231" s="990"/>
    </row>
    <row r="232" spans="1:6" ht="16" thickBot="1" x14ac:dyDescent="0.25">
      <c r="A232" s="779" t="s">
        <v>528</v>
      </c>
      <c r="B232" s="773" t="s">
        <v>922</v>
      </c>
      <c r="C232" s="978">
        <v>0.14499999999999999</v>
      </c>
      <c r="D232" s="978">
        <v>0.14399999999999999</v>
      </c>
      <c r="E232" s="978">
        <v>0.14599999999999999</v>
      </c>
      <c r="F232" s="979">
        <v>0.13800000000000001</v>
      </c>
    </row>
    <row r="233" spans="1:6" ht="16" thickBot="1" x14ac:dyDescent="0.25">
      <c r="A233" s="779" t="s">
        <v>528</v>
      </c>
      <c r="B233" s="773" t="s">
        <v>923</v>
      </c>
      <c r="C233" s="978">
        <v>0.14499999999999999</v>
      </c>
      <c r="D233" s="978">
        <v>0.14299999999999999</v>
      </c>
      <c r="E233" s="978">
        <v>0.14199999999999999</v>
      </c>
      <c r="F233" s="990"/>
    </row>
    <row r="234" spans="1:6" ht="16" thickBot="1" x14ac:dyDescent="0.25">
      <c r="A234" s="779" t="s">
        <v>528</v>
      </c>
      <c r="B234" s="773" t="s">
        <v>924</v>
      </c>
      <c r="C234" s="978">
        <v>0.14000000000000001</v>
      </c>
      <c r="D234" s="978">
        <v>0.14000000000000001</v>
      </c>
      <c r="E234" s="978">
        <v>0.14399999999999999</v>
      </c>
      <c r="F234" s="990"/>
    </row>
    <row r="235" spans="1:6" ht="16" thickBot="1" x14ac:dyDescent="0.25">
      <c r="A235" s="779" t="s">
        <v>528</v>
      </c>
      <c r="B235" s="773" t="s">
        <v>925</v>
      </c>
      <c r="C235" s="978">
        <v>0.14099999999999999</v>
      </c>
      <c r="D235" s="978">
        <v>0.14199999999999999</v>
      </c>
      <c r="E235" s="978">
        <v>0.14499999999999999</v>
      </c>
      <c r="F235" s="979">
        <v>0.15</v>
      </c>
    </row>
    <row r="236" spans="1:6" ht="16" thickBot="1" x14ac:dyDescent="0.25">
      <c r="A236" s="779" t="s">
        <v>528</v>
      </c>
      <c r="B236" s="773" t="s">
        <v>461</v>
      </c>
      <c r="C236" s="991"/>
      <c r="D236" s="991"/>
      <c r="E236" s="991"/>
      <c r="F236" s="979">
        <v>0.14299999999999999</v>
      </c>
    </row>
    <row r="237" spans="1:6" ht="29" thickBot="1" x14ac:dyDescent="0.25">
      <c r="A237" s="779" t="s">
        <v>528</v>
      </c>
      <c r="B237" s="773" t="s">
        <v>926</v>
      </c>
      <c r="C237" s="991"/>
      <c r="D237" s="991"/>
      <c r="E237" s="991"/>
      <c r="F237" s="979">
        <v>0.05</v>
      </c>
    </row>
    <row r="238" spans="1:6" ht="29" thickBot="1" x14ac:dyDescent="0.25">
      <c r="A238" s="779" t="s">
        <v>528</v>
      </c>
      <c r="B238" s="773" t="s">
        <v>927</v>
      </c>
      <c r="C238" s="991"/>
      <c r="D238" s="991"/>
      <c r="E238" s="991"/>
      <c r="F238" s="979">
        <v>0.05</v>
      </c>
    </row>
    <row r="239" spans="1:6" ht="29" thickBot="1" x14ac:dyDescent="0.25">
      <c r="A239" s="779" t="s">
        <v>528</v>
      </c>
      <c r="B239" s="773" t="s">
        <v>928</v>
      </c>
      <c r="C239" s="991"/>
      <c r="D239" s="991"/>
      <c r="E239" s="991"/>
      <c r="F239" s="979">
        <v>0.05</v>
      </c>
    </row>
    <row r="240" spans="1:6" ht="29" thickBot="1" x14ac:dyDescent="0.25">
      <c r="A240" s="779" t="s">
        <v>528</v>
      </c>
      <c r="B240" s="773" t="s">
        <v>929</v>
      </c>
      <c r="C240" s="991"/>
      <c r="D240" s="991"/>
      <c r="E240" s="991"/>
      <c r="F240" s="979">
        <v>0.05</v>
      </c>
    </row>
    <row r="241" spans="1:6" ht="29" thickBot="1" x14ac:dyDescent="0.25">
      <c r="A241" s="779" t="s">
        <v>528</v>
      </c>
      <c r="B241" s="773" t="s">
        <v>930</v>
      </c>
      <c r="C241" s="991"/>
      <c r="D241" s="991"/>
      <c r="E241" s="991"/>
      <c r="F241" s="979">
        <v>0.05</v>
      </c>
    </row>
    <row r="242" spans="1:6" ht="29" thickBot="1" x14ac:dyDescent="0.25">
      <c r="A242" s="779" t="s">
        <v>528</v>
      </c>
      <c r="B242" s="773" t="s">
        <v>931</v>
      </c>
      <c r="C242" s="991"/>
      <c r="D242" s="991"/>
      <c r="E242" s="991"/>
      <c r="F242" s="979">
        <v>0.05</v>
      </c>
    </row>
    <row r="243" spans="1:6" ht="29" thickBot="1" x14ac:dyDescent="0.25">
      <c r="A243" s="779" t="s">
        <v>528</v>
      </c>
      <c r="B243" s="773" t="s">
        <v>932</v>
      </c>
      <c r="C243" s="991"/>
      <c r="D243" s="991"/>
      <c r="E243" s="991"/>
      <c r="F243" s="979">
        <v>0.05</v>
      </c>
    </row>
    <row r="244" spans="1:6" ht="29" thickBot="1" x14ac:dyDescent="0.25">
      <c r="A244" s="789" t="s">
        <v>528</v>
      </c>
      <c r="B244" s="785" t="s">
        <v>933</v>
      </c>
      <c r="C244" s="988"/>
      <c r="D244" s="988"/>
      <c r="E244" s="988"/>
      <c r="F244" s="981">
        <v>0.05</v>
      </c>
    </row>
    <row r="245" spans="1:6" ht="16" thickBot="1" x14ac:dyDescent="0.25">
      <c r="A245" s="779" t="s">
        <v>530</v>
      </c>
      <c r="B245" s="780" t="s">
        <v>934</v>
      </c>
      <c r="C245" s="976">
        <v>0.15</v>
      </c>
      <c r="D245" s="976">
        <v>0.15</v>
      </c>
      <c r="E245" s="976">
        <v>0.15</v>
      </c>
      <c r="F245" s="977">
        <v>0.14299999999999999</v>
      </c>
    </row>
    <row r="246" spans="1:6" ht="16" thickBot="1" x14ac:dyDescent="0.25">
      <c r="A246" s="779" t="s">
        <v>530</v>
      </c>
      <c r="B246" s="773" t="s">
        <v>195</v>
      </c>
      <c r="C246" s="978">
        <v>0.15</v>
      </c>
      <c r="D246" s="978">
        <v>0.15</v>
      </c>
      <c r="E246" s="978">
        <v>0.15</v>
      </c>
      <c r="F246" s="979">
        <v>0.114</v>
      </c>
    </row>
    <row r="247" spans="1:6" ht="16" thickBot="1" x14ac:dyDescent="0.25">
      <c r="A247" s="779" t="s">
        <v>530</v>
      </c>
      <c r="B247" s="773" t="s">
        <v>935</v>
      </c>
      <c r="C247" s="978">
        <v>0.15</v>
      </c>
      <c r="D247" s="978">
        <v>0.15</v>
      </c>
      <c r="E247" s="978">
        <v>0.15</v>
      </c>
      <c r="F247" s="979">
        <v>0.15</v>
      </c>
    </row>
    <row r="248" spans="1:6" ht="16" thickBot="1" x14ac:dyDescent="0.25">
      <c r="A248" s="779" t="s">
        <v>530</v>
      </c>
      <c r="B248" s="773" t="s">
        <v>936</v>
      </c>
      <c r="C248" s="978">
        <v>0.15</v>
      </c>
      <c r="D248" s="978">
        <v>0.15</v>
      </c>
      <c r="E248" s="978">
        <v>0.15</v>
      </c>
      <c r="F248" s="979">
        <v>0.14000000000000001</v>
      </c>
    </row>
    <row r="249" spans="1:6" ht="16" thickBot="1" x14ac:dyDescent="0.25">
      <c r="A249" s="779" t="s">
        <v>530</v>
      </c>
      <c r="B249" s="773" t="s">
        <v>937</v>
      </c>
      <c r="C249" s="978">
        <v>0.15</v>
      </c>
      <c r="D249" s="978">
        <v>0.14899999999999999</v>
      </c>
      <c r="E249" s="978">
        <v>0.15</v>
      </c>
      <c r="F249" s="979">
        <v>0.1</v>
      </c>
    </row>
    <row r="250" spans="1:6" ht="16" thickBot="1" x14ac:dyDescent="0.25">
      <c r="A250" s="779" t="s">
        <v>530</v>
      </c>
      <c r="B250" s="773" t="s">
        <v>938</v>
      </c>
      <c r="C250" s="978">
        <v>0.15</v>
      </c>
      <c r="D250" s="978">
        <v>0.15</v>
      </c>
      <c r="E250" s="978">
        <v>0.15</v>
      </c>
      <c r="F250" s="979">
        <v>0.14399999999999999</v>
      </c>
    </row>
    <row r="251" spans="1:6" ht="16" thickBot="1" x14ac:dyDescent="0.25">
      <c r="A251" s="779" t="s">
        <v>530</v>
      </c>
      <c r="B251" s="773" t="s">
        <v>255</v>
      </c>
      <c r="C251" s="978">
        <v>0.15</v>
      </c>
      <c r="D251" s="978">
        <v>0.15</v>
      </c>
      <c r="E251" s="978">
        <v>0.15</v>
      </c>
      <c r="F251" s="979">
        <v>0.14299999999999999</v>
      </c>
    </row>
    <row r="252" spans="1:6" ht="16" thickBot="1" x14ac:dyDescent="0.25">
      <c r="A252" s="779" t="s">
        <v>530</v>
      </c>
      <c r="B252" s="773" t="s">
        <v>266</v>
      </c>
      <c r="C252" s="978">
        <v>0.15</v>
      </c>
      <c r="D252" s="978">
        <v>0.15</v>
      </c>
      <c r="E252" s="978">
        <v>0.15</v>
      </c>
      <c r="F252" s="979">
        <v>0.1</v>
      </c>
    </row>
    <row r="253" spans="1:6" ht="16" thickBot="1" x14ac:dyDescent="0.25">
      <c r="A253" s="779" t="s">
        <v>530</v>
      </c>
      <c r="B253" s="773" t="s">
        <v>278</v>
      </c>
      <c r="C253" s="978">
        <v>0.15</v>
      </c>
      <c r="D253" s="978">
        <v>0.15</v>
      </c>
      <c r="E253" s="978">
        <v>0.15</v>
      </c>
      <c r="F253" s="979">
        <v>0.1</v>
      </c>
    </row>
    <row r="254" spans="1:6" ht="16" thickBot="1" x14ac:dyDescent="0.25">
      <c r="A254" s="779" t="s">
        <v>530</v>
      </c>
      <c r="B254" s="773" t="s">
        <v>288</v>
      </c>
      <c r="C254" s="991"/>
      <c r="D254" s="991"/>
      <c r="E254" s="991"/>
      <c r="F254" s="979">
        <v>0.15</v>
      </c>
    </row>
    <row r="255" spans="1:6" ht="16" thickBot="1" x14ac:dyDescent="0.25">
      <c r="A255" s="779" t="s">
        <v>530</v>
      </c>
      <c r="B255" s="773" t="s">
        <v>298</v>
      </c>
      <c r="C255" s="991"/>
      <c r="D255" s="991"/>
      <c r="E255" s="991"/>
      <c r="F255" s="979">
        <v>0.14299999999999999</v>
      </c>
    </row>
    <row r="256" spans="1:6" ht="16" thickBot="1" x14ac:dyDescent="0.25">
      <c r="A256" s="779" t="s">
        <v>530</v>
      </c>
      <c r="B256" s="773" t="s">
        <v>939</v>
      </c>
      <c r="C256" s="978">
        <v>0.14599999999999999</v>
      </c>
      <c r="D256" s="978">
        <v>0.14699999999999999</v>
      </c>
      <c r="E256" s="978">
        <v>0.15</v>
      </c>
      <c r="F256" s="979">
        <v>0.13200000000000001</v>
      </c>
    </row>
    <row r="257" spans="1:6" ht="16" thickBot="1" x14ac:dyDescent="0.25">
      <c r="A257" s="779" t="s">
        <v>530</v>
      </c>
      <c r="B257" s="773" t="s">
        <v>318</v>
      </c>
      <c r="C257" s="978">
        <v>0.15</v>
      </c>
      <c r="D257" s="978">
        <v>0.15</v>
      </c>
      <c r="E257" s="978">
        <v>0.15</v>
      </c>
      <c r="F257" s="979">
        <v>0.13900000000000001</v>
      </c>
    </row>
    <row r="258" spans="1:6" ht="16" thickBot="1" x14ac:dyDescent="0.25">
      <c r="A258" s="779" t="s">
        <v>530</v>
      </c>
      <c r="B258" s="773" t="s">
        <v>329</v>
      </c>
      <c r="C258" s="978">
        <v>0.15</v>
      </c>
      <c r="D258" s="978">
        <v>0.15</v>
      </c>
      <c r="E258" s="978">
        <v>0.15</v>
      </c>
      <c r="F258" s="979">
        <v>0.13</v>
      </c>
    </row>
    <row r="259" spans="1:6" ht="16" thickBot="1" x14ac:dyDescent="0.25">
      <c r="A259" s="779" t="s">
        <v>530</v>
      </c>
      <c r="B259" s="773" t="s">
        <v>940</v>
      </c>
      <c r="C259" s="978">
        <v>0.14799999999999999</v>
      </c>
      <c r="D259" s="978">
        <v>0.14899999999999999</v>
      </c>
      <c r="E259" s="978">
        <v>0.15</v>
      </c>
      <c r="F259" s="979">
        <v>0.13700000000000001</v>
      </c>
    </row>
    <row r="260" spans="1:6" ht="16" thickBot="1" x14ac:dyDescent="0.25">
      <c r="A260" s="779" t="s">
        <v>530</v>
      </c>
      <c r="B260" s="773" t="s">
        <v>350</v>
      </c>
      <c r="C260" s="978">
        <v>0.15</v>
      </c>
      <c r="D260" s="978">
        <v>0.15</v>
      </c>
      <c r="E260" s="978">
        <v>0.15</v>
      </c>
      <c r="F260" s="979">
        <v>0.14199999999999999</v>
      </c>
    </row>
    <row r="261" spans="1:6" ht="16" thickBot="1" x14ac:dyDescent="0.25">
      <c r="A261" s="779" t="s">
        <v>530</v>
      </c>
      <c r="B261" s="773" t="s">
        <v>360</v>
      </c>
      <c r="C261" s="978">
        <v>0.15</v>
      </c>
      <c r="D261" s="978">
        <v>0.15</v>
      </c>
      <c r="E261" s="978">
        <v>0.14899999999999999</v>
      </c>
      <c r="F261" s="979">
        <v>0.14799999999999999</v>
      </c>
    </row>
    <row r="262" spans="1:6" ht="16" thickBot="1" x14ac:dyDescent="0.25">
      <c r="A262" s="779" t="s">
        <v>530</v>
      </c>
      <c r="B262" s="773" t="s">
        <v>370</v>
      </c>
      <c r="C262" s="978">
        <v>0.15</v>
      </c>
      <c r="D262" s="978">
        <v>0.15</v>
      </c>
      <c r="E262" s="978">
        <v>0.15</v>
      </c>
      <c r="F262" s="990"/>
    </row>
    <row r="263" spans="1:6" ht="16" thickBot="1" x14ac:dyDescent="0.25">
      <c r="A263" s="779" t="s">
        <v>530</v>
      </c>
      <c r="B263" s="773" t="s">
        <v>941</v>
      </c>
      <c r="C263" s="978">
        <v>0.14899999999999999</v>
      </c>
      <c r="D263" s="978">
        <v>0.14899999999999999</v>
      </c>
      <c r="E263" s="978">
        <v>0.15</v>
      </c>
      <c r="F263" s="979">
        <v>0.13</v>
      </c>
    </row>
    <row r="264" spans="1:6" ht="16" thickBot="1" x14ac:dyDescent="0.25">
      <c r="A264" s="779" t="s">
        <v>530</v>
      </c>
      <c r="B264" s="773" t="s">
        <v>389</v>
      </c>
      <c r="C264" s="978">
        <v>0.14799999999999999</v>
      </c>
      <c r="D264" s="978">
        <v>0.14699999999999999</v>
      </c>
      <c r="E264" s="978">
        <v>0.15</v>
      </c>
      <c r="F264" s="979">
        <v>7.8E-2</v>
      </c>
    </row>
    <row r="265" spans="1:6" ht="16" thickBot="1" x14ac:dyDescent="0.25">
      <c r="A265" s="779" t="s">
        <v>530</v>
      </c>
      <c r="B265" s="773" t="s">
        <v>398</v>
      </c>
      <c r="C265" s="978">
        <v>0.15</v>
      </c>
      <c r="D265" s="978">
        <v>0.15</v>
      </c>
      <c r="E265" s="978">
        <v>0.15</v>
      </c>
      <c r="F265" s="979">
        <v>7.3999999999999996E-2</v>
      </c>
    </row>
    <row r="266" spans="1:6" ht="16" thickBot="1" x14ac:dyDescent="0.25">
      <c r="A266" s="779" t="s">
        <v>530</v>
      </c>
      <c r="B266" s="773" t="s">
        <v>406</v>
      </c>
      <c r="C266" s="978">
        <v>0.14699999999999999</v>
      </c>
      <c r="D266" s="978">
        <v>0.14699999999999999</v>
      </c>
      <c r="E266" s="978">
        <v>0.15</v>
      </c>
      <c r="F266" s="979">
        <v>0.14299999999999999</v>
      </c>
    </row>
    <row r="267" spans="1:6" ht="16" thickBot="1" x14ac:dyDescent="0.25">
      <c r="A267" s="779" t="s">
        <v>530</v>
      </c>
      <c r="B267" s="773" t="s">
        <v>413</v>
      </c>
      <c r="C267" s="978">
        <v>0.14199999999999999</v>
      </c>
      <c r="D267" s="978">
        <v>0.14299999999999999</v>
      </c>
      <c r="E267" s="978">
        <v>0.15</v>
      </c>
      <c r="F267" s="990"/>
    </row>
    <row r="268" spans="1:6" ht="16" thickBot="1" x14ac:dyDescent="0.25">
      <c r="A268" s="779" t="s">
        <v>530</v>
      </c>
      <c r="B268" s="773" t="s">
        <v>942</v>
      </c>
      <c r="C268" s="978">
        <v>0.15</v>
      </c>
      <c r="D268" s="978">
        <v>0.15</v>
      </c>
      <c r="E268" s="978">
        <v>0.15</v>
      </c>
      <c r="F268" s="979">
        <v>0.13</v>
      </c>
    </row>
    <row r="269" spans="1:6" ht="16" thickBot="1" x14ac:dyDescent="0.25">
      <c r="A269" s="779" t="s">
        <v>530</v>
      </c>
      <c r="B269" s="773" t="s">
        <v>427</v>
      </c>
      <c r="C269" s="978">
        <v>0.15</v>
      </c>
      <c r="D269" s="978">
        <v>0.15</v>
      </c>
      <c r="E269" s="978">
        <v>0.15</v>
      </c>
      <c r="F269" s="979">
        <v>0.14299999999999999</v>
      </c>
    </row>
    <row r="270" spans="1:6" ht="16" thickBot="1" x14ac:dyDescent="0.25">
      <c r="A270" s="779" t="s">
        <v>530</v>
      </c>
      <c r="B270" s="773" t="s">
        <v>434</v>
      </c>
      <c r="C270" s="978">
        <v>0.14499999999999999</v>
      </c>
      <c r="D270" s="978">
        <v>0.14499999999999999</v>
      </c>
      <c r="E270" s="978">
        <v>0.15</v>
      </c>
      <c r="F270" s="979">
        <v>0.14699999999999999</v>
      </c>
    </row>
    <row r="271" spans="1:6" ht="16" thickBot="1" x14ac:dyDescent="0.25">
      <c r="A271" s="779" t="s">
        <v>530</v>
      </c>
      <c r="B271" s="773" t="s">
        <v>441</v>
      </c>
      <c r="C271" s="978">
        <v>0.15</v>
      </c>
      <c r="D271" s="978">
        <v>0.15</v>
      </c>
      <c r="E271" s="978">
        <v>0.15</v>
      </c>
      <c r="F271" s="979">
        <v>0.13800000000000001</v>
      </c>
    </row>
    <row r="272" spans="1:6" ht="16" thickBot="1" x14ac:dyDescent="0.25">
      <c r="A272" s="779" t="s">
        <v>530</v>
      </c>
      <c r="B272" s="773" t="s">
        <v>448</v>
      </c>
      <c r="C272" s="991"/>
      <c r="D272" s="991"/>
      <c r="E272" s="991"/>
      <c r="F272" s="979">
        <v>0.14000000000000001</v>
      </c>
    </row>
    <row r="273" spans="1:6" ht="16" thickBot="1" x14ac:dyDescent="0.25">
      <c r="A273" s="779" t="s">
        <v>530</v>
      </c>
      <c r="B273" s="773" t="s">
        <v>943</v>
      </c>
      <c r="C273" s="978">
        <v>0.14199999999999999</v>
      </c>
      <c r="D273" s="978">
        <v>0.14299999999999999</v>
      </c>
      <c r="E273" s="978">
        <v>0.15</v>
      </c>
      <c r="F273" s="979">
        <v>0.1</v>
      </c>
    </row>
    <row r="274" spans="1:6" ht="16" thickBot="1" x14ac:dyDescent="0.25">
      <c r="A274" s="779" t="s">
        <v>530</v>
      </c>
      <c r="B274" s="773" t="s">
        <v>944</v>
      </c>
      <c r="C274" s="978">
        <v>0.14799999999999999</v>
      </c>
      <c r="D274" s="978">
        <v>0.14799999999999999</v>
      </c>
      <c r="E274" s="978">
        <v>0.15</v>
      </c>
      <c r="F274" s="979">
        <v>6.7000000000000004E-2</v>
      </c>
    </row>
    <row r="275" spans="1:6" ht="16" thickBot="1" x14ac:dyDescent="0.25">
      <c r="A275" s="779" t="s">
        <v>530</v>
      </c>
      <c r="B275" s="773" t="s">
        <v>945</v>
      </c>
      <c r="C275" s="978">
        <v>0.15</v>
      </c>
      <c r="D275" s="978">
        <v>0.15</v>
      </c>
      <c r="E275" s="978">
        <v>0.15</v>
      </c>
      <c r="F275" s="979">
        <v>0.15</v>
      </c>
    </row>
    <row r="276" spans="1:6" ht="16" thickBot="1" x14ac:dyDescent="0.25">
      <c r="A276" s="779" t="s">
        <v>530</v>
      </c>
      <c r="B276" s="773" t="s">
        <v>946</v>
      </c>
      <c r="C276" s="978">
        <v>0.14499999999999999</v>
      </c>
      <c r="D276" s="978">
        <v>0.14299999999999999</v>
      </c>
      <c r="E276" s="978">
        <v>0.15</v>
      </c>
      <c r="F276" s="979">
        <v>5.8999999999999997E-2</v>
      </c>
    </row>
    <row r="277" spans="1:6" ht="16" thickBot="1" x14ac:dyDescent="0.25">
      <c r="A277" s="779" t="s">
        <v>530</v>
      </c>
      <c r="B277" s="773" t="s">
        <v>947</v>
      </c>
      <c r="C277" s="978">
        <v>0.15</v>
      </c>
      <c r="D277" s="978">
        <v>0.15</v>
      </c>
      <c r="E277" s="978">
        <v>0.15</v>
      </c>
      <c r="F277" s="979">
        <v>0.121</v>
      </c>
    </row>
    <row r="278" spans="1:6" ht="16" thickBot="1" x14ac:dyDescent="0.25">
      <c r="A278" s="779" t="s">
        <v>530</v>
      </c>
      <c r="B278" s="773" t="s">
        <v>948</v>
      </c>
      <c r="C278" s="978">
        <v>0.15</v>
      </c>
      <c r="D278" s="978">
        <v>0.15</v>
      </c>
      <c r="E278" s="978">
        <v>0.15</v>
      </c>
      <c r="F278" s="979">
        <v>0.13800000000000001</v>
      </c>
    </row>
    <row r="279" spans="1:6" ht="29" thickBot="1" x14ac:dyDescent="0.25">
      <c r="A279" s="779" t="s">
        <v>530</v>
      </c>
      <c r="B279" s="773" t="s">
        <v>949</v>
      </c>
      <c r="C279" s="991"/>
      <c r="D279" s="991"/>
      <c r="E279" s="991"/>
      <c r="F279" s="979">
        <v>0.05</v>
      </c>
    </row>
    <row r="280" spans="1:6" ht="29" thickBot="1" x14ac:dyDescent="0.25">
      <c r="A280" s="779" t="s">
        <v>530</v>
      </c>
      <c r="B280" s="773" t="s">
        <v>950</v>
      </c>
      <c r="C280" s="991"/>
      <c r="D280" s="991"/>
      <c r="E280" s="991"/>
      <c r="F280" s="979">
        <v>0.05</v>
      </c>
    </row>
    <row r="281" spans="1:6" ht="29" thickBot="1" x14ac:dyDescent="0.25">
      <c r="A281" s="779" t="s">
        <v>530</v>
      </c>
      <c r="B281" s="773" t="s">
        <v>951</v>
      </c>
      <c r="C281" s="991"/>
      <c r="D281" s="991"/>
      <c r="E281" s="991"/>
      <c r="F281" s="979">
        <v>0.05</v>
      </c>
    </row>
    <row r="282" spans="1:6" ht="29" thickBot="1" x14ac:dyDescent="0.25">
      <c r="A282" s="779" t="s">
        <v>530</v>
      </c>
      <c r="B282" s="773" t="s">
        <v>952</v>
      </c>
      <c r="C282" s="991"/>
      <c r="D282" s="991"/>
      <c r="E282" s="991"/>
      <c r="F282" s="979">
        <v>0.05</v>
      </c>
    </row>
    <row r="283" spans="1:6" ht="29" thickBot="1" x14ac:dyDescent="0.25">
      <c r="A283" s="779" t="s">
        <v>530</v>
      </c>
      <c r="B283" s="773" t="s">
        <v>953</v>
      </c>
      <c r="C283" s="991"/>
      <c r="D283" s="991"/>
      <c r="E283" s="991"/>
      <c r="F283" s="979">
        <v>0.05</v>
      </c>
    </row>
    <row r="284" spans="1:6" ht="29" thickBot="1" x14ac:dyDescent="0.25">
      <c r="A284" s="779" t="s">
        <v>530</v>
      </c>
      <c r="B284" s="773" t="s">
        <v>954</v>
      </c>
      <c r="C284" s="991"/>
      <c r="D284" s="991"/>
      <c r="E284" s="991"/>
      <c r="F284" s="979">
        <v>0.05</v>
      </c>
    </row>
    <row r="285" spans="1:6" ht="29" thickBot="1" x14ac:dyDescent="0.25">
      <c r="A285" s="779" t="s">
        <v>530</v>
      </c>
      <c r="B285" s="773" t="s">
        <v>955</v>
      </c>
      <c r="C285" s="991"/>
      <c r="D285" s="991"/>
      <c r="E285" s="991"/>
      <c r="F285" s="979">
        <v>0.05</v>
      </c>
    </row>
    <row r="286" spans="1:6" ht="29" thickBot="1" x14ac:dyDescent="0.25">
      <c r="A286" s="779" t="s">
        <v>530</v>
      </c>
      <c r="B286" s="773" t="s">
        <v>956</v>
      </c>
      <c r="C286" s="991"/>
      <c r="D286" s="991"/>
      <c r="E286" s="991"/>
      <c r="F286" s="979">
        <v>0.05</v>
      </c>
    </row>
    <row r="287" spans="1:6" ht="29" thickBot="1" x14ac:dyDescent="0.25">
      <c r="A287" s="779" t="s">
        <v>530</v>
      </c>
      <c r="B287" s="773" t="s">
        <v>957</v>
      </c>
      <c r="C287" s="991"/>
      <c r="D287" s="991"/>
      <c r="E287" s="991"/>
      <c r="F287" s="979">
        <v>0.05</v>
      </c>
    </row>
    <row r="288" spans="1:6" ht="29" thickBot="1" x14ac:dyDescent="0.25">
      <c r="A288" s="779" t="s">
        <v>530</v>
      </c>
      <c r="B288" s="773" t="s">
        <v>958</v>
      </c>
      <c r="C288" s="991"/>
      <c r="D288" s="991"/>
      <c r="E288" s="991"/>
      <c r="F288" s="979">
        <v>0.05</v>
      </c>
    </row>
    <row r="289" spans="1:6" ht="29" thickBot="1" x14ac:dyDescent="0.25">
      <c r="A289" s="789" t="s">
        <v>530</v>
      </c>
      <c r="B289" s="785" t="s">
        <v>959</v>
      </c>
      <c r="C289" s="988"/>
      <c r="D289" s="988"/>
      <c r="E289" s="988"/>
      <c r="F289" s="981">
        <v>0.05</v>
      </c>
    </row>
    <row r="290" spans="1:6" ht="16" thickBot="1" x14ac:dyDescent="0.25">
      <c r="A290" s="779" t="s">
        <v>534</v>
      </c>
      <c r="B290" s="780" t="s">
        <v>960</v>
      </c>
      <c r="C290" s="976">
        <v>0.15</v>
      </c>
      <c r="D290" s="976">
        <v>0.15</v>
      </c>
      <c r="E290" s="976">
        <v>0.15</v>
      </c>
      <c r="F290" s="993"/>
    </row>
    <row r="291" spans="1:6" ht="16" thickBot="1" x14ac:dyDescent="0.25">
      <c r="A291" s="779" t="s">
        <v>534</v>
      </c>
      <c r="B291" s="773" t="s">
        <v>196</v>
      </c>
      <c r="C291" s="978">
        <v>0.15</v>
      </c>
      <c r="D291" s="978">
        <v>0.15</v>
      </c>
      <c r="E291" s="978">
        <v>0.15</v>
      </c>
      <c r="F291" s="990"/>
    </row>
    <row r="292" spans="1:6" ht="16" thickBot="1" x14ac:dyDescent="0.25">
      <c r="A292" s="779" t="s">
        <v>534</v>
      </c>
      <c r="B292" s="773" t="s">
        <v>961</v>
      </c>
      <c r="C292" s="978">
        <v>0.15</v>
      </c>
      <c r="D292" s="978">
        <v>0.15</v>
      </c>
      <c r="E292" s="978">
        <v>0.15</v>
      </c>
      <c r="F292" s="979">
        <v>0.14699999999999999</v>
      </c>
    </row>
    <row r="293" spans="1:6" ht="16" thickBot="1" x14ac:dyDescent="0.25">
      <c r="A293" s="779" t="s">
        <v>534</v>
      </c>
      <c r="B293" s="773" t="s">
        <v>962</v>
      </c>
      <c r="C293" s="991"/>
      <c r="D293" s="991"/>
      <c r="E293" s="991"/>
      <c r="F293" s="979">
        <v>0.1</v>
      </c>
    </row>
    <row r="294" spans="1:6" ht="16" thickBot="1" x14ac:dyDescent="0.25">
      <c r="A294" s="779" t="s">
        <v>534</v>
      </c>
      <c r="B294" s="773" t="s">
        <v>963</v>
      </c>
      <c r="C294" s="978">
        <v>0.15</v>
      </c>
      <c r="D294" s="978">
        <v>0.15</v>
      </c>
      <c r="E294" s="978">
        <v>0.15</v>
      </c>
      <c r="F294" s="979">
        <v>0.15</v>
      </c>
    </row>
    <row r="295" spans="1:6" ht="16" thickBot="1" x14ac:dyDescent="0.25">
      <c r="A295" s="779" t="s">
        <v>534</v>
      </c>
      <c r="B295" s="773" t="s">
        <v>234</v>
      </c>
      <c r="C295" s="978">
        <v>0.15</v>
      </c>
      <c r="D295" s="978">
        <v>0.15</v>
      </c>
      <c r="E295" s="978">
        <v>0.15</v>
      </c>
      <c r="F295" s="979">
        <v>0.15</v>
      </c>
    </row>
    <row r="296" spans="1:6" ht="16" thickBot="1" x14ac:dyDescent="0.25">
      <c r="A296" s="779" t="s">
        <v>534</v>
      </c>
      <c r="B296" s="773" t="s">
        <v>964</v>
      </c>
      <c r="C296" s="978">
        <v>0.15</v>
      </c>
      <c r="D296" s="978">
        <v>0.15</v>
      </c>
      <c r="E296" s="978">
        <v>0.15</v>
      </c>
      <c r="F296" s="979">
        <v>0.15</v>
      </c>
    </row>
    <row r="297" spans="1:6" ht="16" thickBot="1" x14ac:dyDescent="0.25">
      <c r="A297" s="779" t="s">
        <v>534</v>
      </c>
      <c r="B297" s="773" t="s">
        <v>965</v>
      </c>
      <c r="C297" s="978">
        <v>0.14799999999999999</v>
      </c>
      <c r="D297" s="978">
        <v>0.14899999999999999</v>
      </c>
      <c r="E297" s="978">
        <v>0.15</v>
      </c>
      <c r="F297" s="979">
        <v>0.13700000000000001</v>
      </c>
    </row>
    <row r="298" spans="1:6" ht="16" thickBot="1" x14ac:dyDescent="0.25">
      <c r="A298" s="779" t="s">
        <v>534</v>
      </c>
      <c r="B298" s="773" t="s">
        <v>267</v>
      </c>
      <c r="C298" s="978">
        <v>0.13400000000000001</v>
      </c>
      <c r="D298" s="978">
        <v>0.13400000000000001</v>
      </c>
      <c r="E298" s="978">
        <v>0.14499999999999999</v>
      </c>
      <c r="F298" s="979">
        <v>0.14799999999999999</v>
      </c>
    </row>
    <row r="299" spans="1:6" ht="16" thickBot="1" x14ac:dyDescent="0.25">
      <c r="A299" s="779" t="s">
        <v>534</v>
      </c>
      <c r="B299" s="773" t="s">
        <v>279</v>
      </c>
      <c r="C299" s="978">
        <v>0.15</v>
      </c>
      <c r="D299" s="978">
        <v>0.15</v>
      </c>
      <c r="E299" s="978">
        <v>0.15</v>
      </c>
      <c r="F299" s="990"/>
    </row>
    <row r="300" spans="1:6" ht="16" thickBot="1" x14ac:dyDescent="0.25">
      <c r="A300" s="779" t="s">
        <v>534</v>
      </c>
      <c r="B300" s="773" t="s">
        <v>966</v>
      </c>
      <c r="C300" s="978">
        <v>0.15</v>
      </c>
      <c r="D300" s="978">
        <v>0.15</v>
      </c>
      <c r="E300" s="978">
        <v>0.15</v>
      </c>
      <c r="F300" s="979">
        <v>0.15</v>
      </c>
    </row>
    <row r="301" spans="1:6" ht="16" thickBot="1" x14ac:dyDescent="0.25">
      <c r="A301" s="779" t="s">
        <v>534</v>
      </c>
      <c r="B301" s="773" t="s">
        <v>299</v>
      </c>
      <c r="C301" s="978">
        <v>0.15</v>
      </c>
      <c r="D301" s="978">
        <v>0.15</v>
      </c>
      <c r="E301" s="978">
        <v>0.15</v>
      </c>
      <c r="F301" s="990"/>
    </row>
    <row r="302" spans="1:6" ht="16" thickBot="1" x14ac:dyDescent="0.25">
      <c r="A302" s="779" t="s">
        <v>534</v>
      </c>
      <c r="B302" s="773" t="s">
        <v>967</v>
      </c>
      <c r="C302" s="978">
        <v>0.15</v>
      </c>
      <c r="D302" s="978">
        <v>0.15</v>
      </c>
      <c r="E302" s="978">
        <v>0.15</v>
      </c>
      <c r="F302" s="979">
        <v>0.15</v>
      </c>
    </row>
    <row r="303" spans="1:6" ht="16" thickBot="1" x14ac:dyDescent="0.25">
      <c r="A303" s="779" t="s">
        <v>534</v>
      </c>
      <c r="B303" s="773" t="s">
        <v>319</v>
      </c>
      <c r="C303" s="978">
        <v>0.15</v>
      </c>
      <c r="D303" s="978">
        <v>0.15</v>
      </c>
      <c r="E303" s="978">
        <v>0.15</v>
      </c>
      <c r="F303" s="979">
        <v>0.15</v>
      </c>
    </row>
    <row r="304" spans="1:6" ht="16" thickBot="1" x14ac:dyDescent="0.25">
      <c r="A304" s="779" t="s">
        <v>534</v>
      </c>
      <c r="B304" s="773" t="s">
        <v>330</v>
      </c>
      <c r="C304" s="978">
        <v>0.15</v>
      </c>
      <c r="D304" s="978">
        <v>0.15</v>
      </c>
      <c r="E304" s="978">
        <v>0.15</v>
      </c>
      <c r="F304" s="990"/>
    </row>
    <row r="305" spans="1:6" ht="16" thickBot="1" x14ac:dyDescent="0.25">
      <c r="A305" s="779" t="s">
        <v>534</v>
      </c>
      <c r="B305" s="773" t="s">
        <v>968</v>
      </c>
      <c r="C305" s="978">
        <v>0.15</v>
      </c>
      <c r="D305" s="978">
        <v>0.15</v>
      </c>
      <c r="E305" s="978">
        <v>0.15</v>
      </c>
      <c r="F305" s="979">
        <v>0.14000000000000001</v>
      </c>
    </row>
    <row r="306" spans="1:6" ht="16" thickBot="1" x14ac:dyDescent="0.25">
      <c r="A306" s="779" t="s">
        <v>534</v>
      </c>
      <c r="B306" s="773" t="s">
        <v>351</v>
      </c>
      <c r="C306" s="978">
        <v>0.15</v>
      </c>
      <c r="D306" s="978">
        <v>0.15</v>
      </c>
      <c r="E306" s="978">
        <v>0.15</v>
      </c>
      <c r="F306" s="990"/>
    </row>
    <row r="307" spans="1:6" ht="16" thickBot="1" x14ac:dyDescent="0.25">
      <c r="A307" s="779" t="s">
        <v>534</v>
      </c>
      <c r="B307" s="773" t="s">
        <v>969</v>
      </c>
      <c r="C307" s="978">
        <v>0.15</v>
      </c>
      <c r="D307" s="978">
        <v>0.15</v>
      </c>
      <c r="E307" s="978">
        <v>0.15</v>
      </c>
      <c r="F307" s="979">
        <v>0.14299999999999999</v>
      </c>
    </row>
    <row r="308" spans="1:6" ht="16" thickBot="1" x14ac:dyDescent="0.25">
      <c r="A308" s="779" t="s">
        <v>534</v>
      </c>
      <c r="B308" s="773" t="s">
        <v>371</v>
      </c>
      <c r="C308" s="978">
        <v>0.15</v>
      </c>
      <c r="D308" s="978">
        <v>0.15</v>
      </c>
      <c r="E308" s="978">
        <v>0.15</v>
      </c>
      <c r="F308" s="979">
        <v>0.15</v>
      </c>
    </row>
    <row r="309" spans="1:6" ht="16" thickBot="1" x14ac:dyDescent="0.25">
      <c r="A309" s="779" t="s">
        <v>534</v>
      </c>
      <c r="B309" s="773" t="s">
        <v>381</v>
      </c>
      <c r="C309" s="978">
        <v>0.15</v>
      </c>
      <c r="D309" s="978">
        <v>0.15</v>
      </c>
      <c r="E309" s="978">
        <v>0.15</v>
      </c>
      <c r="F309" s="990"/>
    </row>
    <row r="310" spans="1:6" ht="16" thickBot="1" x14ac:dyDescent="0.25">
      <c r="A310" s="779" t="s">
        <v>534</v>
      </c>
      <c r="B310" s="773" t="s">
        <v>970</v>
      </c>
      <c r="C310" s="978">
        <v>0.15</v>
      </c>
      <c r="D310" s="978">
        <v>0.15</v>
      </c>
      <c r="E310" s="978">
        <v>0.15</v>
      </c>
      <c r="F310" s="979">
        <v>0.13700000000000001</v>
      </c>
    </row>
    <row r="311" spans="1:6" ht="16" thickBot="1" x14ac:dyDescent="0.25">
      <c r="A311" s="779" t="s">
        <v>534</v>
      </c>
      <c r="B311" s="773" t="s">
        <v>971</v>
      </c>
      <c r="C311" s="978">
        <v>0.15</v>
      </c>
      <c r="D311" s="978">
        <v>0.15</v>
      </c>
      <c r="E311" s="978">
        <v>0.15</v>
      </c>
      <c r="F311" s="979">
        <v>0.15</v>
      </c>
    </row>
    <row r="312" spans="1:6" ht="16" thickBot="1" x14ac:dyDescent="0.25">
      <c r="A312" s="779" t="s">
        <v>534</v>
      </c>
      <c r="B312" s="773" t="s">
        <v>407</v>
      </c>
      <c r="C312" s="978">
        <v>0.15</v>
      </c>
      <c r="D312" s="978">
        <v>0.15</v>
      </c>
      <c r="E312" s="978">
        <v>0.15</v>
      </c>
      <c r="F312" s="979">
        <v>0.1</v>
      </c>
    </row>
    <row r="313" spans="1:6" ht="16" thickBot="1" x14ac:dyDescent="0.25">
      <c r="A313" s="779" t="s">
        <v>534</v>
      </c>
      <c r="B313" s="773" t="s">
        <v>972</v>
      </c>
      <c r="C313" s="978">
        <v>0.15</v>
      </c>
      <c r="D313" s="978">
        <v>0.15</v>
      </c>
      <c r="E313" s="978">
        <v>0.15</v>
      </c>
      <c r="F313" s="979">
        <v>0.15</v>
      </c>
    </row>
    <row r="314" spans="1:6" ht="29" thickBot="1" x14ac:dyDescent="0.25">
      <c r="A314" s="779" t="s">
        <v>534</v>
      </c>
      <c r="B314" s="773" t="s">
        <v>973</v>
      </c>
      <c r="C314" s="991"/>
      <c r="D314" s="991"/>
      <c r="E314" s="991"/>
      <c r="F314" s="979">
        <v>0.05</v>
      </c>
    </row>
    <row r="315" spans="1:6" ht="29" thickBot="1" x14ac:dyDescent="0.25">
      <c r="A315" s="779" t="s">
        <v>534</v>
      </c>
      <c r="B315" s="773" t="s">
        <v>974</v>
      </c>
      <c r="C315" s="991"/>
      <c r="D315" s="991"/>
      <c r="E315" s="991"/>
      <c r="F315" s="979">
        <v>0.05</v>
      </c>
    </row>
    <row r="316" spans="1:6" ht="29" thickBot="1" x14ac:dyDescent="0.25">
      <c r="A316" s="789" t="s">
        <v>534</v>
      </c>
      <c r="B316" s="785" t="s">
        <v>975</v>
      </c>
      <c r="C316" s="988"/>
      <c r="D316" s="988"/>
      <c r="E316" s="988"/>
      <c r="F316" s="981">
        <v>0.05</v>
      </c>
    </row>
    <row r="317" spans="1:6" ht="16" thickBot="1" x14ac:dyDescent="0.25">
      <c r="A317" s="779" t="s">
        <v>976</v>
      </c>
      <c r="B317" s="780" t="s">
        <v>977</v>
      </c>
      <c r="C317" s="976">
        <v>0.15</v>
      </c>
      <c r="D317" s="976">
        <v>0.15</v>
      </c>
      <c r="E317" s="976">
        <v>0.15</v>
      </c>
      <c r="F317" s="977">
        <v>0.15</v>
      </c>
    </row>
    <row r="318" spans="1:6" ht="16" thickBot="1" x14ac:dyDescent="0.25">
      <c r="A318" s="779" t="s">
        <v>976</v>
      </c>
      <c r="B318" s="773" t="s">
        <v>978</v>
      </c>
      <c r="C318" s="978">
        <v>0.107</v>
      </c>
      <c r="D318" s="978">
        <v>0.11</v>
      </c>
      <c r="E318" s="978">
        <v>0.112</v>
      </c>
      <c r="F318" s="990"/>
    </row>
    <row r="319" spans="1:6" ht="16" thickBot="1" x14ac:dyDescent="0.25">
      <c r="A319" s="779" t="s">
        <v>976</v>
      </c>
      <c r="B319" s="773" t="s">
        <v>979</v>
      </c>
      <c r="C319" s="978">
        <v>0.15</v>
      </c>
      <c r="D319" s="978">
        <v>0.15</v>
      </c>
      <c r="E319" s="978">
        <v>0.15</v>
      </c>
      <c r="F319" s="979">
        <v>0.15</v>
      </c>
    </row>
    <row r="320" spans="1:6" ht="16" thickBot="1" x14ac:dyDescent="0.25">
      <c r="A320" s="779" t="s">
        <v>976</v>
      </c>
      <c r="B320" s="773" t="s">
        <v>223</v>
      </c>
      <c r="C320" s="978">
        <v>0.15</v>
      </c>
      <c r="D320" s="978">
        <v>0.15</v>
      </c>
      <c r="E320" s="978">
        <v>0.15</v>
      </c>
      <c r="F320" s="990"/>
    </row>
    <row r="321" spans="1:6" ht="16" thickBot="1" x14ac:dyDescent="0.25">
      <c r="A321" s="779" t="s">
        <v>976</v>
      </c>
      <c r="B321" s="773" t="s">
        <v>980</v>
      </c>
      <c r="C321" s="978">
        <v>0.15</v>
      </c>
      <c r="D321" s="978">
        <v>0.15</v>
      </c>
      <c r="E321" s="978">
        <v>0.15</v>
      </c>
      <c r="F321" s="990"/>
    </row>
    <row r="322" spans="1:6" ht="16" thickBot="1" x14ac:dyDescent="0.25">
      <c r="A322" s="779" t="s">
        <v>976</v>
      </c>
      <c r="B322" s="773" t="s">
        <v>981</v>
      </c>
      <c r="C322" s="978">
        <v>0.15</v>
      </c>
      <c r="D322" s="978">
        <v>0.15</v>
      </c>
      <c r="E322" s="978">
        <v>0.15</v>
      </c>
      <c r="F322" s="979">
        <v>0.15</v>
      </c>
    </row>
    <row r="323" spans="1:6" ht="16" thickBot="1" x14ac:dyDescent="0.25">
      <c r="A323" s="779" t="s">
        <v>976</v>
      </c>
      <c r="B323" s="773" t="s">
        <v>982</v>
      </c>
      <c r="C323" s="978">
        <v>0.15</v>
      </c>
      <c r="D323" s="978">
        <v>0.15</v>
      </c>
      <c r="E323" s="978">
        <v>0.15</v>
      </c>
      <c r="F323" s="990"/>
    </row>
    <row r="324" spans="1:6" ht="16" thickBot="1" x14ac:dyDescent="0.25">
      <c r="A324" s="779" t="s">
        <v>976</v>
      </c>
      <c r="B324" s="773" t="s">
        <v>983</v>
      </c>
      <c r="C324" s="978">
        <v>0.15</v>
      </c>
      <c r="D324" s="978">
        <v>0.15</v>
      </c>
      <c r="E324" s="978">
        <v>0.15</v>
      </c>
      <c r="F324" s="990"/>
    </row>
    <row r="325" spans="1:6" ht="16" thickBot="1" x14ac:dyDescent="0.25">
      <c r="A325" s="779" t="s">
        <v>976</v>
      </c>
      <c r="B325" s="773" t="s">
        <v>984</v>
      </c>
      <c r="C325" s="978">
        <v>0.15</v>
      </c>
      <c r="D325" s="978">
        <v>0.15</v>
      </c>
      <c r="E325" s="978">
        <v>0.15</v>
      </c>
      <c r="F325" s="979">
        <v>0.14699999999999999</v>
      </c>
    </row>
    <row r="326" spans="1:6" ht="16" thickBot="1" x14ac:dyDescent="0.25">
      <c r="A326" s="779" t="s">
        <v>976</v>
      </c>
      <c r="B326" s="773" t="s">
        <v>290</v>
      </c>
      <c r="C326" s="978">
        <v>0.15</v>
      </c>
      <c r="D326" s="978">
        <v>0.15</v>
      </c>
      <c r="E326" s="978">
        <v>0.15</v>
      </c>
      <c r="F326" s="990"/>
    </row>
    <row r="327" spans="1:6" ht="16" thickBot="1" x14ac:dyDescent="0.25">
      <c r="A327" s="779" t="s">
        <v>976</v>
      </c>
      <c r="B327" s="773" t="s">
        <v>985</v>
      </c>
      <c r="C327" s="978">
        <v>0.15</v>
      </c>
      <c r="D327" s="978">
        <v>0.15</v>
      </c>
      <c r="E327" s="978">
        <v>0.15</v>
      </c>
      <c r="F327" s="979">
        <v>0.15</v>
      </c>
    </row>
    <row r="328" spans="1:6" ht="16" thickBot="1" x14ac:dyDescent="0.25">
      <c r="A328" s="779" t="s">
        <v>976</v>
      </c>
      <c r="B328" s="773" t="s">
        <v>310</v>
      </c>
      <c r="C328" s="978">
        <v>0.15</v>
      </c>
      <c r="D328" s="978">
        <v>0.15</v>
      </c>
      <c r="E328" s="978">
        <v>0.15</v>
      </c>
      <c r="F328" s="979">
        <v>0.14099999999999999</v>
      </c>
    </row>
    <row r="329" spans="1:6" ht="16" thickBot="1" x14ac:dyDescent="0.25">
      <c r="A329" s="779" t="s">
        <v>976</v>
      </c>
      <c r="B329" s="773" t="s">
        <v>320</v>
      </c>
      <c r="C329" s="978">
        <v>0.15</v>
      </c>
      <c r="D329" s="978">
        <v>0.15</v>
      </c>
      <c r="E329" s="978">
        <v>0.15</v>
      </c>
      <c r="F329" s="979">
        <v>0.15</v>
      </c>
    </row>
    <row r="330" spans="1:6" ht="16" thickBot="1" x14ac:dyDescent="0.25">
      <c r="A330" s="779" t="s">
        <v>976</v>
      </c>
      <c r="B330" s="773" t="s">
        <v>331</v>
      </c>
      <c r="C330" s="978">
        <v>0.15</v>
      </c>
      <c r="D330" s="978">
        <v>0.15</v>
      </c>
      <c r="E330" s="978">
        <v>0.15</v>
      </c>
      <c r="F330" s="990"/>
    </row>
    <row r="331" spans="1:6" ht="16" thickBot="1" x14ac:dyDescent="0.25">
      <c r="A331" s="779" t="s">
        <v>976</v>
      </c>
      <c r="B331" s="773" t="s">
        <v>986</v>
      </c>
      <c r="C331" s="978">
        <v>0.15</v>
      </c>
      <c r="D331" s="978">
        <v>0.15</v>
      </c>
      <c r="E331" s="978">
        <v>0.15</v>
      </c>
      <c r="F331" s="979">
        <v>0.15</v>
      </c>
    </row>
    <row r="332" spans="1:6" ht="16" thickBot="1" x14ac:dyDescent="0.25">
      <c r="A332" s="779" t="s">
        <v>976</v>
      </c>
      <c r="B332" s="773" t="s">
        <v>352</v>
      </c>
      <c r="C332" s="978">
        <v>0.15</v>
      </c>
      <c r="D332" s="978">
        <v>0.15</v>
      </c>
      <c r="E332" s="978">
        <v>0.15</v>
      </c>
      <c r="F332" s="979">
        <v>0.15</v>
      </c>
    </row>
    <row r="333" spans="1:6" ht="16" thickBot="1" x14ac:dyDescent="0.25">
      <c r="A333" s="779" t="s">
        <v>976</v>
      </c>
      <c r="B333" s="773" t="s">
        <v>987</v>
      </c>
      <c r="C333" s="978">
        <v>0.15</v>
      </c>
      <c r="D333" s="978">
        <v>0.15</v>
      </c>
      <c r="E333" s="978">
        <v>0.15</v>
      </c>
      <c r="F333" s="979">
        <v>0.14099999999999999</v>
      </c>
    </row>
    <row r="334" spans="1:6" ht="16" thickBot="1" x14ac:dyDescent="0.25">
      <c r="A334" s="779" t="s">
        <v>976</v>
      </c>
      <c r="B334" s="773" t="s">
        <v>372</v>
      </c>
      <c r="C334" s="978">
        <v>0.15</v>
      </c>
      <c r="D334" s="978">
        <v>0.15</v>
      </c>
      <c r="E334" s="978">
        <v>0.15</v>
      </c>
      <c r="F334" s="979">
        <v>0.15</v>
      </c>
    </row>
    <row r="335" spans="1:6" ht="16" thickBot="1" x14ac:dyDescent="0.25">
      <c r="A335" s="779" t="s">
        <v>976</v>
      </c>
      <c r="B335" s="773" t="s">
        <v>382</v>
      </c>
      <c r="C335" s="978">
        <v>0.15</v>
      </c>
      <c r="D335" s="978">
        <v>0.15</v>
      </c>
      <c r="E335" s="978">
        <v>0.15</v>
      </c>
      <c r="F335" s="990"/>
    </row>
    <row r="336" spans="1:6" ht="16" thickBot="1" x14ac:dyDescent="0.25">
      <c r="A336" s="779" t="s">
        <v>976</v>
      </c>
      <c r="B336" s="773" t="s">
        <v>988</v>
      </c>
      <c r="C336" s="978">
        <v>0.15</v>
      </c>
      <c r="D336" s="978">
        <v>0.15</v>
      </c>
      <c r="E336" s="978">
        <v>0.15</v>
      </c>
      <c r="F336" s="979">
        <v>0.11799999999999999</v>
      </c>
    </row>
    <row r="337" spans="1:6" ht="16" thickBot="1" x14ac:dyDescent="0.25">
      <c r="A337" s="789" t="s">
        <v>976</v>
      </c>
      <c r="B337" s="785" t="s">
        <v>400</v>
      </c>
      <c r="C337" s="988"/>
      <c r="D337" s="988"/>
      <c r="E337" s="988"/>
      <c r="F337" s="981">
        <v>0.14299999999999999</v>
      </c>
    </row>
    <row r="338" spans="1:6" ht="16" thickBot="1" x14ac:dyDescent="0.25">
      <c r="A338" s="779" t="s">
        <v>989</v>
      </c>
      <c r="B338" s="780" t="s">
        <v>990</v>
      </c>
      <c r="C338" s="976">
        <v>0.15</v>
      </c>
      <c r="D338" s="976">
        <v>0.15</v>
      </c>
      <c r="E338" s="976">
        <v>0.15</v>
      </c>
      <c r="F338" s="993"/>
    </row>
    <row r="339" spans="1:6" ht="16" thickBot="1" x14ac:dyDescent="0.25">
      <c r="A339" s="779" t="s">
        <v>989</v>
      </c>
      <c r="B339" s="773" t="s">
        <v>991</v>
      </c>
      <c r="C339" s="978">
        <v>0.15</v>
      </c>
      <c r="D339" s="978">
        <v>0.15</v>
      </c>
      <c r="E339" s="978">
        <v>0.15</v>
      </c>
      <c r="F339" s="990"/>
    </row>
    <row r="340" spans="1:6" ht="16" thickBot="1" x14ac:dyDescent="0.25">
      <c r="A340" s="779" t="s">
        <v>989</v>
      </c>
      <c r="B340" s="773" t="s">
        <v>992</v>
      </c>
      <c r="C340" s="978">
        <v>0.15</v>
      </c>
      <c r="D340" s="978">
        <v>0.15</v>
      </c>
      <c r="E340" s="978">
        <v>0.15</v>
      </c>
      <c r="F340" s="990"/>
    </row>
    <row r="341" spans="1:6" ht="16" thickBot="1" x14ac:dyDescent="0.25">
      <c r="A341" s="779" t="s">
        <v>989</v>
      </c>
      <c r="B341" s="773" t="s">
        <v>993</v>
      </c>
      <c r="C341" s="978">
        <v>0.15</v>
      </c>
      <c r="D341" s="978">
        <v>0.15</v>
      </c>
      <c r="E341" s="978">
        <v>0.15</v>
      </c>
      <c r="F341" s="979">
        <v>0.15</v>
      </c>
    </row>
    <row r="342" spans="1:6" ht="16" thickBot="1" x14ac:dyDescent="0.25">
      <c r="A342" s="779" t="s">
        <v>989</v>
      </c>
      <c r="B342" s="773" t="s">
        <v>994</v>
      </c>
      <c r="C342" s="978">
        <v>0.15</v>
      </c>
      <c r="D342" s="978">
        <v>0.15</v>
      </c>
      <c r="E342" s="978">
        <v>0.15</v>
      </c>
      <c r="F342" s="979">
        <v>0.15</v>
      </c>
    </row>
    <row r="343" spans="1:6" ht="16" thickBot="1" x14ac:dyDescent="0.25">
      <c r="A343" s="779" t="s">
        <v>989</v>
      </c>
      <c r="B343" s="773" t="s">
        <v>995</v>
      </c>
      <c r="C343" s="978">
        <v>0.15</v>
      </c>
      <c r="D343" s="978">
        <v>0.15</v>
      </c>
      <c r="E343" s="978">
        <v>0.15</v>
      </c>
      <c r="F343" s="979">
        <v>0.15</v>
      </c>
    </row>
    <row r="344" spans="1:6" ht="16" thickBot="1" x14ac:dyDescent="0.25">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dimension ref="A1:IW63"/>
  <sheetViews>
    <sheetView workbookViewId="0">
      <selection activeCell="I1" sqref="I1"/>
    </sheetView>
  </sheetViews>
  <sheetFormatPr baseColWidth="10" defaultColWidth="8.83203125" defaultRowHeight="15" x14ac:dyDescent="0.2"/>
  <cols>
    <col min="1" max="1" width="4.83203125" style="1410" customWidth="1"/>
    <col min="2" max="2" width="13.1640625" style="1416" customWidth="1"/>
    <col min="3" max="3" width="15.6640625" style="1416" customWidth="1"/>
    <col min="4" max="4" width="9.33203125" style="1416" bestFit="1" customWidth="1"/>
    <col min="5" max="5" width="13.5" style="1416" customWidth="1"/>
    <col min="6" max="6" width="8.83203125" style="1416"/>
    <col min="7" max="7" width="9.33203125" style="1416" bestFit="1" customWidth="1"/>
    <col min="8" max="8" width="12.1640625" style="1416" customWidth="1"/>
    <col min="9" max="9" width="8.83203125" style="1416"/>
    <col min="10" max="10" width="9.33203125" style="1416" bestFit="1" customWidth="1"/>
    <col min="11" max="11" width="4" style="1410" customWidth="1"/>
    <col min="12" max="12" width="5.1640625" style="1416" customWidth="1"/>
    <col min="13" max="13" width="13.6640625" style="1416" customWidth="1"/>
    <col min="14" max="256" width="8.83203125" style="1416"/>
    <col min="257" max="257" width="4.83203125" style="1407" customWidth="1"/>
    <col min="258" max="258" width="13.1640625" style="1407" customWidth="1"/>
    <col min="259" max="259" width="15.6640625" style="1407" customWidth="1"/>
    <col min="260" max="260" width="9.33203125" style="1407" bestFit="1" customWidth="1"/>
    <col min="261" max="261" width="13.5" style="1407" customWidth="1"/>
    <col min="262" max="262" width="8.83203125" style="1407"/>
    <col min="263" max="263" width="9.33203125" style="1407" bestFit="1" customWidth="1"/>
    <col min="264" max="265" width="8.83203125" style="1407"/>
    <col min="266" max="266" width="9.33203125" style="1407" bestFit="1" customWidth="1"/>
    <col min="267" max="267" width="4" style="1407" customWidth="1"/>
    <col min="268" max="268" width="5.1640625" style="1407" customWidth="1"/>
    <col min="269" max="269" width="13.6640625" style="1407" customWidth="1"/>
    <col min="270" max="512" width="8.83203125" style="1407"/>
    <col min="513" max="513" width="4.83203125" style="1407" customWidth="1"/>
    <col min="514" max="514" width="13.1640625" style="1407" customWidth="1"/>
    <col min="515" max="515" width="15.6640625" style="1407" customWidth="1"/>
    <col min="516" max="516" width="9.33203125" style="1407" bestFit="1" customWidth="1"/>
    <col min="517" max="517" width="13.5" style="1407" customWidth="1"/>
    <col min="518" max="518" width="8.83203125" style="1407"/>
    <col min="519" max="519" width="9.33203125" style="1407" bestFit="1" customWidth="1"/>
    <col min="520" max="521" width="8.83203125" style="1407"/>
    <col min="522" max="522" width="9.33203125" style="1407" bestFit="1" customWidth="1"/>
    <col min="523" max="523" width="4" style="1407" customWidth="1"/>
    <col min="524" max="524" width="5.1640625" style="1407" customWidth="1"/>
    <col min="525" max="525" width="13.6640625" style="1407" customWidth="1"/>
    <col min="526" max="768" width="8.83203125" style="1407"/>
    <col min="769" max="769" width="4.83203125" style="1407" customWidth="1"/>
    <col min="770" max="770" width="13.1640625" style="1407" customWidth="1"/>
    <col min="771" max="771" width="15.6640625" style="1407" customWidth="1"/>
    <col min="772" max="772" width="9.33203125" style="1407" bestFit="1" customWidth="1"/>
    <col min="773" max="773" width="13.5" style="1407" customWidth="1"/>
    <col min="774" max="774" width="8.83203125" style="1407"/>
    <col min="775" max="775" width="9.33203125" style="1407" bestFit="1" customWidth="1"/>
    <col min="776" max="777" width="8.83203125" style="1407"/>
    <col min="778" max="778" width="9.33203125" style="1407" bestFit="1" customWidth="1"/>
    <col min="779" max="779" width="4" style="1407" customWidth="1"/>
    <col min="780" max="780" width="5.1640625" style="1407" customWidth="1"/>
    <col min="781" max="781" width="13.6640625" style="1407" customWidth="1"/>
    <col min="782" max="1024" width="8.83203125" style="1407"/>
    <col min="1025" max="1025" width="4.83203125" style="1407" customWidth="1"/>
    <col min="1026" max="1026" width="13.1640625" style="1407" customWidth="1"/>
    <col min="1027" max="1027" width="15.6640625" style="1407" customWidth="1"/>
    <col min="1028" max="1028" width="9.33203125" style="1407" bestFit="1" customWidth="1"/>
    <col min="1029" max="1029" width="13.5" style="1407" customWidth="1"/>
    <col min="1030" max="1030" width="8.83203125" style="1407"/>
    <col min="1031" max="1031" width="9.33203125" style="1407" bestFit="1" customWidth="1"/>
    <col min="1032" max="1033" width="8.83203125" style="1407"/>
    <col min="1034" max="1034" width="9.33203125" style="1407" bestFit="1" customWidth="1"/>
    <col min="1035" max="1035" width="4" style="1407" customWidth="1"/>
    <col min="1036" max="1036" width="5.1640625" style="1407" customWidth="1"/>
    <col min="1037" max="1037" width="13.6640625" style="1407" customWidth="1"/>
    <col min="1038" max="1280" width="8.83203125" style="1407"/>
    <col min="1281" max="1281" width="4.83203125" style="1407" customWidth="1"/>
    <col min="1282" max="1282" width="13.1640625" style="1407" customWidth="1"/>
    <col min="1283" max="1283" width="15.6640625" style="1407" customWidth="1"/>
    <col min="1284" max="1284" width="9.33203125" style="1407" bestFit="1" customWidth="1"/>
    <col min="1285" max="1285" width="13.5" style="1407" customWidth="1"/>
    <col min="1286" max="1286" width="8.83203125" style="1407"/>
    <col min="1287" max="1287" width="9.33203125" style="1407" bestFit="1" customWidth="1"/>
    <col min="1288" max="1289" width="8.83203125" style="1407"/>
    <col min="1290" max="1290" width="9.33203125" style="1407" bestFit="1" customWidth="1"/>
    <col min="1291" max="1291" width="4" style="1407" customWidth="1"/>
    <col min="1292" max="1292" width="5.1640625" style="1407" customWidth="1"/>
    <col min="1293" max="1293" width="13.6640625" style="1407" customWidth="1"/>
    <col min="1294" max="1536" width="8.83203125" style="1407"/>
    <col min="1537" max="1537" width="4.83203125" style="1407" customWidth="1"/>
    <col min="1538" max="1538" width="13.1640625" style="1407" customWidth="1"/>
    <col min="1539" max="1539" width="15.6640625" style="1407" customWidth="1"/>
    <col min="1540" max="1540" width="9.33203125" style="1407" bestFit="1" customWidth="1"/>
    <col min="1541" max="1541" width="13.5" style="1407" customWidth="1"/>
    <col min="1542" max="1542" width="8.83203125" style="1407"/>
    <col min="1543" max="1543" width="9.33203125" style="1407" bestFit="1" customWidth="1"/>
    <col min="1544" max="1545" width="8.83203125" style="1407"/>
    <col min="1546" max="1546" width="9.33203125" style="1407" bestFit="1" customWidth="1"/>
    <col min="1547" max="1547" width="4" style="1407" customWidth="1"/>
    <col min="1548" max="1548" width="5.1640625" style="1407" customWidth="1"/>
    <col min="1549" max="1549" width="13.6640625" style="1407" customWidth="1"/>
    <col min="1550" max="1792" width="8.83203125" style="1407"/>
    <col min="1793" max="1793" width="4.83203125" style="1407" customWidth="1"/>
    <col min="1794" max="1794" width="13.1640625" style="1407" customWidth="1"/>
    <col min="1795" max="1795" width="15.6640625" style="1407" customWidth="1"/>
    <col min="1796" max="1796" width="9.33203125" style="1407" bestFit="1" customWidth="1"/>
    <col min="1797" max="1797" width="13.5" style="1407" customWidth="1"/>
    <col min="1798" max="1798" width="8.83203125" style="1407"/>
    <col min="1799" max="1799" width="9.33203125" style="1407" bestFit="1" customWidth="1"/>
    <col min="1800" max="1801" width="8.83203125" style="1407"/>
    <col min="1802" max="1802" width="9.33203125" style="1407" bestFit="1" customWidth="1"/>
    <col min="1803" max="1803" width="4" style="1407" customWidth="1"/>
    <col min="1804" max="1804" width="5.1640625" style="1407" customWidth="1"/>
    <col min="1805" max="1805" width="13.6640625" style="1407" customWidth="1"/>
    <col min="1806" max="2048" width="8.83203125" style="1407"/>
    <col min="2049" max="2049" width="4.83203125" style="1407" customWidth="1"/>
    <col min="2050" max="2050" width="13.1640625" style="1407" customWidth="1"/>
    <col min="2051" max="2051" width="15.6640625" style="1407" customWidth="1"/>
    <col min="2052" max="2052" width="9.33203125" style="1407" bestFit="1" customWidth="1"/>
    <col min="2053" max="2053" width="13.5" style="1407" customWidth="1"/>
    <col min="2054" max="2054" width="8.83203125" style="1407"/>
    <col min="2055" max="2055" width="9.33203125" style="1407" bestFit="1" customWidth="1"/>
    <col min="2056" max="2057" width="8.83203125" style="1407"/>
    <col min="2058" max="2058" width="9.33203125" style="1407" bestFit="1" customWidth="1"/>
    <col min="2059" max="2059" width="4" style="1407" customWidth="1"/>
    <col min="2060" max="2060" width="5.1640625" style="1407" customWidth="1"/>
    <col min="2061" max="2061" width="13.6640625" style="1407" customWidth="1"/>
    <col min="2062" max="2304" width="8.83203125" style="1407"/>
    <col min="2305" max="2305" width="4.83203125" style="1407" customWidth="1"/>
    <col min="2306" max="2306" width="13.1640625" style="1407" customWidth="1"/>
    <col min="2307" max="2307" width="15.6640625" style="1407" customWidth="1"/>
    <col min="2308" max="2308" width="9.33203125" style="1407" bestFit="1" customWidth="1"/>
    <col min="2309" max="2309" width="13.5" style="1407" customWidth="1"/>
    <col min="2310" max="2310" width="8.83203125" style="1407"/>
    <col min="2311" max="2311" width="9.33203125" style="1407" bestFit="1" customWidth="1"/>
    <col min="2312" max="2313" width="8.83203125" style="1407"/>
    <col min="2314" max="2314" width="9.33203125" style="1407" bestFit="1" customWidth="1"/>
    <col min="2315" max="2315" width="4" style="1407" customWidth="1"/>
    <col min="2316" max="2316" width="5.1640625" style="1407" customWidth="1"/>
    <col min="2317" max="2317" width="13.6640625" style="1407" customWidth="1"/>
    <col min="2318" max="2560" width="8.83203125" style="1407"/>
    <col min="2561" max="2561" width="4.83203125" style="1407" customWidth="1"/>
    <col min="2562" max="2562" width="13.1640625" style="1407" customWidth="1"/>
    <col min="2563" max="2563" width="15.6640625" style="1407" customWidth="1"/>
    <col min="2564" max="2564" width="9.33203125" style="1407" bestFit="1" customWidth="1"/>
    <col min="2565" max="2565" width="13.5" style="1407" customWidth="1"/>
    <col min="2566" max="2566" width="8.83203125" style="1407"/>
    <col min="2567" max="2567" width="9.33203125" style="1407" bestFit="1" customWidth="1"/>
    <col min="2568" max="2569" width="8.83203125" style="1407"/>
    <col min="2570" max="2570" width="9.33203125" style="1407" bestFit="1" customWidth="1"/>
    <col min="2571" max="2571" width="4" style="1407" customWidth="1"/>
    <col min="2572" max="2572" width="5.1640625" style="1407" customWidth="1"/>
    <col min="2573" max="2573" width="13.6640625" style="1407" customWidth="1"/>
    <col min="2574" max="2816" width="8.83203125" style="1407"/>
    <col min="2817" max="2817" width="4.83203125" style="1407" customWidth="1"/>
    <col min="2818" max="2818" width="13.1640625" style="1407" customWidth="1"/>
    <col min="2819" max="2819" width="15.6640625" style="1407" customWidth="1"/>
    <col min="2820" max="2820" width="9.33203125" style="1407" bestFit="1" customWidth="1"/>
    <col min="2821" max="2821" width="13.5" style="1407" customWidth="1"/>
    <col min="2822" max="2822" width="8.83203125" style="1407"/>
    <col min="2823" max="2823" width="9.33203125" style="1407" bestFit="1" customWidth="1"/>
    <col min="2824" max="2825" width="8.83203125" style="1407"/>
    <col min="2826" max="2826" width="9.33203125" style="1407" bestFit="1" customWidth="1"/>
    <col min="2827" max="2827" width="4" style="1407" customWidth="1"/>
    <col min="2828" max="2828" width="5.1640625" style="1407" customWidth="1"/>
    <col min="2829" max="2829" width="13.6640625" style="1407" customWidth="1"/>
    <col min="2830" max="3072" width="8.83203125" style="1407"/>
    <col min="3073" max="3073" width="4.83203125" style="1407" customWidth="1"/>
    <col min="3074" max="3074" width="13.1640625" style="1407" customWidth="1"/>
    <col min="3075" max="3075" width="15.6640625" style="1407" customWidth="1"/>
    <col min="3076" max="3076" width="9.33203125" style="1407" bestFit="1" customWidth="1"/>
    <col min="3077" max="3077" width="13.5" style="1407" customWidth="1"/>
    <col min="3078" max="3078" width="8.83203125" style="1407"/>
    <col min="3079" max="3079" width="9.33203125" style="1407" bestFit="1" customWidth="1"/>
    <col min="3080" max="3081" width="8.83203125" style="1407"/>
    <col min="3082" max="3082" width="9.33203125" style="1407" bestFit="1" customWidth="1"/>
    <col min="3083" max="3083" width="4" style="1407" customWidth="1"/>
    <col min="3084" max="3084" width="5.1640625" style="1407" customWidth="1"/>
    <col min="3085" max="3085" width="13.6640625" style="1407" customWidth="1"/>
    <col min="3086" max="3328" width="8.83203125" style="1407"/>
    <col min="3329" max="3329" width="4.83203125" style="1407" customWidth="1"/>
    <col min="3330" max="3330" width="13.1640625" style="1407" customWidth="1"/>
    <col min="3331" max="3331" width="15.6640625" style="1407" customWidth="1"/>
    <col min="3332" max="3332" width="9.33203125" style="1407" bestFit="1" customWidth="1"/>
    <col min="3333" max="3333" width="13.5" style="1407" customWidth="1"/>
    <col min="3334" max="3334" width="8.83203125" style="1407"/>
    <col min="3335" max="3335" width="9.33203125" style="1407" bestFit="1" customWidth="1"/>
    <col min="3336" max="3337" width="8.83203125" style="1407"/>
    <col min="3338" max="3338" width="9.33203125" style="1407" bestFit="1" customWidth="1"/>
    <col min="3339" max="3339" width="4" style="1407" customWidth="1"/>
    <col min="3340" max="3340" width="5.1640625" style="1407" customWidth="1"/>
    <col min="3341" max="3341" width="13.6640625" style="1407" customWidth="1"/>
    <col min="3342" max="3584" width="8.83203125" style="1407"/>
    <col min="3585" max="3585" width="4.83203125" style="1407" customWidth="1"/>
    <col min="3586" max="3586" width="13.1640625" style="1407" customWidth="1"/>
    <col min="3587" max="3587" width="15.6640625" style="1407" customWidth="1"/>
    <col min="3588" max="3588" width="9.33203125" style="1407" bestFit="1" customWidth="1"/>
    <col min="3589" max="3589" width="13.5" style="1407" customWidth="1"/>
    <col min="3590" max="3590" width="8.83203125" style="1407"/>
    <col min="3591" max="3591" width="9.33203125" style="1407" bestFit="1" customWidth="1"/>
    <col min="3592" max="3593" width="8.83203125" style="1407"/>
    <col min="3594" max="3594" width="9.33203125" style="1407" bestFit="1" customWidth="1"/>
    <col min="3595" max="3595" width="4" style="1407" customWidth="1"/>
    <col min="3596" max="3596" width="5.1640625" style="1407" customWidth="1"/>
    <col min="3597" max="3597" width="13.6640625" style="1407" customWidth="1"/>
    <col min="3598" max="3840" width="8.83203125" style="1407"/>
    <col min="3841" max="3841" width="4.83203125" style="1407" customWidth="1"/>
    <col min="3842" max="3842" width="13.1640625" style="1407" customWidth="1"/>
    <col min="3843" max="3843" width="15.6640625" style="1407" customWidth="1"/>
    <col min="3844" max="3844" width="9.33203125" style="1407" bestFit="1" customWidth="1"/>
    <col min="3845" max="3845" width="13.5" style="1407" customWidth="1"/>
    <col min="3846" max="3846" width="8.83203125" style="1407"/>
    <col min="3847" max="3847" width="9.33203125" style="1407" bestFit="1" customWidth="1"/>
    <col min="3848" max="3849" width="8.83203125" style="1407"/>
    <col min="3850" max="3850" width="9.33203125" style="1407" bestFit="1" customWidth="1"/>
    <col min="3851" max="3851" width="4" style="1407" customWidth="1"/>
    <col min="3852" max="3852" width="5.1640625" style="1407" customWidth="1"/>
    <col min="3853" max="3853" width="13.6640625" style="1407" customWidth="1"/>
    <col min="3854" max="4096" width="8.83203125" style="1407"/>
    <col min="4097" max="4097" width="4.83203125" style="1407" customWidth="1"/>
    <col min="4098" max="4098" width="13.1640625" style="1407" customWidth="1"/>
    <col min="4099" max="4099" width="15.6640625" style="1407" customWidth="1"/>
    <col min="4100" max="4100" width="9.33203125" style="1407" bestFit="1" customWidth="1"/>
    <col min="4101" max="4101" width="13.5" style="1407" customWidth="1"/>
    <col min="4102" max="4102" width="8.83203125" style="1407"/>
    <col min="4103" max="4103" width="9.33203125" style="1407" bestFit="1" customWidth="1"/>
    <col min="4104" max="4105" width="8.83203125" style="1407"/>
    <col min="4106" max="4106" width="9.33203125" style="1407" bestFit="1" customWidth="1"/>
    <col min="4107" max="4107" width="4" style="1407" customWidth="1"/>
    <col min="4108" max="4108" width="5.1640625" style="1407" customWidth="1"/>
    <col min="4109" max="4109" width="13.6640625" style="1407" customWidth="1"/>
    <col min="4110" max="4352" width="8.83203125" style="1407"/>
    <col min="4353" max="4353" width="4.83203125" style="1407" customWidth="1"/>
    <col min="4354" max="4354" width="13.1640625" style="1407" customWidth="1"/>
    <col min="4355" max="4355" width="15.6640625" style="1407" customWidth="1"/>
    <col min="4356" max="4356" width="9.33203125" style="1407" bestFit="1" customWidth="1"/>
    <col min="4357" max="4357" width="13.5" style="1407" customWidth="1"/>
    <col min="4358" max="4358" width="8.83203125" style="1407"/>
    <col min="4359" max="4359" width="9.33203125" style="1407" bestFit="1" customWidth="1"/>
    <col min="4360" max="4361" width="8.83203125" style="1407"/>
    <col min="4362" max="4362" width="9.33203125" style="1407" bestFit="1" customWidth="1"/>
    <col min="4363" max="4363" width="4" style="1407" customWidth="1"/>
    <col min="4364" max="4364" width="5.1640625" style="1407" customWidth="1"/>
    <col min="4365" max="4365" width="13.6640625" style="1407" customWidth="1"/>
    <col min="4366" max="4608" width="8.83203125" style="1407"/>
    <col min="4609" max="4609" width="4.83203125" style="1407" customWidth="1"/>
    <col min="4610" max="4610" width="13.1640625" style="1407" customWidth="1"/>
    <col min="4611" max="4611" width="15.6640625" style="1407" customWidth="1"/>
    <col min="4612" max="4612" width="9.33203125" style="1407" bestFit="1" customWidth="1"/>
    <col min="4613" max="4613" width="13.5" style="1407" customWidth="1"/>
    <col min="4614" max="4614" width="8.83203125" style="1407"/>
    <col min="4615" max="4615" width="9.33203125" style="1407" bestFit="1" customWidth="1"/>
    <col min="4616" max="4617" width="8.83203125" style="1407"/>
    <col min="4618" max="4618" width="9.33203125" style="1407" bestFit="1" customWidth="1"/>
    <col min="4619" max="4619" width="4" style="1407" customWidth="1"/>
    <col min="4620" max="4620" width="5.1640625" style="1407" customWidth="1"/>
    <col min="4621" max="4621" width="13.6640625" style="1407" customWidth="1"/>
    <col min="4622" max="4864" width="8.83203125" style="1407"/>
    <col min="4865" max="4865" width="4.83203125" style="1407" customWidth="1"/>
    <col min="4866" max="4866" width="13.1640625" style="1407" customWidth="1"/>
    <col min="4867" max="4867" width="15.6640625" style="1407" customWidth="1"/>
    <col min="4868" max="4868" width="9.33203125" style="1407" bestFit="1" customWidth="1"/>
    <col min="4869" max="4869" width="13.5" style="1407" customWidth="1"/>
    <col min="4870" max="4870" width="8.83203125" style="1407"/>
    <col min="4871" max="4871" width="9.33203125" style="1407" bestFit="1" customWidth="1"/>
    <col min="4872" max="4873" width="8.83203125" style="1407"/>
    <col min="4874" max="4874" width="9.33203125" style="1407" bestFit="1" customWidth="1"/>
    <col min="4875" max="4875" width="4" style="1407" customWidth="1"/>
    <col min="4876" max="4876" width="5.1640625" style="1407" customWidth="1"/>
    <col min="4877" max="4877" width="13.6640625" style="1407" customWidth="1"/>
    <col min="4878" max="5120" width="8.83203125" style="1407"/>
    <col min="5121" max="5121" width="4.83203125" style="1407" customWidth="1"/>
    <col min="5122" max="5122" width="13.1640625" style="1407" customWidth="1"/>
    <col min="5123" max="5123" width="15.6640625" style="1407" customWidth="1"/>
    <col min="5124" max="5124" width="9.33203125" style="1407" bestFit="1" customWidth="1"/>
    <col min="5125" max="5125" width="13.5" style="1407" customWidth="1"/>
    <col min="5126" max="5126" width="8.83203125" style="1407"/>
    <col min="5127" max="5127" width="9.33203125" style="1407" bestFit="1" customWidth="1"/>
    <col min="5128" max="5129" width="8.83203125" style="1407"/>
    <col min="5130" max="5130" width="9.33203125" style="1407" bestFit="1" customWidth="1"/>
    <col min="5131" max="5131" width="4" style="1407" customWidth="1"/>
    <col min="5132" max="5132" width="5.1640625" style="1407" customWidth="1"/>
    <col min="5133" max="5133" width="13.6640625" style="1407" customWidth="1"/>
    <col min="5134" max="5376" width="8.83203125" style="1407"/>
    <col min="5377" max="5377" width="4.83203125" style="1407" customWidth="1"/>
    <col min="5378" max="5378" width="13.1640625" style="1407" customWidth="1"/>
    <col min="5379" max="5379" width="15.6640625" style="1407" customWidth="1"/>
    <col min="5380" max="5380" width="9.33203125" style="1407" bestFit="1" customWidth="1"/>
    <col min="5381" max="5381" width="13.5" style="1407" customWidth="1"/>
    <col min="5382" max="5382" width="8.83203125" style="1407"/>
    <col min="5383" max="5383" width="9.33203125" style="1407" bestFit="1" customWidth="1"/>
    <col min="5384" max="5385" width="8.83203125" style="1407"/>
    <col min="5386" max="5386" width="9.33203125" style="1407" bestFit="1" customWidth="1"/>
    <col min="5387" max="5387" width="4" style="1407" customWidth="1"/>
    <col min="5388" max="5388" width="5.1640625" style="1407" customWidth="1"/>
    <col min="5389" max="5389" width="13.6640625" style="1407" customWidth="1"/>
    <col min="5390" max="5632" width="8.83203125" style="1407"/>
    <col min="5633" max="5633" width="4.83203125" style="1407" customWidth="1"/>
    <col min="5634" max="5634" width="13.1640625" style="1407" customWidth="1"/>
    <col min="5635" max="5635" width="15.6640625" style="1407" customWidth="1"/>
    <col min="5636" max="5636" width="9.33203125" style="1407" bestFit="1" customWidth="1"/>
    <col min="5637" max="5637" width="13.5" style="1407" customWidth="1"/>
    <col min="5638" max="5638" width="8.83203125" style="1407"/>
    <col min="5639" max="5639" width="9.33203125" style="1407" bestFit="1" customWidth="1"/>
    <col min="5640" max="5641" width="8.83203125" style="1407"/>
    <col min="5642" max="5642" width="9.33203125" style="1407" bestFit="1" customWidth="1"/>
    <col min="5643" max="5643" width="4" style="1407" customWidth="1"/>
    <col min="5644" max="5644" width="5.1640625" style="1407" customWidth="1"/>
    <col min="5645" max="5645" width="13.6640625" style="1407" customWidth="1"/>
    <col min="5646" max="5888" width="8.83203125" style="1407"/>
    <col min="5889" max="5889" width="4.83203125" style="1407" customWidth="1"/>
    <col min="5890" max="5890" width="13.1640625" style="1407" customWidth="1"/>
    <col min="5891" max="5891" width="15.6640625" style="1407" customWidth="1"/>
    <col min="5892" max="5892" width="9.33203125" style="1407" bestFit="1" customWidth="1"/>
    <col min="5893" max="5893" width="13.5" style="1407" customWidth="1"/>
    <col min="5894" max="5894" width="8.83203125" style="1407"/>
    <col min="5895" max="5895" width="9.33203125" style="1407" bestFit="1" customWidth="1"/>
    <col min="5896" max="5897" width="8.83203125" style="1407"/>
    <col min="5898" max="5898" width="9.33203125" style="1407" bestFit="1" customWidth="1"/>
    <col min="5899" max="5899" width="4" style="1407" customWidth="1"/>
    <col min="5900" max="5900" width="5.1640625" style="1407" customWidth="1"/>
    <col min="5901" max="5901" width="13.6640625" style="1407" customWidth="1"/>
    <col min="5902" max="6144" width="8.83203125" style="1407"/>
    <col min="6145" max="6145" width="4.83203125" style="1407" customWidth="1"/>
    <col min="6146" max="6146" width="13.1640625" style="1407" customWidth="1"/>
    <col min="6147" max="6147" width="15.6640625" style="1407" customWidth="1"/>
    <col min="6148" max="6148" width="9.33203125" style="1407" bestFit="1" customWidth="1"/>
    <col min="6149" max="6149" width="13.5" style="1407" customWidth="1"/>
    <col min="6150" max="6150" width="8.83203125" style="1407"/>
    <col min="6151" max="6151" width="9.33203125" style="1407" bestFit="1" customWidth="1"/>
    <col min="6152" max="6153" width="8.83203125" style="1407"/>
    <col min="6154" max="6154" width="9.33203125" style="1407" bestFit="1" customWidth="1"/>
    <col min="6155" max="6155" width="4" style="1407" customWidth="1"/>
    <col min="6156" max="6156" width="5.1640625" style="1407" customWidth="1"/>
    <col min="6157" max="6157" width="13.6640625" style="1407" customWidth="1"/>
    <col min="6158" max="6400" width="8.83203125" style="1407"/>
    <col min="6401" max="6401" width="4.83203125" style="1407" customWidth="1"/>
    <col min="6402" max="6402" width="13.1640625" style="1407" customWidth="1"/>
    <col min="6403" max="6403" width="15.6640625" style="1407" customWidth="1"/>
    <col min="6404" max="6404" width="9.33203125" style="1407" bestFit="1" customWidth="1"/>
    <col min="6405" max="6405" width="13.5" style="1407" customWidth="1"/>
    <col min="6406" max="6406" width="8.83203125" style="1407"/>
    <col min="6407" max="6407" width="9.33203125" style="1407" bestFit="1" customWidth="1"/>
    <col min="6408" max="6409" width="8.83203125" style="1407"/>
    <col min="6410" max="6410" width="9.33203125" style="1407" bestFit="1" customWidth="1"/>
    <col min="6411" max="6411" width="4" style="1407" customWidth="1"/>
    <col min="6412" max="6412" width="5.1640625" style="1407" customWidth="1"/>
    <col min="6413" max="6413" width="13.6640625" style="1407" customWidth="1"/>
    <col min="6414" max="6656" width="8.83203125" style="1407"/>
    <col min="6657" max="6657" width="4.83203125" style="1407" customWidth="1"/>
    <col min="6658" max="6658" width="13.1640625" style="1407" customWidth="1"/>
    <col min="6659" max="6659" width="15.6640625" style="1407" customWidth="1"/>
    <col min="6660" max="6660" width="9.33203125" style="1407" bestFit="1" customWidth="1"/>
    <col min="6661" max="6661" width="13.5" style="1407" customWidth="1"/>
    <col min="6662" max="6662" width="8.83203125" style="1407"/>
    <col min="6663" max="6663" width="9.33203125" style="1407" bestFit="1" customWidth="1"/>
    <col min="6664" max="6665" width="8.83203125" style="1407"/>
    <col min="6666" max="6666" width="9.33203125" style="1407" bestFit="1" customWidth="1"/>
    <col min="6667" max="6667" width="4" style="1407" customWidth="1"/>
    <col min="6668" max="6668" width="5.1640625" style="1407" customWidth="1"/>
    <col min="6669" max="6669" width="13.6640625" style="1407" customWidth="1"/>
    <col min="6670" max="6912" width="8.83203125" style="1407"/>
    <col min="6913" max="6913" width="4.83203125" style="1407" customWidth="1"/>
    <col min="6914" max="6914" width="13.1640625" style="1407" customWidth="1"/>
    <col min="6915" max="6915" width="15.6640625" style="1407" customWidth="1"/>
    <col min="6916" max="6916" width="9.33203125" style="1407" bestFit="1" customWidth="1"/>
    <col min="6917" max="6917" width="13.5" style="1407" customWidth="1"/>
    <col min="6918" max="6918" width="8.83203125" style="1407"/>
    <col min="6919" max="6919" width="9.33203125" style="1407" bestFit="1" customWidth="1"/>
    <col min="6920" max="6921" width="8.83203125" style="1407"/>
    <col min="6922" max="6922" width="9.33203125" style="1407" bestFit="1" customWidth="1"/>
    <col min="6923" max="6923" width="4" style="1407" customWidth="1"/>
    <col min="6924" max="6924" width="5.1640625" style="1407" customWidth="1"/>
    <col min="6925" max="6925" width="13.6640625" style="1407" customWidth="1"/>
    <col min="6926" max="7168" width="8.83203125" style="1407"/>
    <col min="7169" max="7169" width="4.83203125" style="1407" customWidth="1"/>
    <col min="7170" max="7170" width="13.1640625" style="1407" customWidth="1"/>
    <col min="7171" max="7171" width="15.6640625" style="1407" customWidth="1"/>
    <col min="7172" max="7172" width="9.33203125" style="1407" bestFit="1" customWidth="1"/>
    <col min="7173" max="7173" width="13.5" style="1407" customWidth="1"/>
    <col min="7174" max="7174" width="8.83203125" style="1407"/>
    <col min="7175" max="7175" width="9.33203125" style="1407" bestFit="1" customWidth="1"/>
    <col min="7176" max="7177" width="8.83203125" style="1407"/>
    <col min="7178" max="7178" width="9.33203125" style="1407" bestFit="1" customWidth="1"/>
    <col min="7179" max="7179" width="4" style="1407" customWidth="1"/>
    <col min="7180" max="7180" width="5.1640625" style="1407" customWidth="1"/>
    <col min="7181" max="7181" width="13.6640625" style="1407" customWidth="1"/>
    <col min="7182" max="7424" width="8.83203125" style="1407"/>
    <col min="7425" max="7425" width="4.83203125" style="1407" customWidth="1"/>
    <col min="7426" max="7426" width="13.1640625" style="1407" customWidth="1"/>
    <col min="7427" max="7427" width="15.6640625" style="1407" customWidth="1"/>
    <col min="7428" max="7428" width="9.33203125" style="1407" bestFit="1" customWidth="1"/>
    <col min="7429" max="7429" width="13.5" style="1407" customWidth="1"/>
    <col min="7430" max="7430" width="8.83203125" style="1407"/>
    <col min="7431" max="7431" width="9.33203125" style="1407" bestFit="1" customWidth="1"/>
    <col min="7432" max="7433" width="8.83203125" style="1407"/>
    <col min="7434" max="7434" width="9.33203125" style="1407" bestFit="1" customWidth="1"/>
    <col min="7435" max="7435" width="4" style="1407" customWidth="1"/>
    <col min="7436" max="7436" width="5.1640625" style="1407" customWidth="1"/>
    <col min="7437" max="7437" width="13.6640625" style="1407" customWidth="1"/>
    <col min="7438" max="7680" width="8.83203125" style="1407"/>
    <col min="7681" max="7681" width="4.83203125" style="1407" customWidth="1"/>
    <col min="7682" max="7682" width="13.1640625" style="1407" customWidth="1"/>
    <col min="7683" max="7683" width="15.6640625" style="1407" customWidth="1"/>
    <col min="7684" max="7684" width="9.33203125" style="1407" bestFit="1" customWidth="1"/>
    <col min="7685" max="7685" width="13.5" style="1407" customWidth="1"/>
    <col min="7686" max="7686" width="8.83203125" style="1407"/>
    <col min="7687" max="7687" width="9.33203125" style="1407" bestFit="1" customWidth="1"/>
    <col min="7688" max="7689" width="8.83203125" style="1407"/>
    <col min="7690" max="7690" width="9.33203125" style="1407" bestFit="1" customWidth="1"/>
    <col min="7691" max="7691" width="4" style="1407" customWidth="1"/>
    <col min="7692" max="7692" width="5.1640625" style="1407" customWidth="1"/>
    <col min="7693" max="7693" width="13.6640625" style="1407" customWidth="1"/>
    <col min="7694" max="7936" width="8.83203125" style="1407"/>
    <col min="7937" max="7937" width="4.83203125" style="1407" customWidth="1"/>
    <col min="7938" max="7938" width="13.1640625" style="1407" customWidth="1"/>
    <col min="7939" max="7939" width="15.6640625" style="1407" customWidth="1"/>
    <col min="7940" max="7940" width="9.33203125" style="1407" bestFit="1" customWidth="1"/>
    <col min="7941" max="7941" width="13.5" style="1407" customWidth="1"/>
    <col min="7942" max="7942" width="8.83203125" style="1407"/>
    <col min="7943" max="7943" width="9.33203125" style="1407" bestFit="1" customWidth="1"/>
    <col min="7944" max="7945" width="8.83203125" style="1407"/>
    <col min="7946" max="7946" width="9.33203125" style="1407" bestFit="1" customWidth="1"/>
    <col min="7947" max="7947" width="4" style="1407" customWidth="1"/>
    <col min="7948" max="7948" width="5.1640625" style="1407" customWidth="1"/>
    <col min="7949" max="7949" width="13.6640625" style="1407" customWidth="1"/>
    <col min="7950" max="8192" width="8.83203125" style="1407"/>
    <col min="8193" max="8193" width="4.83203125" style="1407" customWidth="1"/>
    <col min="8194" max="8194" width="13.1640625" style="1407" customWidth="1"/>
    <col min="8195" max="8195" width="15.6640625" style="1407" customWidth="1"/>
    <col min="8196" max="8196" width="9.33203125" style="1407" bestFit="1" customWidth="1"/>
    <col min="8197" max="8197" width="13.5" style="1407" customWidth="1"/>
    <col min="8198" max="8198" width="8.83203125" style="1407"/>
    <col min="8199" max="8199" width="9.33203125" style="1407" bestFit="1" customWidth="1"/>
    <col min="8200" max="8201" width="8.83203125" style="1407"/>
    <col min="8202" max="8202" width="9.33203125" style="1407" bestFit="1" customWidth="1"/>
    <col min="8203" max="8203" width="4" style="1407" customWidth="1"/>
    <col min="8204" max="8204" width="5.1640625" style="1407" customWidth="1"/>
    <col min="8205" max="8205" width="13.6640625" style="1407" customWidth="1"/>
    <col min="8206" max="8448" width="8.83203125" style="1407"/>
    <col min="8449" max="8449" width="4.83203125" style="1407" customWidth="1"/>
    <col min="8450" max="8450" width="13.1640625" style="1407" customWidth="1"/>
    <col min="8451" max="8451" width="15.6640625" style="1407" customWidth="1"/>
    <col min="8452" max="8452" width="9.33203125" style="1407" bestFit="1" customWidth="1"/>
    <col min="8453" max="8453" width="13.5" style="1407" customWidth="1"/>
    <col min="8454" max="8454" width="8.83203125" style="1407"/>
    <col min="8455" max="8455" width="9.33203125" style="1407" bestFit="1" customWidth="1"/>
    <col min="8456" max="8457" width="8.83203125" style="1407"/>
    <col min="8458" max="8458" width="9.33203125" style="1407" bestFit="1" customWidth="1"/>
    <col min="8459" max="8459" width="4" style="1407" customWidth="1"/>
    <col min="8460" max="8460" width="5.1640625" style="1407" customWidth="1"/>
    <col min="8461" max="8461" width="13.6640625" style="1407" customWidth="1"/>
    <col min="8462" max="8704" width="8.83203125" style="1407"/>
    <col min="8705" max="8705" width="4.83203125" style="1407" customWidth="1"/>
    <col min="8706" max="8706" width="13.1640625" style="1407" customWidth="1"/>
    <col min="8707" max="8707" width="15.6640625" style="1407" customWidth="1"/>
    <col min="8708" max="8708" width="9.33203125" style="1407" bestFit="1" customWidth="1"/>
    <col min="8709" max="8709" width="13.5" style="1407" customWidth="1"/>
    <col min="8710" max="8710" width="8.83203125" style="1407"/>
    <col min="8711" max="8711" width="9.33203125" style="1407" bestFit="1" customWidth="1"/>
    <col min="8712" max="8713" width="8.83203125" style="1407"/>
    <col min="8714" max="8714" width="9.33203125" style="1407" bestFit="1" customWidth="1"/>
    <col min="8715" max="8715" width="4" style="1407" customWidth="1"/>
    <col min="8716" max="8716" width="5.1640625" style="1407" customWidth="1"/>
    <col min="8717" max="8717" width="13.6640625" style="1407" customWidth="1"/>
    <col min="8718" max="8960" width="8.83203125" style="1407"/>
    <col min="8961" max="8961" width="4.83203125" style="1407" customWidth="1"/>
    <col min="8962" max="8962" width="13.1640625" style="1407" customWidth="1"/>
    <col min="8963" max="8963" width="15.6640625" style="1407" customWidth="1"/>
    <col min="8964" max="8964" width="9.33203125" style="1407" bestFit="1" customWidth="1"/>
    <col min="8965" max="8965" width="13.5" style="1407" customWidth="1"/>
    <col min="8966" max="8966" width="8.83203125" style="1407"/>
    <col min="8967" max="8967" width="9.33203125" style="1407" bestFit="1" customWidth="1"/>
    <col min="8968" max="8969" width="8.83203125" style="1407"/>
    <col min="8970" max="8970" width="9.33203125" style="1407" bestFit="1" customWidth="1"/>
    <col min="8971" max="8971" width="4" style="1407" customWidth="1"/>
    <col min="8972" max="8972" width="5.1640625" style="1407" customWidth="1"/>
    <col min="8973" max="8973" width="13.6640625" style="1407" customWidth="1"/>
    <col min="8974" max="9216" width="8.83203125" style="1407"/>
    <col min="9217" max="9217" width="4.83203125" style="1407" customWidth="1"/>
    <col min="9218" max="9218" width="13.1640625" style="1407" customWidth="1"/>
    <col min="9219" max="9219" width="15.6640625" style="1407" customWidth="1"/>
    <col min="9220" max="9220" width="9.33203125" style="1407" bestFit="1" customWidth="1"/>
    <col min="9221" max="9221" width="13.5" style="1407" customWidth="1"/>
    <col min="9222" max="9222" width="8.83203125" style="1407"/>
    <col min="9223" max="9223" width="9.33203125" style="1407" bestFit="1" customWidth="1"/>
    <col min="9224" max="9225" width="8.83203125" style="1407"/>
    <col min="9226" max="9226" width="9.33203125" style="1407" bestFit="1" customWidth="1"/>
    <col min="9227" max="9227" width="4" style="1407" customWidth="1"/>
    <col min="9228" max="9228" width="5.1640625" style="1407" customWidth="1"/>
    <col min="9229" max="9229" width="13.6640625" style="1407" customWidth="1"/>
    <col min="9230" max="9472" width="8.83203125" style="1407"/>
    <col min="9473" max="9473" width="4.83203125" style="1407" customWidth="1"/>
    <col min="9474" max="9474" width="13.1640625" style="1407" customWidth="1"/>
    <col min="9475" max="9475" width="15.6640625" style="1407" customWidth="1"/>
    <col min="9476" max="9476" width="9.33203125" style="1407" bestFit="1" customWidth="1"/>
    <col min="9477" max="9477" width="13.5" style="1407" customWidth="1"/>
    <col min="9478" max="9478" width="8.83203125" style="1407"/>
    <col min="9479" max="9479" width="9.33203125" style="1407" bestFit="1" customWidth="1"/>
    <col min="9480" max="9481" width="8.83203125" style="1407"/>
    <col min="9482" max="9482" width="9.33203125" style="1407" bestFit="1" customWidth="1"/>
    <col min="9483" max="9483" width="4" style="1407" customWidth="1"/>
    <col min="9484" max="9484" width="5.1640625" style="1407" customWidth="1"/>
    <col min="9485" max="9485" width="13.6640625" style="1407" customWidth="1"/>
    <col min="9486" max="9728" width="8.83203125" style="1407"/>
    <col min="9729" max="9729" width="4.83203125" style="1407" customWidth="1"/>
    <col min="9730" max="9730" width="13.1640625" style="1407" customWidth="1"/>
    <col min="9731" max="9731" width="15.6640625" style="1407" customWidth="1"/>
    <col min="9732" max="9732" width="9.33203125" style="1407" bestFit="1" customWidth="1"/>
    <col min="9733" max="9733" width="13.5" style="1407" customWidth="1"/>
    <col min="9734" max="9734" width="8.83203125" style="1407"/>
    <col min="9735" max="9735" width="9.33203125" style="1407" bestFit="1" customWidth="1"/>
    <col min="9736" max="9737" width="8.83203125" style="1407"/>
    <col min="9738" max="9738" width="9.33203125" style="1407" bestFit="1" customWidth="1"/>
    <col min="9739" max="9739" width="4" style="1407" customWidth="1"/>
    <col min="9740" max="9740" width="5.1640625" style="1407" customWidth="1"/>
    <col min="9741" max="9741" width="13.6640625" style="1407" customWidth="1"/>
    <col min="9742" max="9984" width="8.83203125" style="1407"/>
    <col min="9985" max="9985" width="4.83203125" style="1407" customWidth="1"/>
    <col min="9986" max="9986" width="13.1640625" style="1407" customWidth="1"/>
    <col min="9987" max="9987" width="15.6640625" style="1407" customWidth="1"/>
    <col min="9988" max="9988" width="9.33203125" style="1407" bestFit="1" customWidth="1"/>
    <col min="9989" max="9989" width="13.5" style="1407" customWidth="1"/>
    <col min="9990" max="9990" width="8.83203125" style="1407"/>
    <col min="9991" max="9991" width="9.33203125" style="1407" bestFit="1" customWidth="1"/>
    <col min="9992" max="9993" width="8.83203125" style="1407"/>
    <col min="9994" max="9994" width="9.33203125" style="1407" bestFit="1" customWidth="1"/>
    <col min="9995" max="9995" width="4" style="1407" customWidth="1"/>
    <col min="9996" max="9996" width="5.1640625" style="1407" customWidth="1"/>
    <col min="9997" max="9997" width="13.6640625" style="1407" customWidth="1"/>
    <col min="9998" max="10240" width="8.83203125" style="1407"/>
    <col min="10241" max="10241" width="4.83203125" style="1407" customWidth="1"/>
    <col min="10242" max="10242" width="13.1640625" style="1407" customWidth="1"/>
    <col min="10243" max="10243" width="15.6640625" style="1407" customWidth="1"/>
    <col min="10244" max="10244" width="9.33203125" style="1407" bestFit="1" customWidth="1"/>
    <col min="10245" max="10245" width="13.5" style="1407" customWidth="1"/>
    <col min="10246" max="10246" width="8.83203125" style="1407"/>
    <col min="10247" max="10247" width="9.33203125" style="1407" bestFit="1" customWidth="1"/>
    <col min="10248" max="10249" width="8.83203125" style="1407"/>
    <col min="10250" max="10250" width="9.33203125" style="1407" bestFit="1" customWidth="1"/>
    <col min="10251" max="10251" width="4" style="1407" customWidth="1"/>
    <col min="10252" max="10252" width="5.1640625" style="1407" customWidth="1"/>
    <col min="10253" max="10253" width="13.6640625" style="1407" customWidth="1"/>
    <col min="10254" max="10496" width="8.83203125" style="1407"/>
    <col min="10497" max="10497" width="4.83203125" style="1407" customWidth="1"/>
    <col min="10498" max="10498" width="13.1640625" style="1407" customWidth="1"/>
    <col min="10499" max="10499" width="15.6640625" style="1407" customWidth="1"/>
    <col min="10500" max="10500" width="9.33203125" style="1407" bestFit="1" customWidth="1"/>
    <col min="10501" max="10501" width="13.5" style="1407" customWidth="1"/>
    <col min="10502" max="10502" width="8.83203125" style="1407"/>
    <col min="10503" max="10503" width="9.33203125" style="1407" bestFit="1" customWidth="1"/>
    <col min="10504" max="10505" width="8.83203125" style="1407"/>
    <col min="10506" max="10506" width="9.33203125" style="1407" bestFit="1" customWidth="1"/>
    <col min="10507" max="10507" width="4" style="1407" customWidth="1"/>
    <col min="10508" max="10508" width="5.1640625" style="1407" customWidth="1"/>
    <col min="10509" max="10509" width="13.6640625" style="1407" customWidth="1"/>
    <col min="10510" max="10752" width="8.83203125" style="1407"/>
    <col min="10753" max="10753" width="4.83203125" style="1407" customWidth="1"/>
    <col min="10754" max="10754" width="13.1640625" style="1407" customWidth="1"/>
    <col min="10755" max="10755" width="15.6640625" style="1407" customWidth="1"/>
    <col min="10756" max="10756" width="9.33203125" style="1407" bestFit="1" customWidth="1"/>
    <col min="10757" max="10757" width="13.5" style="1407" customWidth="1"/>
    <col min="10758" max="10758" width="8.83203125" style="1407"/>
    <col min="10759" max="10759" width="9.33203125" style="1407" bestFit="1" customWidth="1"/>
    <col min="10760" max="10761" width="8.83203125" style="1407"/>
    <col min="10762" max="10762" width="9.33203125" style="1407" bestFit="1" customWidth="1"/>
    <col min="10763" max="10763" width="4" style="1407" customWidth="1"/>
    <col min="10764" max="10764" width="5.1640625" style="1407" customWidth="1"/>
    <col min="10765" max="10765" width="13.6640625" style="1407" customWidth="1"/>
    <col min="10766" max="11008" width="8.83203125" style="1407"/>
    <col min="11009" max="11009" width="4.83203125" style="1407" customWidth="1"/>
    <col min="11010" max="11010" width="13.1640625" style="1407" customWidth="1"/>
    <col min="11011" max="11011" width="15.6640625" style="1407" customWidth="1"/>
    <col min="11012" max="11012" width="9.33203125" style="1407" bestFit="1" customWidth="1"/>
    <col min="11013" max="11013" width="13.5" style="1407" customWidth="1"/>
    <col min="11014" max="11014" width="8.83203125" style="1407"/>
    <col min="11015" max="11015" width="9.33203125" style="1407" bestFit="1" customWidth="1"/>
    <col min="11016" max="11017" width="8.83203125" style="1407"/>
    <col min="11018" max="11018" width="9.33203125" style="1407" bestFit="1" customWidth="1"/>
    <col min="11019" max="11019" width="4" style="1407" customWidth="1"/>
    <col min="11020" max="11020" width="5.1640625" style="1407" customWidth="1"/>
    <col min="11021" max="11021" width="13.6640625" style="1407" customWidth="1"/>
    <col min="11022" max="11264" width="8.83203125" style="1407"/>
    <col min="11265" max="11265" width="4.83203125" style="1407" customWidth="1"/>
    <col min="11266" max="11266" width="13.1640625" style="1407" customWidth="1"/>
    <col min="11267" max="11267" width="15.6640625" style="1407" customWidth="1"/>
    <col min="11268" max="11268" width="9.33203125" style="1407" bestFit="1" customWidth="1"/>
    <col min="11269" max="11269" width="13.5" style="1407" customWidth="1"/>
    <col min="11270" max="11270" width="8.83203125" style="1407"/>
    <col min="11271" max="11271" width="9.33203125" style="1407" bestFit="1" customWidth="1"/>
    <col min="11272" max="11273" width="8.83203125" style="1407"/>
    <col min="11274" max="11274" width="9.33203125" style="1407" bestFit="1" customWidth="1"/>
    <col min="11275" max="11275" width="4" style="1407" customWidth="1"/>
    <col min="11276" max="11276" width="5.1640625" style="1407" customWidth="1"/>
    <col min="11277" max="11277" width="13.6640625" style="1407" customWidth="1"/>
    <col min="11278" max="11520" width="8.83203125" style="1407"/>
    <col min="11521" max="11521" width="4.83203125" style="1407" customWidth="1"/>
    <col min="11522" max="11522" width="13.1640625" style="1407" customWidth="1"/>
    <col min="11523" max="11523" width="15.6640625" style="1407" customWidth="1"/>
    <col min="11524" max="11524" width="9.33203125" style="1407" bestFit="1" customWidth="1"/>
    <col min="11525" max="11525" width="13.5" style="1407" customWidth="1"/>
    <col min="11526" max="11526" width="8.83203125" style="1407"/>
    <col min="11527" max="11527" width="9.33203125" style="1407" bestFit="1" customWidth="1"/>
    <col min="11528" max="11529" width="8.83203125" style="1407"/>
    <col min="11530" max="11530" width="9.33203125" style="1407" bestFit="1" customWidth="1"/>
    <col min="11531" max="11531" width="4" style="1407" customWidth="1"/>
    <col min="11532" max="11532" width="5.1640625" style="1407" customWidth="1"/>
    <col min="11533" max="11533" width="13.6640625" style="1407" customWidth="1"/>
    <col min="11534" max="11776" width="8.83203125" style="1407"/>
    <col min="11777" max="11777" width="4.83203125" style="1407" customWidth="1"/>
    <col min="11778" max="11778" width="13.1640625" style="1407" customWidth="1"/>
    <col min="11779" max="11779" width="15.6640625" style="1407" customWidth="1"/>
    <col min="11780" max="11780" width="9.33203125" style="1407" bestFit="1" customWidth="1"/>
    <col min="11781" max="11781" width="13.5" style="1407" customWidth="1"/>
    <col min="11782" max="11782" width="8.83203125" style="1407"/>
    <col min="11783" max="11783" width="9.33203125" style="1407" bestFit="1" customWidth="1"/>
    <col min="11784" max="11785" width="8.83203125" style="1407"/>
    <col min="11786" max="11786" width="9.33203125" style="1407" bestFit="1" customWidth="1"/>
    <col min="11787" max="11787" width="4" style="1407" customWidth="1"/>
    <col min="11788" max="11788" width="5.1640625" style="1407" customWidth="1"/>
    <col min="11789" max="11789" width="13.6640625" style="1407" customWidth="1"/>
    <col min="11790" max="12032" width="8.83203125" style="1407"/>
    <col min="12033" max="12033" width="4.83203125" style="1407" customWidth="1"/>
    <col min="12034" max="12034" width="13.1640625" style="1407" customWidth="1"/>
    <col min="12035" max="12035" width="15.6640625" style="1407" customWidth="1"/>
    <col min="12036" max="12036" width="9.33203125" style="1407" bestFit="1" customWidth="1"/>
    <col min="12037" max="12037" width="13.5" style="1407" customWidth="1"/>
    <col min="12038" max="12038" width="8.83203125" style="1407"/>
    <col min="12039" max="12039" width="9.33203125" style="1407" bestFit="1" customWidth="1"/>
    <col min="12040" max="12041" width="8.83203125" style="1407"/>
    <col min="12042" max="12042" width="9.33203125" style="1407" bestFit="1" customWidth="1"/>
    <col min="12043" max="12043" width="4" style="1407" customWidth="1"/>
    <col min="12044" max="12044" width="5.1640625" style="1407" customWidth="1"/>
    <col min="12045" max="12045" width="13.6640625" style="1407" customWidth="1"/>
    <col min="12046" max="12288" width="8.83203125" style="1407"/>
    <col min="12289" max="12289" width="4.83203125" style="1407" customWidth="1"/>
    <col min="12290" max="12290" width="13.1640625" style="1407" customWidth="1"/>
    <col min="12291" max="12291" width="15.6640625" style="1407" customWidth="1"/>
    <col min="12292" max="12292" width="9.33203125" style="1407" bestFit="1" customWidth="1"/>
    <col min="12293" max="12293" width="13.5" style="1407" customWidth="1"/>
    <col min="12294" max="12294" width="8.83203125" style="1407"/>
    <col min="12295" max="12295" width="9.33203125" style="1407" bestFit="1" customWidth="1"/>
    <col min="12296" max="12297" width="8.83203125" style="1407"/>
    <col min="12298" max="12298" width="9.33203125" style="1407" bestFit="1" customWidth="1"/>
    <col min="12299" max="12299" width="4" style="1407" customWidth="1"/>
    <col min="12300" max="12300" width="5.1640625" style="1407" customWidth="1"/>
    <col min="12301" max="12301" width="13.6640625" style="1407" customWidth="1"/>
    <col min="12302" max="12544" width="8.83203125" style="1407"/>
    <col min="12545" max="12545" width="4.83203125" style="1407" customWidth="1"/>
    <col min="12546" max="12546" width="13.1640625" style="1407" customWidth="1"/>
    <col min="12547" max="12547" width="15.6640625" style="1407" customWidth="1"/>
    <col min="12548" max="12548" width="9.33203125" style="1407" bestFit="1" customWidth="1"/>
    <col min="12549" max="12549" width="13.5" style="1407" customWidth="1"/>
    <col min="12550" max="12550" width="8.83203125" style="1407"/>
    <col min="12551" max="12551" width="9.33203125" style="1407" bestFit="1" customWidth="1"/>
    <col min="12552" max="12553" width="8.83203125" style="1407"/>
    <col min="12554" max="12554" width="9.33203125" style="1407" bestFit="1" customWidth="1"/>
    <col min="12555" max="12555" width="4" style="1407" customWidth="1"/>
    <col min="12556" max="12556" width="5.1640625" style="1407" customWidth="1"/>
    <col min="12557" max="12557" width="13.6640625" style="1407" customWidth="1"/>
    <col min="12558" max="12800" width="8.83203125" style="1407"/>
    <col min="12801" max="12801" width="4.83203125" style="1407" customWidth="1"/>
    <col min="12802" max="12802" width="13.1640625" style="1407" customWidth="1"/>
    <col min="12803" max="12803" width="15.6640625" style="1407" customWidth="1"/>
    <col min="12804" max="12804" width="9.33203125" style="1407" bestFit="1" customWidth="1"/>
    <col min="12805" max="12805" width="13.5" style="1407" customWidth="1"/>
    <col min="12806" max="12806" width="8.83203125" style="1407"/>
    <col min="12807" max="12807" width="9.33203125" style="1407" bestFit="1" customWidth="1"/>
    <col min="12808" max="12809" width="8.83203125" style="1407"/>
    <col min="12810" max="12810" width="9.33203125" style="1407" bestFit="1" customWidth="1"/>
    <col min="12811" max="12811" width="4" style="1407" customWidth="1"/>
    <col min="12812" max="12812" width="5.1640625" style="1407" customWidth="1"/>
    <col min="12813" max="12813" width="13.6640625" style="1407" customWidth="1"/>
    <col min="12814" max="13056" width="8.83203125" style="1407"/>
    <col min="13057" max="13057" width="4.83203125" style="1407" customWidth="1"/>
    <col min="13058" max="13058" width="13.1640625" style="1407" customWidth="1"/>
    <col min="13059" max="13059" width="15.6640625" style="1407" customWidth="1"/>
    <col min="13060" max="13060" width="9.33203125" style="1407" bestFit="1" customWidth="1"/>
    <col min="13061" max="13061" width="13.5" style="1407" customWidth="1"/>
    <col min="13062" max="13062" width="8.83203125" style="1407"/>
    <col min="13063" max="13063" width="9.33203125" style="1407" bestFit="1" customWidth="1"/>
    <col min="13064" max="13065" width="8.83203125" style="1407"/>
    <col min="13066" max="13066" width="9.33203125" style="1407" bestFit="1" customWidth="1"/>
    <col min="13067" max="13067" width="4" style="1407" customWidth="1"/>
    <col min="13068" max="13068" width="5.1640625" style="1407" customWidth="1"/>
    <col min="13069" max="13069" width="13.6640625" style="1407" customWidth="1"/>
    <col min="13070" max="13312" width="8.83203125" style="1407"/>
    <col min="13313" max="13313" width="4.83203125" style="1407" customWidth="1"/>
    <col min="13314" max="13314" width="13.1640625" style="1407" customWidth="1"/>
    <col min="13315" max="13315" width="15.6640625" style="1407" customWidth="1"/>
    <col min="13316" max="13316" width="9.33203125" style="1407" bestFit="1" customWidth="1"/>
    <col min="13317" max="13317" width="13.5" style="1407" customWidth="1"/>
    <col min="13318" max="13318" width="8.83203125" style="1407"/>
    <col min="13319" max="13319" width="9.33203125" style="1407" bestFit="1" customWidth="1"/>
    <col min="13320" max="13321" width="8.83203125" style="1407"/>
    <col min="13322" max="13322" width="9.33203125" style="1407" bestFit="1" customWidth="1"/>
    <col min="13323" max="13323" width="4" style="1407" customWidth="1"/>
    <col min="13324" max="13324" width="5.1640625" style="1407" customWidth="1"/>
    <col min="13325" max="13325" width="13.6640625" style="1407" customWidth="1"/>
    <col min="13326" max="13568" width="8.83203125" style="1407"/>
    <col min="13569" max="13569" width="4.83203125" style="1407" customWidth="1"/>
    <col min="13570" max="13570" width="13.1640625" style="1407" customWidth="1"/>
    <col min="13571" max="13571" width="15.6640625" style="1407" customWidth="1"/>
    <col min="13572" max="13572" width="9.33203125" style="1407" bestFit="1" customWidth="1"/>
    <col min="13573" max="13573" width="13.5" style="1407" customWidth="1"/>
    <col min="13574" max="13574" width="8.83203125" style="1407"/>
    <col min="13575" max="13575" width="9.33203125" style="1407" bestFit="1" customWidth="1"/>
    <col min="13576" max="13577" width="8.83203125" style="1407"/>
    <col min="13578" max="13578" width="9.33203125" style="1407" bestFit="1" customWidth="1"/>
    <col min="13579" max="13579" width="4" style="1407" customWidth="1"/>
    <col min="13580" max="13580" width="5.1640625" style="1407" customWidth="1"/>
    <col min="13581" max="13581" width="13.6640625" style="1407" customWidth="1"/>
    <col min="13582" max="13824" width="8.83203125" style="1407"/>
    <col min="13825" max="13825" width="4.83203125" style="1407" customWidth="1"/>
    <col min="13826" max="13826" width="13.1640625" style="1407" customWidth="1"/>
    <col min="13827" max="13827" width="15.6640625" style="1407" customWidth="1"/>
    <col min="13828" max="13828" width="9.33203125" style="1407" bestFit="1" customWidth="1"/>
    <col min="13829" max="13829" width="13.5" style="1407" customWidth="1"/>
    <col min="13830" max="13830" width="8.83203125" style="1407"/>
    <col min="13831" max="13831" width="9.33203125" style="1407" bestFit="1" customWidth="1"/>
    <col min="13832" max="13833" width="8.83203125" style="1407"/>
    <col min="13834" max="13834" width="9.33203125" style="1407" bestFit="1" customWidth="1"/>
    <col min="13835" max="13835" width="4" style="1407" customWidth="1"/>
    <col min="13836" max="13836" width="5.1640625" style="1407" customWidth="1"/>
    <col min="13837" max="13837" width="13.6640625" style="1407" customWidth="1"/>
    <col min="13838" max="14080" width="8.83203125" style="1407"/>
    <col min="14081" max="14081" width="4.83203125" style="1407" customWidth="1"/>
    <col min="14082" max="14082" width="13.1640625" style="1407" customWidth="1"/>
    <col min="14083" max="14083" width="15.6640625" style="1407" customWidth="1"/>
    <col min="14084" max="14084" width="9.33203125" style="1407" bestFit="1" customWidth="1"/>
    <col min="14085" max="14085" width="13.5" style="1407" customWidth="1"/>
    <col min="14086" max="14086" width="8.83203125" style="1407"/>
    <col min="14087" max="14087" width="9.33203125" style="1407" bestFit="1" customWidth="1"/>
    <col min="14088" max="14089" width="8.83203125" style="1407"/>
    <col min="14090" max="14090" width="9.33203125" style="1407" bestFit="1" customWidth="1"/>
    <col min="14091" max="14091" width="4" style="1407" customWidth="1"/>
    <col min="14092" max="14092" width="5.1640625" style="1407" customWidth="1"/>
    <col min="14093" max="14093" width="13.6640625" style="1407" customWidth="1"/>
    <col min="14094" max="14336" width="8.83203125" style="1407"/>
    <col min="14337" max="14337" width="4.83203125" style="1407" customWidth="1"/>
    <col min="14338" max="14338" width="13.1640625" style="1407" customWidth="1"/>
    <col min="14339" max="14339" width="15.6640625" style="1407" customWidth="1"/>
    <col min="14340" max="14340" width="9.33203125" style="1407" bestFit="1" customWidth="1"/>
    <col min="14341" max="14341" width="13.5" style="1407" customWidth="1"/>
    <col min="14342" max="14342" width="8.83203125" style="1407"/>
    <col min="14343" max="14343" width="9.33203125" style="1407" bestFit="1" customWidth="1"/>
    <col min="14344" max="14345" width="8.83203125" style="1407"/>
    <col min="14346" max="14346" width="9.33203125" style="1407" bestFit="1" customWidth="1"/>
    <col min="14347" max="14347" width="4" style="1407" customWidth="1"/>
    <col min="14348" max="14348" width="5.1640625" style="1407" customWidth="1"/>
    <col min="14349" max="14349" width="13.6640625" style="1407" customWidth="1"/>
    <col min="14350" max="14592" width="8.83203125" style="1407"/>
    <col min="14593" max="14593" width="4.83203125" style="1407" customWidth="1"/>
    <col min="14594" max="14594" width="13.1640625" style="1407" customWidth="1"/>
    <col min="14595" max="14595" width="15.6640625" style="1407" customWidth="1"/>
    <col min="14596" max="14596" width="9.33203125" style="1407" bestFit="1" customWidth="1"/>
    <col min="14597" max="14597" width="13.5" style="1407" customWidth="1"/>
    <col min="14598" max="14598" width="8.83203125" style="1407"/>
    <col min="14599" max="14599" width="9.33203125" style="1407" bestFit="1" customWidth="1"/>
    <col min="14600" max="14601" width="8.83203125" style="1407"/>
    <col min="14602" max="14602" width="9.33203125" style="1407" bestFit="1" customWidth="1"/>
    <col min="14603" max="14603" width="4" style="1407" customWidth="1"/>
    <col min="14604" max="14604" width="5.1640625" style="1407" customWidth="1"/>
    <col min="14605" max="14605" width="13.6640625" style="1407" customWidth="1"/>
    <col min="14606" max="14848" width="8.83203125" style="1407"/>
    <col min="14849" max="14849" width="4.83203125" style="1407" customWidth="1"/>
    <col min="14850" max="14850" width="13.1640625" style="1407" customWidth="1"/>
    <col min="14851" max="14851" width="15.6640625" style="1407" customWidth="1"/>
    <col min="14852" max="14852" width="9.33203125" style="1407" bestFit="1" customWidth="1"/>
    <col min="14853" max="14853" width="13.5" style="1407" customWidth="1"/>
    <col min="14854" max="14854" width="8.83203125" style="1407"/>
    <col min="14855" max="14855" width="9.33203125" style="1407" bestFit="1" customWidth="1"/>
    <col min="14856" max="14857" width="8.83203125" style="1407"/>
    <col min="14858" max="14858" width="9.33203125" style="1407" bestFit="1" customWidth="1"/>
    <col min="14859" max="14859" width="4" style="1407" customWidth="1"/>
    <col min="14860" max="14860" width="5.1640625" style="1407" customWidth="1"/>
    <col min="14861" max="14861" width="13.6640625" style="1407" customWidth="1"/>
    <col min="14862" max="15104" width="8.83203125" style="1407"/>
    <col min="15105" max="15105" width="4.83203125" style="1407" customWidth="1"/>
    <col min="15106" max="15106" width="13.1640625" style="1407" customWidth="1"/>
    <col min="15107" max="15107" width="15.6640625" style="1407" customWidth="1"/>
    <col min="15108" max="15108" width="9.33203125" style="1407" bestFit="1" customWidth="1"/>
    <col min="15109" max="15109" width="13.5" style="1407" customWidth="1"/>
    <col min="15110" max="15110" width="8.83203125" style="1407"/>
    <col min="15111" max="15111" width="9.33203125" style="1407" bestFit="1" customWidth="1"/>
    <col min="15112" max="15113" width="8.83203125" style="1407"/>
    <col min="15114" max="15114" width="9.33203125" style="1407" bestFit="1" customWidth="1"/>
    <col min="15115" max="15115" width="4" style="1407" customWidth="1"/>
    <col min="15116" max="15116" width="5.1640625" style="1407" customWidth="1"/>
    <col min="15117" max="15117" width="13.6640625" style="1407" customWidth="1"/>
    <col min="15118" max="15360" width="8.83203125" style="1407"/>
    <col min="15361" max="15361" width="4.83203125" style="1407" customWidth="1"/>
    <col min="15362" max="15362" width="13.1640625" style="1407" customWidth="1"/>
    <col min="15363" max="15363" width="15.6640625" style="1407" customWidth="1"/>
    <col min="15364" max="15364" width="9.33203125" style="1407" bestFit="1" customWidth="1"/>
    <col min="15365" max="15365" width="13.5" style="1407" customWidth="1"/>
    <col min="15366" max="15366" width="8.83203125" style="1407"/>
    <col min="15367" max="15367" width="9.33203125" style="1407" bestFit="1" customWidth="1"/>
    <col min="15368" max="15369" width="8.83203125" style="1407"/>
    <col min="15370" max="15370" width="9.33203125" style="1407" bestFit="1" customWidth="1"/>
    <col min="15371" max="15371" width="4" style="1407" customWidth="1"/>
    <col min="15372" max="15372" width="5.1640625" style="1407" customWidth="1"/>
    <col min="15373" max="15373" width="13.6640625" style="1407" customWidth="1"/>
    <col min="15374" max="15616" width="8.83203125" style="1407"/>
    <col min="15617" max="15617" width="4.83203125" style="1407" customWidth="1"/>
    <col min="15618" max="15618" width="13.1640625" style="1407" customWidth="1"/>
    <col min="15619" max="15619" width="15.6640625" style="1407" customWidth="1"/>
    <col min="15620" max="15620" width="9.33203125" style="1407" bestFit="1" customWidth="1"/>
    <col min="15621" max="15621" width="13.5" style="1407" customWidth="1"/>
    <col min="15622" max="15622" width="8.83203125" style="1407"/>
    <col min="15623" max="15623" width="9.33203125" style="1407" bestFit="1" customWidth="1"/>
    <col min="15624" max="15625" width="8.83203125" style="1407"/>
    <col min="15626" max="15626" width="9.33203125" style="1407" bestFit="1" customWidth="1"/>
    <col min="15627" max="15627" width="4" style="1407" customWidth="1"/>
    <col min="15628" max="15628" width="5.1640625" style="1407" customWidth="1"/>
    <col min="15629" max="15629" width="13.6640625" style="1407" customWidth="1"/>
    <col min="15630" max="15872" width="8.83203125" style="1407"/>
    <col min="15873" max="15873" width="4.83203125" style="1407" customWidth="1"/>
    <col min="15874" max="15874" width="13.1640625" style="1407" customWidth="1"/>
    <col min="15875" max="15875" width="15.6640625" style="1407" customWidth="1"/>
    <col min="15876" max="15876" width="9.33203125" style="1407" bestFit="1" customWidth="1"/>
    <col min="15877" max="15877" width="13.5" style="1407" customWidth="1"/>
    <col min="15878" max="15878" width="8.83203125" style="1407"/>
    <col min="15879" max="15879" width="9.33203125" style="1407" bestFit="1" customWidth="1"/>
    <col min="15880" max="15881" width="8.83203125" style="1407"/>
    <col min="15882" max="15882" width="9.33203125" style="1407" bestFit="1" customWidth="1"/>
    <col min="15883" max="15883" width="4" style="1407" customWidth="1"/>
    <col min="15884" max="15884" width="5.1640625" style="1407" customWidth="1"/>
    <col min="15885" max="15885" width="13.6640625" style="1407" customWidth="1"/>
    <col min="15886" max="16128" width="8.83203125" style="1407"/>
    <col min="16129" max="16129" width="4.83203125" style="1407" customWidth="1"/>
    <col min="16130" max="16130" width="13.1640625" style="1407" customWidth="1"/>
    <col min="16131" max="16131" width="15.6640625" style="1407" customWidth="1"/>
    <col min="16132" max="16132" width="9.33203125" style="1407" bestFit="1" customWidth="1"/>
    <col min="16133" max="16133" width="13.5" style="1407" customWidth="1"/>
    <col min="16134" max="16134" width="8.83203125" style="1407"/>
    <col min="16135" max="16135" width="9.33203125" style="1407" bestFit="1" customWidth="1"/>
    <col min="16136" max="16137" width="8.83203125" style="1407"/>
    <col min="16138" max="16138" width="9.33203125" style="1407" bestFit="1" customWidth="1"/>
    <col min="16139" max="16139" width="4" style="1407" customWidth="1"/>
    <col min="16140" max="16140" width="5.1640625" style="1407" customWidth="1"/>
    <col min="16141" max="16141" width="13.6640625" style="1407" customWidth="1"/>
    <col min="16142" max="16384" width="8.83203125" style="1407"/>
  </cols>
  <sheetData>
    <row r="1" spans="1:257" s="1471" customFormat="1" ht="16" thickBot="1" x14ac:dyDescent="0.25">
      <c r="A1" s="1465"/>
      <c r="B1" s="1472" t="s">
        <v>1267</v>
      </c>
      <c r="C1" s="1466">
        <f>项目基本情况!D3</f>
        <v>44606</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7" thickTop="1" thickBot="1" x14ac:dyDescent="0.25">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x14ac:dyDescent="0.2">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x14ac:dyDescent="0.2">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x14ac:dyDescent="0.2">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x14ac:dyDescent="0.2">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6" thickBot="1" x14ac:dyDescent="0.25">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x14ac:dyDescent="0.2">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 x14ac:dyDescent="0.2">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4" x14ac:dyDescent="0.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x14ac:dyDescent="0.2">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x14ac:dyDescent="0.2">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6" x14ac:dyDescent="0.2">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x14ac:dyDescent="0.2">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x14ac:dyDescent="0.2">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x14ac:dyDescent="0.2">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x14ac:dyDescent="0.2">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7" x14ac:dyDescent="0.2">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x14ac:dyDescent="0.2">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x14ac:dyDescent="0.2">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x14ac:dyDescent="0.2">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x14ac:dyDescent="0.2">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x14ac:dyDescent="0.2">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x14ac:dyDescent="0.2">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x14ac:dyDescent="0.2">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x14ac:dyDescent="0.2">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x14ac:dyDescent="0.2">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x14ac:dyDescent="0.2">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x14ac:dyDescent="0.2">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x14ac:dyDescent="0.2">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x14ac:dyDescent="0.2">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x14ac:dyDescent="0.2">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x14ac:dyDescent="0.2">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x14ac:dyDescent="0.2">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x14ac:dyDescent="0.2">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x14ac:dyDescent="0.2">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x14ac:dyDescent="0.2">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x14ac:dyDescent="0.2">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x14ac:dyDescent="0.2">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x14ac:dyDescent="0.2">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x14ac:dyDescent="0.2">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x14ac:dyDescent="0.2">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x14ac:dyDescent="0.2">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x14ac:dyDescent="0.2">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x14ac:dyDescent="0.2">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x14ac:dyDescent="0.2">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x14ac:dyDescent="0.2">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x14ac:dyDescent="0.2">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x14ac:dyDescent="0.2">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x14ac:dyDescent="0.2">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x14ac:dyDescent="0.2">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x14ac:dyDescent="0.2">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x14ac:dyDescent="0.2">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x14ac:dyDescent="0.2">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x14ac:dyDescent="0.2">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x14ac:dyDescent="0.2">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x14ac:dyDescent="0.2">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x14ac:dyDescent="0.2">
      <c r="B58" s="1459"/>
      <c r="C58" s="1460"/>
      <c r="D58" s="1459"/>
      <c r="E58" s="1459"/>
      <c r="F58" s="1459"/>
      <c r="G58" s="1459"/>
      <c r="H58" s="1459"/>
      <c r="I58" s="1459"/>
      <c r="J58" s="1459"/>
    </row>
    <row r="59" spans="2:26" x14ac:dyDescent="0.2">
      <c r="B59" s="1463"/>
      <c r="C59" s="1464"/>
      <c r="D59" s="1463"/>
      <c r="E59" s="1463"/>
      <c r="F59" s="1463"/>
      <c r="G59" s="1463"/>
      <c r="H59" s="1463"/>
      <c r="I59" s="1463"/>
      <c r="J59" s="1463"/>
    </row>
    <row r="60" spans="2:26" x14ac:dyDescent="0.2">
      <c r="B60" s="1463"/>
      <c r="C60" s="1464"/>
      <c r="D60" s="1463"/>
      <c r="E60" s="1463"/>
      <c r="F60" s="1463"/>
      <c r="G60" s="1463"/>
      <c r="H60" s="1463"/>
      <c r="I60" s="1463"/>
      <c r="J60" s="1463"/>
    </row>
    <row r="61" spans="2:26" x14ac:dyDescent="0.2">
      <c r="B61" s="1463"/>
      <c r="C61" s="1464"/>
      <c r="D61" s="1463"/>
      <c r="E61" s="1463"/>
      <c r="F61" s="1463"/>
      <c r="G61" s="1463"/>
      <c r="H61" s="1463"/>
      <c r="I61" s="1463"/>
      <c r="J61" s="1463"/>
    </row>
    <row r="62" spans="2:26" x14ac:dyDescent="0.2">
      <c r="B62" s="1410"/>
      <c r="C62" s="1410"/>
      <c r="D62" s="1410"/>
      <c r="E62" s="1410"/>
      <c r="F62" s="1410"/>
      <c r="G62" s="1410"/>
      <c r="H62" s="1410"/>
      <c r="I62" s="1410"/>
      <c r="J62" s="1410"/>
    </row>
    <row r="63" spans="2:26" x14ac:dyDescent="0.2">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dimension ref="A1:M17"/>
  <sheetViews>
    <sheetView workbookViewId="0">
      <selection activeCell="K25" sqref="K25"/>
    </sheetView>
  </sheetViews>
  <sheetFormatPr baseColWidth="10" defaultColWidth="8.83203125" defaultRowHeight="15" x14ac:dyDescent="0.2"/>
  <sheetData>
    <row r="1" spans="1:13" ht="28" x14ac:dyDescent="0.2">
      <c r="A1" s="1520" t="s">
        <v>1338</v>
      </c>
      <c r="E1" s="1514" t="s">
        <v>1342</v>
      </c>
      <c r="F1" s="1515" t="s">
        <v>1346</v>
      </c>
    </row>
    <row r="2" spans="1:13" ht="22" x14ac:dyDescent="0.2">
      <c r="A2" s="1521" t="s">
        <v>1339</v>
      </c>
    </row>
    <row r="3" spans="1:13" ht="17" x14ac:dyDescent="0.2">
      <c r="A3" s="1522" t="s">
        <v>1340</v>
      </c>
    </row>
    <row r="4" spans="1:13" x14ac:dyDescent="0.2">
      <c r="A4" s="1512" t="s">
        <v>1341</v>
      </c>
      <c r="B4" s="1517" t="s">
        <v>1343</v>
      </c>
      <c r="C4" s="1518"/>
      <c r="D4" s="1519"/>
      <c r="E4" s="1517" t="s">
        <v>27</v>
      </c>
      <c r="F4" s="1518"/>
      <c r="G4" s="1519"/>
      <c r="H4" s="1517" t="s">
        <v>1344</v>
      </c>
      <c r="I4" s="1518"/>
      <c r="J4" s="1519"/>
      <c r="K4" s="1517" t="s">
        <v>6</v>
      </c>
      <c r="L4" s="1518"/>
      <c r="M4" s="1519"/>
    </row>
    <row r="5" spans="1:13" x14ac:dyDescent="0.2">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x14ac:dyDescent="0.2">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x14ac:dyDescent="0.2">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x14ac:dyDescent="0.2">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x14ac:dyDescent="0.2">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x14ac:dyDescent="0.2">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x14ac:dyDescent="0.2">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x14ac:dyDescent="0.2">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x14ac:dyDescent="0.2">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x14ac:dyDescent="0.2">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x14ac:dyDescent="0.2">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x14ac:dyDescent="0.2">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x14ac:dyDescent="0.2">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enableFormatConditionsCalculation="0">
    <tabColor rgb="FF92D050"/>
    <pageSetUpPr fitToPage="1"/>
  </sheetPr>
  <dimension ref="A1:AC132"/>
  <sheetViews>
    <sheetView view="pageBreakPreview" topLeftCell="A33" zoomScale="80" zoomScaleNormal="70" zoomScaleSheetLayoutView="80" workbookViewId="0">
      <selection activeCell="C50" sqref="C50"/>
    </sheetView>
  </sheetViews>
  <sheetFormatPr baseColWidth="10" defaultColWidth="9" defaultRowHeight="14" x14ac:dyDescent="0.2"/>
  <cols>
    <col min="1" max="1" width="10.5" style="363" customWidth="1"/>
    <col min="2" max="3" width="15.6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1037"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x14ac:dyDescent="0.25">
      <c r="A1" s="1390" t="s">
        <v>2349</v>
      </c>
      <c r="B1" s="2145" t="s">
        <v>2507</v>
      </c>
      <c r="C1" s="1392" t="s">
        <v>2351</v>
      </c>
      <c r="D1" s="1393" t="s">
        <v>27</v>
      </c>
      <c r="E1" s="1402"/>
      <c r="F1" s="2067" t="s">
        <v>3204</v>
      </c>
      <c r="G1" s="1403" t="s">
        <v>2353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x14ac:dyDescent="0.2">
      <c r="A2" s="1389" t="s">
        <v>1359</v>
      </c>
      <c r="B2" s="1326" t="e">
        <f>IF(C2="——",ROUND(C50*D3/10000,0),ROUND(C50*D3/10000,0)-D2)</f>
        <v>#DIV/0!</v>
      </c>
      <c r="C2" s="2069" t="s">
        <v>70</v>
      </c>
      <c r="D2" s="1275" t="e">
        <f ca="1">SUMIF(INDIRECT("'"&amp;F2&amp;"'"&amp;"!A:A"),"承租人权益价值",INDIRECT("'"&amp;F2&amp;"'"&amp;"!c:c"))</f>
        <v>#DIV/0!</v>
      </c>
      <c r="E2" s="2070" t="s">
        <v>2149</v>
      </c>
      <c r="F2" s="2071" t="s">
        <v>3177</v>
      </c>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x14ac:dyDescent="0.25">
      <c r="A3" s="209" t="s">
        <v>1360</v>
      </c>
      <c r="B3" s="566" t="e">
        <f>IF(C2="——",C50,ROUND(B2*10000/D3,0))</f>
        <v>#DIV/0!</v>
      </c>
      <c r="C3" s="360" t="s">
        <v>2355</v>
      </c>
      <c r="D3" s="359">
        <f>IF(D1="",'数据-汇总表'!E3,SUMIF('数据-汇总表'!$C19:$C33,D1,'数据-汇总表'!$E19:$E33))</f>
        <v>0</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x14ac:dyDescent="0.2">
      <c r="A4" s="361" t="s">
        <v>2356</v>
      </c>
      <c r="B4" s="362"/>
      <c r="C4" s="3429" t="s">
        <v>2357</v>
      </c>
      <c r="D4" s="3430"/>
      <c r="E4" s="3431" t="s">
        <v>2358</v>
      </c>
      <c r="F4" s="3432"/>
      <c r="G4" s="3429" t="s">
        <v>2359</v>
      </c>
      <c r="H4" s="3430"/>
      <c r="I4" s="3429" t="s">
        <v>2360</v>
      </c>
      <c r="J4" s="3430"/>
      <c r="K4" s="567" t="s">
        <v>2361</v>
      </c>
      <c r="L4" s="2944"/>
      <c r="M4" s="2945"/>
      <c r="N4" s="2945"/>
      <c r="O4" s="2945"/>
      <c r="P4" s="3433" t="s">
        <v>2362</v>
      </c>
      <c r="Q4" s="3434"/>
      <c r="R4" s="3439" t="s">
        <v>2358</v>
      </c>
      <c r="S4" s="3440"/>
      <c r="T4" s="3439" t="s">
        <v>2359</v>
      </c>
      <c r="U4" s="3440"/>
      <c r="V4" s="3445" t="s">
        <v>2360</v>
      </c>
      <c r="W4" s="3445"/>
      <c r="X4" s="3047"/>
      <c r="Y4" s="3439" t="s">
        <v>2362</v>
      </c>
      <c r="Z4" s="3440"/>
      <c r="AA4" s="3457" t="s">
        <v>2358</v>
      </c>
      <c r="AB4" s="3457" t="s">
        <v>2359</v>
      </c>
      <c r="AC4" s="3426" t="s">
        <v>2360</v>
      </c>
    </row>
    <row r="5" spans="1:29" x14ac:dyDescent="0.2">
      <c r="A5" s="364"/>
      <c r="B5" s="365"/>
      <c r="C5" s="3554" t="str">
        <f>'租金比较法-商业'!C5:D5</f>
        <v>现代城</v>
      </c>
      <c r="D5" s="3472"/>
      <c r="E5" s="3556" t="str">
        <f>C5</f>
        <v>现代城</v>
      </c>
      <c r="F5" s="3454"/>
      <c r="G5" s="3556" t="str">
        <f t="shared" ref="G5" si="0">E5</f>
        <v>现代城</v>
      </c>
      <c r="H5" s="3454"/>
      <c r="I5" s="3556" t="str">
        <f t="shared" ref="I5" si="1">G5</f>
        <v>现代城</v>
      </c>
      <c r="J5" s="3454"/>
      <c r="K5" s="567"/>
      <c r="L5" s="2944"/>
      <c r="M5" s="2945"/>
      <c r="N5" s="2945"/>
      <c r="O5" s="2945"/>
      <c r="P5" s="3435"/>
      <c r="Q5" s="3436"/>
      <c r="R5" s="3441"/>
      <c r="S5" s="3442"/>
      <c r="T5" s="3441"/>
      <c r="U5" s="3442"/>
      <c r="V5" s="3446"/>
      <c r="W5" s="3446"/>
      <c r="X5" s="3042"/>
      <c r="Y5" s="3441"/>
      <c r="Z5" s="3442"/>
      <c r="AA5" s="3458"/>
      <c r="AB5" s="3458"/>
      <c r="AC5" s="3427"/>
    </row>
    <row r="6" spans="1:29" ht="15" thickBot="1" x14ac:dyDescent="0.25">
      <c r="A6" s="366"/>
      <c r="B6" s="367"/>
      <c r="C6" s="3470">
        <f>'租金比较法-商业'!C6:D6</f>
        <v>0</v>
      </c>
      <c r="D6" s="3471"/>
      <c r="E6" s="3470">
        <f>'租金比较法-商业'!E6:F6</f>
        <v>0</v>
      </c>
      <c r="F6" s="3471"/>
      <c r="G6" s="3470">
        <f>'租金比较法-商业'!G6:H6</f>
        <v>0</v>
      </c>
      <c r="H6" s="3471"/>
      <c r="I6" s="3470">
        <f>'租金比较法-商业'!I6:J6</f>
        <v>0</v>
      </c>
      <c r="J6" s="3471"/>
      <c r="K6" s="567" t="s">
        <v>2368</v>
      </c>
      <c r="L6" s="2944"/>
      <c r="M6" s="2945"/>
      <c r="N6" s="2945"/>
      <c r="O6" s="2945"/>
      <c r="P6" s="3437"/>
      <c r="Q6" s="3438"/>
      <c r="R6" s="3441"/>
      <c r="S6" s="3442"/>
      <c r="T6" s="3443"/>
      <c r="U6" s="3444"/>
      <c r="V6" s="3446"/>
      <c r="W6" s="3446"/>
      <c r="X6" s="3042"/>
      <c r="Y6" s="3443"/>
      <c r="Z6" s="3444"/>
      <c r="AA6" s="3459"/>
      <c r="AB6" s="3459"/>
      <c r="AC6" s="3428"/>
    </row>
    <row r="7" spans="1:29" s="113" customFormat="1" ht="15" thickBot="1" x14ac:dyDescent="0.25">
      <c r="A7" s="368" t="s">
        <v>2369</v>
      </c>
      <c r="B7" s="369"/>
      <c r="C7" s="370">
        <f>'数据-取费表'!B2</f>
        <v>44606</v>
      </c>
      <c r="D7" s="371">
        <v>100</v>
      </c>
      <c r="E7" s="372">
        <v>43947</v>
      </c>
      <c r="F7" s="373">
        <f>SUMIF(59:59,YEAR(E7)&amp;"-"&amp;MONTH(E7),60:60)</f>
        <v>0</v>
      </c>
      <c r="G7" s="372">
        <v>44010</v>
      </c>
      <c r="H7" s="371">
        <f>SUMIF(59:59,YEAR(G7)&amp;"-"&amp;MONTH(G7),60:60)</f>
        <v>0</v>
      </c>
      <c r="I7" s="372">
        <v>44068</v>
      </c>
      <c r="J7" s="371">
        <f>SUMIF(59:59,YEAR(I7)&amp;"-"&amp;MONTH(I7),60:60)</f>
        <v>0</v>
      </c>
      <c r="K7" s="568"/>
      <c r="L7" s="2946"/>
      <c r="M7" s="2947"/>
      <c r="N7" s="2947"/>
      <c r="O7" s="2947"/>
      <c r="P7" s="3449" t="s">
        <v>2370</v>
      </c>
      <c r="Q7" s="3452"/>
      <c r="R7" s="710" t="s">
        <v>17</v>
      </c>
      <c r="S7" s="711">
        <f t="shared" ref="S7:S15" si="2">F7</f>
        <v>0</v>
      </c>
      <c r="T7" s="710" t="s">
        <v>17</v>
      </c>
      <c r="U7" s="711">
        <f t="shared" ref="U7:U15" si="3">H7</f>
        <v>0</v>
      </c>
      <c r="V7" s="710" t="s">
        <v>17</v>
      </c>
      <c r="W7" s="711">
        <f t="shared" ref="W7:W15" si="4">J7</f>
        <v>0</v>
      </c>
      <c r="X7" s="712"/>
      <c r="Y7" s="3451" t="s">
        <v>2370</v>
      </c>
      <c r="Z7" s="3450"/>
      <c r="AA7" s="713" t="e">
        <f>D7/F7</f>
        <v>#DIV/0!</v>
      </c>
      <c r="AB7" s="713" t="e">
        <f>D7/H7</f>
        <v>#DIV/0!</v>
      </c>
      <c r="AC7" s="2147" t="e">
        <f>D7/J7</f>
        <v>#DIV/0!</v>
      </c>
    </row>
    <row r="8" spans="1:29" s="113" customFormat="1" ht="15" thickBot="1" x14ac:dyDescent="0.25">
      <c r="A8" s="368" t="s">
        <v>2371</v>
      </c>
      <c r="B8" s="369"/>
      <c r="C8" s="374" t="s">
        <v>2408</v>
      </c>
      <c r="D8" s="371">
        <v>100</v>
      </c>
      <c r="E8" s="374" t="s">
        <v>3212</v>
      </c>
      <c r="F8" s="373">
        <f>SUMIF(62:62,E8,63:63)-SUMIF(62:62,C8,63:63)+100</f>
        <v>102</v>
      </c>
      <c r="G8" s="374" t="s">
        <v>3212</v>
      </c>
      <c r="H8" s="371">
        <f>SUMIF(62:62,G8,63:63)-SUMIF(62:62,C8,63:63)+100</f>
        <v>102</v>
      </c>
      <c r="I8" s="374" t="s">
        <v>3212</v>
      </c>
      <c r="J8" s="371">
        <f>SUMIF(62:62,I8,63:63)-SUMIF(62:62,C8,63:63)+100</f>
        <v>102</v>
      </c>
      <c r="K8" s="568"/>
      <c r="L8" s="2946"/>
      <c r="M8" s="2947"/>
      <c r="N8" s="2947"/>
      <c r="O8" s="2947"/>
      <c r="P8" s="3449" t="s">
        <v>2373</v>
      </c>
      <c r="Q8" s="3450"/>
      <c r="R8" s="710" t="s">
        <v>17</v>
      </c>
      <c r="S8" s="711">
        <f t="shared" si="2"/>
        <v>102</v>
      </c>
      <c r="T8" s="710" t="s">
        <v>17</v>
      </c>
      <c r="U8" s="711">
        <f t="shared" si="3"/>
        <v>102</v>
      </c>
      <c r="V8" s="710" t="s">
        <v>17</v>
      </c>
      <c r="W8" s="711">
        <f t="shared" si="4"/>
        <v>102</v>
      </c>
      <c r="X8" s="712"/>
      <c r="Y8" s="3451" t="s">
        <v>2373</v>
      </c>
      <c r="Z8" s="3450"/>
      <c r="AA8" s="713">
        <f t="shared" ref="AA8:AA47" si="5">D8/F8</f>
        <v>0.98039215686274506</v>
      </c>
      <c r="AB8" s="713">
        <f t="shared" ref="AB8:AB47" si="6">D8/H8</f>
        <v>0.98039215686274506</v>
      </c>
      <c r="AC8" s="2147">
        <f t="shared" ref="AC8:AC47" si="7">D8/J8</f>
        <v>0.98039215686274506</v>
      </c>
    </row>
    <row r="9" spans="1:29" s="113" customFormat="1" x14ac:dyDescent="0.2">
      <c r="A9" s="375" t="s">
        <v>2374</v>
      </c>
      <c r="B9" s="67" t="s">
        <v>2375</v>
      </c>
      <c r="C9" s="3123" t="s">
        <v>3242</v>
      </c>
      <c r="D9" s="131">
        <v>100</v>
      </c>
      <c r="E9" s="379" t="s">
        <v>27</v>
      </c>
      <c r="F9" s="131">
        <f>SUMIF(64:64,E9,65:65)-SUMIF(64:64,C9,65:65)+100</f>
        <v>100</v>
      </c>
      <c r="G9" s="379" t="s">
        <v>27</v>
      </c>
      <c r="H9" s="131">
        <f>SUMIF(64:64,G9,65:65)-SUMIF(64:64,C9,65:65)+100</f>
        <v>100</v>
      </c>
      <c r="I9" s="379" t="s">
        <v>27</v>
      </c>
      <c r="J9" s="131">
        <f>SUMIF(64:64,I9,65:65)-SUMIF(64:64,C9,65:65)+100</f>
        <v>100</v>
      </c>
      <c r="K9" s="568"/>
      <c r="L9" s="2946"/>
      <c r="M9" s="2947"/>
      <c r="N9" s="2947"/>
      <c r="O9" s="2947"/>
      <c r="P9" s="3410" t="s">
        <v>2376</v>
      </c>
      <c r="Q9" s="3041" t="str">
        <f t="shared" ref="Q9:Q15" si="8">B9</f>
        <v>用途</v>
      </c>
      <c r="R9" s="710" t="s">
        <v>17</v>
      </c>
      <c r="S9" s="711">
        <f t="shared" si="2"/>
        <v>100</v>
      </c>
      <c r="T9" s="710" t="s">
        <v>17</v>
      </c>
      <c r="U9" s="711">
        <f t="shared" si="3"/>
        <v>100</v>
      </c>
      <c r="V9" s="710" t="s">
        <v>17</v>
      </c>
      <c r="W9" s="711">
        <f t="shared" si="4"/>
        <v>100</v>
      </c>
      <c r="X9" s="712"/>
      <c r="Y9" s="3311" t="s">
        <v>2377</v>
      </c>
      <c r="Z9" s="3040" t="str">
        <f t="shared" ref="Z9:Z15" si="9">Q9</f>
        <v>用途</v>
      </c>
      <c r="AA9" s="713">
        <f t="shared" si="5"/>
        <v>1</v>
      </c>
      <c r="AB9" s="713">
        <f t="shared" si="6"/>
        <v>1</v>
      </c>
      <c r="AC9" s="2147">
        <f t="shared" si="7"/>
        <v>1</v>
      </c>
    </row>
    <row r="10" spans="1:29" s="386" customFormat="1" ht="29" thickBot="1" x14ac:dyDescent="0.25">
      <c r="A10" s="380"/>
      <c r="B10" s="381" t="s">
        <v>2378</v>
      </c>
      <c r="C10" s="382" t="s">
        <v>3215</v>
      </c>
      <c r="D10" s="132">
        <v>100</v>
      </c>
      <c r="E10" s="382" t="s">
        <v>3215</v>
      </c>
      <c r="F10" s="132">
        <f>SUMIF(66:66,E10,67:67)-SUMIF(66:66,C10,67:67)+100</f>
        <v>100</v>
      </c>
      <c r="G10" s="382" t="s">
        <v>3215</v>
      </c>
      <c r="H10" s="132">
        <f>SUMIF(66:66,G10,67:67)-SUMIF(66:66,C10,67:67)+100</f>
        <v>100</v>
      </c>
      <c r="I10" s="382" t="s">
        <v>3215</v>
      </c>
      <c r="J10" s="132">
        <f>SUMIF(66:66,I10,67:67)-SUMIF(66:66,C10,67:67)+100</f>
        <v>100</v>
      </c>
      <c r="K10" s="569">
        <v>1</v>
      </c>
      <c r="L10" s="2948"/>
      <c r="M10" s="2949"/>
      <c r="N10" s="2949"/>
      <c r="O10" s="2949"/>
      <c r="P10" s="3410"/>
      <c r="Q10" s="3041" t="str">
        <f t="shared" si="8"/>
        <v>土地使用年限（年）</v>
      </c>
      <c r="R10" s="710" t="s">
        <v>17</v>
      </c>
      <c r="S10" s="711">
        <f t="shared" si="2"/>
        <v>100</v>
      </c>
      <c r="T10" s="710" t="s">
        <v>17</v>
      </c>
      <c r="U10" s="711">
        <f t="shared" si="3"/>
        <v>100</v>
      </c>
      <c r="V10" s="710" t="s">
        <v>17</v>
      </c>
      <c r="W10" s="711">
        <f t="shared" si="4"/>
        <v>100</v>
      </c>
      <c r="X10" s="712"/>
      <c r="Y10" s="3311"/>
      <c r="Z10" s="3040" t="str">
        <f t="shared" si="9"/>
        <v>土地使用年限（年）</v>
      </c>
      <c r="AA10" s="713">
        <f t="shared" si="5"/>
        <v>1</v>
      </c>
      <c r="AB10" s="713">
        <f t="shared" si="6"/>
        <v>1</v>
      </c>
      <c r="AC10" s="2147">
        <f t="shared" si="7"/>
        <v>1</v>
      </c>
    </row>
    <row r="11" spans="1:29" ht="17" hidden="1" thickBot="1" x14ac:dyDescent="0.25">
      <c r="A11" s="387"/>
      <c r="B11" s="381" t="s">
        <v>2379</v>
      </c>
      <c r="C11" s="388">
        <v>2.5</v>
      </c>
      <c r="D11" s="132">
        <v>100</v>
      </c>
      <c r="E11" s="388">
        <f>C11</f>
        <v>2.5</v>
      </c>
      <c r="F11" s="132">
        <f>LOOKUP(E11,69:69,70:70)-LOOKUP(C11,69:69,70:70)+100</f>
        <v>100</v>
      </c>
      <c r="G11" s="389">
        <f>C11</f>
        <v>2.5</v>
      </c>
      <c r="H11" s="132">
        <f>LOOKUP(G11,69:69,70:70)-LOOKUP(C11,69:69,70:70)+100</f>
        <v>100</v>
      </c>
      <c r="I11" s="388">
        <f>C11</f>
        <v>2.5</v>
      </c>
      <c r="J11" s="132">
        <f>LOOKUP(I11,69:69,70:70)-LOOKUP(C11,69:69,70:70)+100</f>
        <v>100</v>
      </c>
      <c r="K11" s="569"/>
      <c r="L11" s="2950"/>
      <c r="M11" s="2945"/>
      <c r="N11" s="2945"/>
      <c r="O11" s="2945"/>
      <c r="P11" s="3410"/>
      <c r="Q11" s="3041" t="str">
        <f t="shared" si="8"/>
        <v>容积率</v>
      </c>
      <c r="R11" s="710" t="s">
        <v>17</v>
      </c>
      <c r="S11" s="711">
        <f t="shared" si="2"/>
        <v>100</v>
      </c>
      <c r="T11" s="710" t="s">
        <v>17</v>
      </c>
      <c r="U11" s="711">
        <f t="shared" si="3"/>
        <v>100</v>
      </c>
      <c r="V11" s="710" t="s">
        <v>17</v>
      </c>
      <c r="W11" s="711">
        <f t="shared" si="4"/>
        <v>100</v>
      </c>
      <c r="X11" s="712"/>
      <c r="Y11" s="3311"/>
      <c r="Z11" s="3040" t="str">
        <f t="shared" si="9"/>
        <v>容积率</v>
      </c>
      <c r="AA11" s="713">
        <f t="shared" si="5"/>
        <v>1</v>
      </c>
      <c r="AB11" s="713">
        <f t="shared" si="6"/>
        <v>1</v>
      </c>
      <c r="AC11" s="2147">
        <f t="shared" si="7"/>
        <v>1</v>
      </c>
    </row>
    <row r="12" spans="1:29" s="113" customFormat="1" ht="16" hidden="1" x14ac:dyDescent="0.2">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410"/>
      <c r="Q12" s="3041">
        <f t="shared" si="8"/>
        <v>111</v>
      </c>
      <c r="R12" s="710" t="s">
        <v>17</v>
      </c>
      <c r="S12" s="711">
        <f t="shared" si="2"/>
        <v>100</v>
      </c>
      <c r="T12" s="710" t="s">
        <v>17</v>
      </c>
      <c r="U12" s="711">
        <f t="shared" si="3"/>
        <v>100</v>
      </c>
      <c r="V12" s="710" t="s">
        <v>17</v>
      </c>
      <c r="W12" s="711">
        <f t="shared" si="4"/>
        <v>100</v>
      </c>
      <c r="X12" s="712"/>
      <c r="Y12" s="3311"/>
      <c r="Z12" s="3040">
        <f t="shared" si="9"/>
        <v>111</v>
      </c>
      <c r="AA12" s="713">
        <f>D12/F12</f>
        <v>1</v>
      </c>
      <c r="AB12" s="713">
        <f>D12/H12</f>
        <v>1</v>
      </c>
      <c r="AC12" s="2147">
        <f>D12/J12</f>
        <v>1</v>
      </c>
    </row>
    <row r="13" spans="1:29" ht="16" hidden="1" x14ac:dyDescent="0.2">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410"/>
      <c r="Q13" s="3041">
        <f t="shared" si="8"/>
        <v>111</v>
      </c>
      <c r="R13" s="710" t="s">
        <v>17</v>
      </c>
      <c r="S13" s="711">
        <f t="shared" si="2"/>
        <v>100</v>
      </c>
      <c r="T13" s="710" t="s">
        <v>17</v>
      </c>
      <c r="U13" s="711">
        <f t="shared" si="3"/>
        <v>100</v>
      </c>
      <c r="V13" s="710" t="s">
        <v>17</v>
      </c>
      <c r="W13" s="711">
        <f t="shared" si="4"/>
        <v>100</v>
      </c>
      <c r="X13" s="712"/>
      <c r="Y13" s="3311"/>
      <c r="Z13" s="3040">
        <f t="shared" si="9"/>
        <v>111</v>
      </c>
      <c r="AA13" s="713">
        <f t="shared" si="5"/>
        <v>1</v>
      </c>
      <c r="AB13" s="713">
        <f t="shared" si="6"/>
        <v>1</v>
      </c>
      <c r="AC13" s="2147">
        <f t="shared" si="7"/>
        <v>1</v>
      </c>
    </row>
    <row r="14" spans="1:29" ht="17" hidden="1" thickBot="1" x14ac:dyDescent="0.25">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410"/>
      <c r="Q14" s="3041">
        <f t="shared" si="8"/>
        <v>111</v>
      </c>
      <c r="R14" s="710" t="s">
        <v>17</v>
      </c>
      <c r="S14" s="711">
        <f t="shared" si="2"/>
        <v>100</v>
      </c>
      <c r="T14" s="710" t="s">
        <v>17</v>
      </c>
      <c r="U14" s="711">
        <f t="shared" si="3"/>
        <v>100</v>
      </c>
      <c r="V14" s="710" t="s">
        <v>17</v>
      </c>
      <c r="W14" s="711">
        <f t="shared" si="4"/>
        <v>100</v>
      </c>
      <c r="X14" s="712"/>
      <c r="Y14" s="3311"/>
      <c r="Z14" s="3040">
        <f t="shared" si="9"/>
        <v>111</v>
      </c>
      <c r="AA14" s="713">
        <f t="shared" si="5"/>
        <v>1</v>
      </c>
      <c r="AB14" s="713">
        <f t="shared" si="6"/>
        <v>1</v>
      </c>
      <c r="AC14" s="2147">
        <f t="shared" si="7"/>
        <v>1</v>
      </c>
    </row>
    <row r="15" spans="1:29" ht="70" x14ac:dyDescent="0.2">
      <c r="A15" s="399" t="s">
        <v>2380</v>
      </c>
      <c r="B15" s="585" t="s">
        <v>2508</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51"/>
      <c r="M15" s="2945"/>
      <c r="N15" s="2945"/>
      <c r="O15" s="2945"/>
      <c r="P15" s="3416" t="s">
        <v>2381</v>
      </c>
      <c r="Q15" s="3045" t="str">
        <f t="shared" si="8"/>
        <v>办公集聚程度</v>
      </c>
      <c r="R15" s="714" t="s">
        <v>17</v>
      </c>
      <c r="S15" s="715">
        <f t="shared" si="2"/>
        <v>100</v>
      </c>
      <c r="T15" s="714" t="s">
        <v>17</v>
      </c>
      <c r="U15" s="715">
        <f t="shared" si="3"/>
        <v>100</v>
      </c>
      <c r="V15" s="714" t="s">
        <v>17</v>
      </c>
      <c r="W15" s="715">
        <f t="shared" si="4"/>
        <v>100</v>
      </c>
      <c r="X15" s="3042"/>
      <c r="Y15" s="3418" t="s">
        <v>2381</v>
      </c>
      <c r="Z15" s="3043" t="str">
        <f t="shared" si="9"/>
        <v>办公集聚程度</v>
      </c>
      <c r="AA15" s="3046">
        <f t="shared" si="5"/>
        <v>1</v>
      </c>
      <c r="AB15" s="3046">
        <f t="shared" si="6"/>
        <v>1</v>
      </c>
      <c r="AC15" s="2150">
        <f t="shared" si="7"/>
        <v>1</v>
      </c>
    </row>
    <row r="16" spans="1:29" ht="16" x14ac:dyDescent="0.2">
      <c r="A16" s="387"/>
      <c r="B16" s="586"/>
      <c r="C16" s="2092" t="s">
        <v>3209</v>
      </c>
      <c r="D16" s="407"/>
      <c r="E16" s="2092" t="s">
        <v>3209</v>
      </c>
      <c r="F16" s="407"/>
      <c r="G16" s="2092" t="s">
        <v>3209</v>
      </c>
      <c r="H16" s="409"/>
      <c r="I16" s="2092" t="s">
        <v>3209</v>
      </c>
      <c r="J16" s="407"/>
      <c r="K16" s="572"/>
      <c r="L16" s="2951"/>
      <c r="M16" s="2945"/>
      <c r="N16" s="2945"/>
      <c r="O16" s="2945"/>
      <c r="P16" s="3417"/>
      <c r="Q16" s="3045"/>
      <c r="R16" s="714"/>
      <c r="S16" s="715"/>
      <c r="T16" s="714"/>
      <c r="U16" s="715"/>
      <c r="V16" s="714"/>
      <c r="W16" s="715"/>
      <c r="X16" s="3042"/>
      <c r="Y16" s="3419"/>
      <c r="Z16" s="3043"/>
      <c r="AA16" s="3046">
        <v>1</v>
      </c>
      <c r="AB16" s="3046">
        <v>1</v>
      </c>
      <c r="AC16" s="2150">
        <v>1</v>
      </c>
    </row>
    <row r="17" spans="1:29" ht="70" x14ac:dyDescent="0.2">
      <c r="A17" s="387"/>
      <c r="B17" s="587" t="s">
        <v>1945</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51"/>
      <c r="M17" s="2945"/>
      <c r="N17" s="2945"/>
      <c r="O17" s="2945"/>
      <c r="P17" s="3417"/>
      <c r="Q17" s="3045" t="str">
        <f>B17</f>
        <v>交通便捷度</v>
      </c>
      <c r="R17" s="714" t="s">
        <v>17</v>
      </c>
      <c r="S17" s="715">
        <f>F17</f>
        <v>100</v>
      </c>
      <c r="T17" s="714" t="s">
        <v>17</v>
      </c>
      <c r="U17" s="715">
        <f>H17</f>
        <v>100</v>
      </c>
      <c r="V17" s="714" t="s">
        <v>17</v>
      </c>
      <c r="W17" s="715">
        <f>J17</f>
        <v>100</v>
      </c>
      <c r="X17" s="3042"/>
      <c r="Y17" s="3419"/>
      <c r="Z17" s="3043" t="str">
        <f>Q17</f>
        <v>交通便捷度</v>
      </c>
      <c r="AA17" s="3046">
        <f t="shared" si="5"/>
        <v>1</v>
      </c>
      <c r="AB17" s="3046">
        <f t="shared" si="6"/>
        <v>1</v>
      </c>
      <c r="AC17" s="2150">
        <f t="shared" si="7"/>
        <v>1</v>
      </c>
    </row>
    <row r="18" spans="1:29" ht="16" x14ac:dyDescent="0.2">
      <c r="A18" s="387"/>
      <c r="B18" s="588"/>
      <c r="C18" s="2152" t="s">
        <v>3208</v>
      </c>
      <c r="D18" s="409"/>
      <c r="E18" s="2152" t="s">
        <v>3208</v>
      </c>
      <c r="F18" s="409"/>
      <c r="G18" s="2152" t="s">
        <v>3208</v>
      </c>
      <c r="H18" s="407"/>
      <c r="I18" s="2152" t="s">
        <v>3208</v>
      </c>
      <c r="J18" s="407"/>
      <c r="K18" s="572"/>
      <c r="L18" s="2951"/>
      <c r="M18" s="2945"/>
      <c r="N18" s="2945"/>
      <c r="O18" s="2945"/>
      <c r="P18" s="3417"/>
      <c r="Q18" s="3045"/>
      <c r="R18" s="714"/>
      <c r="S18" s="715"/>
      <c r="T18" s="714"/>
      <c r="U18" s="715"/>
      <c r="V18" s="714"/>
      <c r="W18" s="715"/>
      <c r="X18" s="3042"/>
      <c r="Y18" s="3419"/>
      <c r="Z18" s="3043"/>
      <c r="AA18" s="3046">
        <v>1</v>
      </c>
      <c r="AB18" s="3046">
        <v>1</v>
      </c>
      <c r="AC18" s="2150">
        <v>1</v>
      </c>
    </row>
    <row r="19" spans="1:29" ht="42" x14ac:dyDescent="0.2">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51"/>
      <c r="M19" s="2945"/>
      <c r="N19" s="2945"/>
      <c r="O19" s="2945"/>
      <c r="P19" s="3417"/>
      <c r="Q19" s="3045" t="str">
        <f>B19</f>
        <v>公共配套设施</v>
      </c>
      <c r="R19" s="714" t="s">
        <v>17</v>
      </c>
      <c r="S19" s="715">
        <f>F19</f>
        <v>100</v>
      </c>
      <c r="T19" s="714" t="s">
        <v>17</v>
      </c>
      <c r="U19" s="715">
        <f>H19</f>
        <v>100</v>
      </c>
      <c r="V19" s="714" t="s">
        <v>17</v>
      </c>
      <c r="W19" s="715">
        <f>J19</f>
        <v>100</v>
      </c>
      <c r="X19" s="3042"/>
      <c r="Y19" s="3419"/>
      <c r="Z19" s="3043" t="str">
        <f>Q19</f>
        <v>公共配套设施</v>
      </c>
      <c r="AA19" s="3046">
        <f t="shared" si="5"/>
        <v>1</v>
      </c>
      <c r="AB19" s="3046">
        <f t="shared" si="6"/>
        <v>1</v>
      </c>
      <c r="AC19" s="2150">
        <f t="shared" si="7"/>
        <v>1</v>
      </c>
    </row>
    <row r="20" spans="1:29" ht="16" x14ac:dyDescent="0.2">
      <c r="A20" s="387"/>
      <c r="B20" s="588"/>
      <c r="C20" s="2092" t="s">
        <v>3209</v>
      </c>
      <c r="D20" s="407"/>
      <c r="E20" s="2092" t="s">
        <v>3209</v>
      </c>
      <c r="F20" s="407"/>
      <c r="G20" s="2092" t="s">
        <v>3209</v>
      </c>
      <c r="H20" s="407"/>
      <c r="I20" s="2092" t="s">
        <v>3209</v>
      </c>
      <c r="J20" s="407"/>
      <c r="K20" s="572"/>
      <c r="L20" s="2951"/>
      <c r="M20" s="2945"/>
      <c r="N20" s="2945"/>
      <c r="O20" s="2945"/>
      <c r="P20" s="3417"/>
      <c r="Q20" s="3045"/>
      <c r="R20" s="714"/>
      <c r="S20" s="715"/>
      <c r="T20" s="714"/>
      <c r="U20" s="715"/>
      <c r="V20" s="714"/>
      <c r="W20" s="715"/>
      <c r="X20" s="3042"/>
      <c r="Y20" s="3419"/>
      <c r="Z20" s="3043"/>
      <c r="AA20" s="3046">
        <v>1</v>
      </c>
      <c r="AB20" s="3046">
        <v>1</v>
      </c>
      <c r="AC20" s="2150">
        <v>1</v>
      </c>
    </row>
    <row r="21" spans="1:29" ht="28" x14ac:dyDescent="0.2">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417"/>
      <c r="Q21" s="3045" t="str">
        <f>B21</f>
        <v>基础设施水平</v>
      </c>
      <c r="R21" s="714" t="s">
        <v>17</v>
      </c>
      <c r="S21" s="715">
        <f>F21</f>
        <v>100</v>
      </c>
      <c r="T21" s="714" t="s">
        <v>17</v>
      </c>
      <c r="U21" s="715">
        <f>H21</f>
        <v>100</v>
      </c>
      <c r="V21" s="714" t="s">
        <v>17</v>
      </c>
      <c r="W21" s="715">
        <f>J21</f>
        <v>100</v>
      </c>
      <c r="X21" s="3042"/>
      <c r="Y21" s="3419"/>
      <c r="Z21" s="3043" t="str">
        <f>Q21</f>
        <v>基础设施水平</v>
      </c>
      <c r="AA21" s="3046">
        <f t="shared" ref="AA21" si="10">D21/F21</f>
        <v>1</v>
      </c>
      <c r="AB21" s="3046">
        <f t="shared" ref="AB21" si="11">D21/H21</f>
        <v>1</v>
      </c>
      <c r="AC21" s="2150">
        <f t="shared" ref="AC21" si="12">D21/J21</f>
        <v>1</v>
      </c>
    </row>
    <row r="22" spans="1:29" ht="16" x14ac:dyDescent="0.2">
      <c r="A22" s="387"/>
      <c r="B22" s="589"/>
      <c r="C22" s="2152" t="s">
        <v>3216</v>
      </c>
      <c r="D22" s="407"/>
      <c r="E22" s="2152" t="s">
        <v>3216</v>
      </c>
      <c r="F22" s="407"/>
      <c r="G22" s="2152" t="s">
        <v>3216</v>
      </c>
      <c r="H22" s="407"/>
      <c r="I22" s="2152" t="s">
        <v>3216</v>
      </c>
      <c r="J22" s="407"/>
      <c r="K22" s="1292"/>
      <c r="L22" s="2951"/>
      <c r="M22" s="2945"/>
      <c r="N22" s="2945"/>
      <c r="O22" s="2945"/>
      <c r="P22" s="3417"/>
      <c r="Q22" s="3045"/>
      <c r="R22" s="714"/>
      <c r="S22" s="715"/>
      <c r="T22" s="714"/>
      <c r="U22" s="715"/>
      <c r="V22" s="714"/>
      <c r="W22" s="715"/>
      <c r="X22" s="3042"/>
      <c r="Y22" s="3419"/>
      <c r="Z22" s="3043"/>
      <c r="AA22" s="3046">
        <v>1</v>
      </c>
      <c r="AB22" s="3046">
        <v>1</v>
      </c>
      <c r="AC22" s="2150">
        <v>1</v>
      </c>
    </row>
    <row r="23" spans="1:29" ht="42" x14ac:dyDescent="0.2">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1"/>
      <c r="M23" s="2945"/>
      <c r="N23" s="2945"/>
      <c r="O23" s="2945"/>
      <c r="P23" s="3417"/>
      <c r="Q23" s="3045" t="str">
        <f>B23</f>
        <v>环境质量</v>
      </c>
      <c r="R23" s="714" t="s">
        <v>17</v>
      </c>
      <c r="S23" s="715">
        <f>F23</f>
        <v>100</v>
      </c>
      <c r="T23" s="714" t="s">
        <v>17</v>
      </c>
      <c r="U23" s="715">
        <f>H23</f>
        <v>100</v>
      </c>
      <c r="V23" s="714" t="s">
        <v>17</v>
      </c>
      <c r="W23" s="715">
        <f>J23</f>
        <v>100</v>
      </c>
      <c r="X23" s="3042"/>
      <c r="Y23" s="3419"/>
      <c r="Z23" s="3043" t="str">
        <f>Q23</f>
        <v>环境质量</v>
      </c>
      <c r="AA23" s="3046">
        <f t="shared" si="5"/>
        <v>1</v>
      </c>
      <c r="AB23" s="3046">
        <f t="shared" si="6"/>
        <v>1</v>
      </c>
      <c r="AC23" s="2150">
        <f t="shared" si="7"/>
        <v>1</v>
      </c>
    </row>
    <row r="24" spans="1:29" ht="16" x14ac:dyDescent="0.2">
      <c r="A24" s="387"/>
      <c r="B24" s="589"/>
      <c r="C24" s="2092" t="s">
        <v>3209</v>
      </c>
      <c r="D24" s="407"/>
      <c r="E24" s="2092" t="s">
        <v>3209</v>
      </c>
      <c r="F24" s="407"/>
      <c r="G24" s="2092" t="s">
        <v>3209</v>
      </c>
      <c r="H24" s="407"/>
      <c r="I24" s="2092" t="s">
        <v>3209</v>
      </c>
      <c r="J24" s="407"/>
      <c r="K24" s="572"/>
      <c r="L24" s="2951"/>
      <c r="M24" s="2945"/>
      <c r="N24" s="2945"/>
      <c r="O24" s="2945"/>
      <c r="P24" s="3417"/>
      <c r="Q24" s="3045"/>
      <c r="R24" s="714"/>
      <c r="S24" s="715"/>
      <c r="T24" s="714"/>
      <c r="U24" s="715"/>
      <c r="V24" s="714"/>
      <c r="W24" s="715"/>
      <c r="X24" s="3042"/>
      <c r="Y24" s="3419"/>
      <c r="Z24" s="3043"/>
      <c r="AA24" s="3046">
        <v>1</v>
      </c>
      <c r="AB24" s="3046">
        <v>1</v>
      </c>
      <c r="AC24" s="2150">
        <v>1</v>
      </c>
    </row>
    <row r="25" spans="1:29" ht="28" x14ac:dyDescent="0.2">
      <c r="A25" s="364"/>
      <c r="B25" s="587" t="s">
        <v>2512</v>
      </c>
      <c r="C25" s="2096">
        <f>'租金比较法-商业'!C25</f>
        <v>0</v>
      </c>
      <c r="D25" s="394">
        <v>100</v>
      </c>
      <c r="E25" s="393">
        <f>C25</f>
        <v>0</v>
      </c>
      <c r="F25" s="394">
        <f>SUMIF(87:87,E26,88:88)-SUMIF(87:87,C26,88:88)+100</f>
        <v>100</v>
      </c>
      <c r="G25" s="2096">
        <f>C25</f>
        <v>0</v>
      </c>
      <c r="H25" s="394">
        <f>SUMIF(87:87,G26,88:88)-SUMIF(87:87,C26,88:88)+100</f>
        <v>100</v>
      </c>
      <c r="I25" s="393">
        <f>C25</f>
        <v>0</v>
      </c>
      <c r="J25" s="394">
        <f>SUMIF(87:87,I26,88:88)-SUMIF(87:87,C26,88:88)+100</f>
        <v>100</v>
      </c>
      <c r="K25" s="571">
        <v>2</v>
      </c>
      <c r="L25" s="2951"/>
      <c r="M25" s="2945"/>
      <c r="N25" s="2945"/>
      <c r="O25" s="2945"/>
      <c r="P25" s="3417"/>
      <c r="Q25" s="3045" t="str">
        <f>B25</f>
        <v>毗邻道路的类型与等级</v>
      </c>
      <c r="R25" s="714" t="s">
        <v>17</v>
      </c>
      <c r="S25" s="715">
        <f>F25</f>
        <v>100</v>
      </c>
      <c r="T25" s="714" t="s">
        <v>17</v>
      </c>
      <c r="U25" s="715">
        <f>H25</f>
        <v>100</v>
      </c>
      <c r="V25" s="714" t="s">
        <v>17</v>
      </c>
      <c r="W25" s="715">
        <f>J25</f>
        <v>100</v>
      </c>
      <c r="X25" s="3042"/>
      <c r="Y25" s="3419"/>
      <c r="Z25" s="3043" t="str">
        <f>Q25</f>
        <v>毗邻道路的类型与等级</v>
      </c>
      <c r="AA25" s="3046">
        <f t="shared" si="5"/>
        <v>1</v>
      </c>
      <c r="AB25" s="3046">
        <f t="shared" si="6"/>
        <v>1</v>
      </c>
      <c r="AC25" s="2150">
        <f t="shared" si="7"/>
        <v>1</v>
      </c>
    </row>
    <row r="26" spans="1:29" ht="16" x14ac:dyDescent="0.2">
      <c r="A26" s="364"/>
      <c r="B26" s="588"/>
      <c r="C26" s="590" t="s">
        <v>3219</v>
      </c>
      <c r="D26" s="394"/>
      <c r="E26" s="590" t="s">
        <v>3219</v>
      </c>
      <c r="F26" s="394"/>
      <c r="G26" s="590" t="s">
        <v>3219</v>
      </c>
      <c r="H26" s="394"/>
      <c r="I26" s="590" t="s">
        <v>3219</v>
      </c>
      <c r="J26" s="394"/>
      <c r="K26" s="572"/>
      <c r="L26" s="2951"/>
      <c r="M26" s="2945"/>
      <c r="N26" s="2945"/>
      <c r="O26" s="2945"/>
      <c r="P26" s="3417"/>
      <c r="Q26" s="3045"/>
      <c r="R26" s="714"/>
      <c r="S26" s="715"/>
      <c r="T26" s="714"/>
      <c r="U26" s="715"/>
      <c r="V26" s="714"/>
      <c r="W26" s="715"/>
      <c r="X26" s="3042"/>
      <c r="Y26" s="3419"/>
      <c r="Z26" s="3043"/>
      <c r="AA26" s="3046">
        <v>1</v>
      </c>
      <c r="AB26" s="3046">
        <v>1</v>
      </c>
      <c r="AC26" s="2150">
        <v>1</v>
      </c>
    </row>
    <row r="27" spans="1:29" ht="16" hidden="1" x14ac:dyDescent="0.2">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17"/>
      <c r="Q27" s="3045" t="str">
        <f t="shared" ref="Q27:Q47" si="13">B27</f>
        <v>楼层</v>
      </c>
      <c r="R27" s="714" t="s">
        <v>17</v>
      </c>
      <c r="S27" s="715">
        <f>F27</f>
        <v>100</v>
      </c>
      <c r="T27" s="714" t="s">
        <v>17</v>
      </c>
      <c r="U27" s="715">
        <f>H27</f>
        <v>100</v>
      </c>
      <c r="V27" s="714" t="s">
        <v>17</v>
      </c>
      <c r="W27" s="715">
        <f>J27</f>
        <v>100</v>
      </c>
      <c r="X27" s="3042"/>
      <c r="Y27" s="3419"/>
      <c r="Z27" s="3043" t="str">
        <f>Q27</f>
        <v>楼层</v>
      </c>
      <c r="AA27" s="3046">
        <f t="shared" si="5"/>
        <v>1</v>
      </c>
      <c r="AB27" s="3046">
        <f t="shared" si="6"/>
        <v>1</v>
      </c>
      <c r="AC27" s="2150">
        <f t="shared" si="7"/>
        <v>1</v>
      </c>
    </row>
    <row r="28" spans="1:29" s="113" customFormat="1" ht="16" hidden="1" x14ac:dyDescent="0.2">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417"/>
      <c r="Q28" s="3041" t="str">
        <f t="shared" si="13"/>
        <v>朝向</v>
      </c>
      <c r="R28" s="710" t="s">
        <v>17</v>
      </c>
      <c r="S28" s="711">
        <f>F28</f>
        <v>100</v>
      </c>
      <c r="T28" s="710" t="s">
        <v>17</v>
      </c>
      <c r="U28" s="711">
        <f>H28</f>
        <v>100</v>
      </c>
      <c r="V28" s="710" t="s">
        <v>17</v>
      </c>
      <c r="W28" s="711">
        <f>J28</f>
        <v>100</v>
      </c>
      <c r="X28" s="712"/>
      <c r="Y28" s="3419"/>
      <c r="Z28" s="3040" t="str">
        <f>Q28</f>
        <v>朝向</v>
      </c>
      <c r="AA28" s="3046">
        <f>D28/F28</f>
        <v>1</v>
      </c>
      <c r="AB28" s="3046">
        <f>D28/H28</f>
        <v>1</v>
      </c>
      <c r="AC28" s="2150">
        <f>D28/J28</f>
        <v>1</v>
      </c>
    </row>
    <row r="29" spans="1:29" ht="17" thickBot="1" x14ac:dyDescent="0.25">
      <c r="A29" s="387"/>
      <c r="B29" s="3125" t="s">
        <v>3238</v>
      </c>
      <c r="C29" s="2096" t="str">
        <f>'租金比较法-商业'!C29</f>
        <v>1-2</v>
      </c>
      <c r="D29" s="394">
        <v>100</v>
      </c>
      <c r="E29" s="391" t="s">
        <v>3239</v>
      </c>
      <c r="F29" s="394">
        <f>SUMIF(93:93,E29,94:94)-SUMIF(93:93,C29,94:94)+100</f>
        <v>102</v>
      </c>
      <c r="G29" s="2148" t="s">
        <v>3240</v>
      </c>
      <c r="H29" s="394">
        <f>SUMIF(93:93,G29,94:94)-SUMIF(93:93,C29,94:94)+100</f>
        <v>102</v>
      </c>
      <c r="I29" s="391" t="s">
        <v>3241</v>
      </c>
      <c r="J29" s="394">
        <f>SUMIF(93:93,I29,94:94)-SUMIF(93:93,C29,94:94)+100</f>
        <v>100</v>
      </c>
      <c r="K29" s="570"/>
      <c r="L29" s="2951"/>
      <c r="M29" s="2945"/>
      <c r="N29" s="2945"/>
      <c r="O29" s="2945"/>
      <c r="P29" s="3417"/>
      <c r="Q29" s="3045" t="str">
        <f t="shared" si="13"/>
        <v>楼层</v>
      </c>
      <c r="R29" s="714" t="s">
        <v>17</v>
      </c>
      <c r="S29" s="715">
        <f t="shared" ref="S29:S47" si="14">F29</f>
        <v>102</v>
      </c>
      <c r="T29" s="714" t="s">
        <v>17</v>
      </c>
      <c r="U29" s="715">
        <f t="shared" ref="U29:U47" si="15">H29</f>
        <v>102</v>
      </c>
      <c r="V29" s="714" t="s">
        <v>17</v>
      </c>
      <c r="W29" s="715">
        <f t="shared" ref="W29:W47" si="16">J29</f>
        <v>100</v>
      </c>
      <c r="X29" s="3042"/>
      <c r="Y29" s="3419"/>
      <c r="Z29" s="3043" t="str">
        <f t="shared" ref="Z29:Z47" si="17">Q29</f>
        <v>楼层</v>
      </c>
      <c r="AA29" s="3046">
        <f t="shared" si="5"/>
        <v>0.98039215686274506</v>
      </c>
      <c r="AB29" s="3046">
        <f t="shared" si="6"/>
        <v>0.98039215686274506</v>
      </c>
      <c r="AC29" s="2150">
        <f t="shared" si="7"/>
        <v>1</v>
      </c>
    </row>
    <row r="30" spans="1:29" ht="15.75" hidden="1" customHeight="1" x14ac:dyDescent="0.2">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417"/>
      <c r="Q30" s="3045">
        <f t="shared" si="13"/>
        <v>111</v>
      </c>
      <c r="R30" s="714" t="s">
        <v>17</v>
      </c>
      <c r="S30" s="715">
        <f t="shared" si="14"/>
        <v>100</v>
      </c>
      <c r="T30" s="714" t="s">
        <v>17</v>
      </c>
      <c r="U30" s="715">
        <f t="shared" si="15"/>
        <v>100</v>
      </c>
      <c r="V30" s="714" t="s">
        <v>17</v>
      </c>
      <c r="W30" s="715">
        <f t="shared" si="16"/>
        <v>100</v>
      </c>
      <c r="X30" s="3042"/>
      <c r="Y30" s="3419"/>
      <c r="Z30" s="3043">
        <f t="shared" si="17"/>
        <v>111</v>
      </c>
      <c r="AA30" s="3046">
        <f t="shared" si="5"/>
        <v>1</v>
      </c>
      <c r="AB30" s="3046">
        <f t="shared" si="6"/>
        <v>1</v>
      </c>
      <c r="AC30" s="2150">
        <f t="shared" si="7"/>
        <v>1</v>
      </c>
    </row>
    <row r="31" spans="1:29" ht="15.75" hidden="1" customHeight="1" x14ac:dyDescent="0.2">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417"/>
      <c r="Q31" s="3045">
        <f t="shared" si="13"/>
        <v>111</v>
      </c>
      <c r="R31" s="714" t="s">
        <v>17</v>
      </c>
      <c r="S31" s="715">
        <f t="shared" si="14"/>
        <v>100</v>
      </c>
      <c r="T31" s="714" t="s">
        <v>17</v>
      </c>
      <c r="U31" s="715">
        <f t="shared" si="15"/>
        <v>100</v>
      </c>
      <c r="V31" s="714" t="s">
        <v>17</v>
      </c>
      <c r="W31" s="715">
        <f t="shared" si="16"/>
        <v>100</v>
      </c>
      <c r="X31" s="3042"/>
      <c r="Y31" s="3419"/>
      <c r="Z31" s="3043">
        <f t="shared" si="17"/>
        <v>111</v>
      </c>
      <c r="AA31" s="3046">
        <f t="shared" si="5"/>
        <v>1</v>
      </c>
      <c r="AB31" s="3046">
        <f t="shared" si="6"/>
        <v>1</v>
      </c>
      <c r="AC31" s="2150">
        <f t="shared" si="7"/>
        <v>1</v>
      </c>
    </row>
    <row r="32" spans="1:29" ht="17" hidden="1" thickBot="1" x14ac:dyDescent="0.25">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417"/>
      <c r="Q32" s="3045">
        <f t="shared" si="13"/>
        <v>111</v>
      </c>
      <c r="R32" s="714" t="s">
        <v>17</v>
      </c>
      <c r="S32" s="715">
        <f t="shared" si="14"/>
        <v>100</v>
      </c>
      <c r="T32" s="714" t="s">
        <v>17</v>
      </c>
      <c r="U32" s="715">
        <f t="shared" si="15"/>
        <v>100</v>
      </c>
      <c r="V32" s="714" t="s">
        <v>17</v>
      </c>
      <c r="W32" s="715">
        <f t="shared" si="16"/>
        <v>100</v>
      </c>
      <c r="X32" s="3042"/>
      <c r="Y32" s="3419"/>
      <c r="Z32" s="3043">
        <f t="shared" si="17"/>
        <v>111</v>
      </c>
      <c r="AA32" s="3046">
        <f t="shared" si="5"/>
        <v>1</v>
      </c>
      <c r="AB32" s="3046">
        <f t="shared" si="6"/>
        <v>1</v>
      </c>
      <c r="AC32" s="2150">
        <f t="shared" si="7"/>
        <v>1</v>
      </c>
    </row>
    <row r="33" spans="1:29" ht="16" x14ac:dyDescent="0.2">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1"/>
      <c r="M33" s="2945"/>
      <c r="N33" s="2945"/>
      <c r="O33" s="2945"/>
      <c r="P33" s="3420" t="s">
        <v>2386</v>
      </c>
      <c r="Q33" s="3045" t="str">
        <f t="shared" si="13"/>
        <v>建筑类型</v>
      </c>
      <c r="R33" s="714" t="s">
        <v>17</v>
      </c>
      <c r="S33" s="715">
        <f t="shared" si="14"/>
        <v>100</v>
      </c>
      <c r="T33" s="714" t="s">
        <v>17</v>
      </c>
      <c r="U33" s="715">
        <f t="shared" si="15"/>
        <v>100</v>
      </c>
      <c r="V33" s="714" t="s">
        <v>17</v>
      </c>
      <c r="W33" s="715">
        <f t="shared" si="16"/>
        <v>100</v>
      </c>
      <c r="X33" s="3042"/>
      <c r="Y33" s="3423" t="s">
        <v>2386</v>
      </c>
      <c r="Z33" s="3043" t="str">
        <f t="shared" si="17"/>
        <v>建筑类型</v>
      </c>
      <c r="AA33" s="3046">
        <f t="shared" si="5"/>
        <v>1</v>
      </c>
      <c r="AB33" s="3046">
        <f t="shared" si="6"/>
        <v>1</v>
      </c>
      <c r="AC33" s="2150">
        <f t="shared" si="7"/>
        <v>1</v>
      </c>
    </row>
    <row r="34" spans="1:29" s="430" customFormat="1" ht="16" x14ac:dyDescent="0.2">
      <c r="A34" s="427"/>
      <c r="B34" s="381" t="s">
        <v>2387</v>
      </c>
      <c r="C34" s="428">
        <f>'租金比较法-商业'!C34</f>
        <v>547.29</v>
      </c>
      <c r="D34" s="132">
        <v>100</v>
      </c>
      <c r="E34" s="389">
        <v>150</v>
      </c>
      <c r="F34" s="384">
        <f>LOOKUP(E34,104:104,105:105)-LOOKUP(C34,104:104,105:105)+100</f>
        <v>92</v>
      </c>
      <c r="G34" s="388">
        <v>249</v>
      </c>
      <c r="H34" s="132">
        <f>LOOKUP(G34,104:104,105:105)-LOOKUP(C34,104:104,105:105)+100</f>
        <v>94</v>
      </c>
      <c r="I34" s="388">
        <v>200</v>
      </c>
      <c r="J34" s="132">
        <f>LOOKUP(I34,104:104,105:105)-LOOKUP(C34,104:104,105:105)+100</f>
        <v>94</v>
      </c>
      <c r="K34" s="570"/>
      <c r="L34" s="2950"/>
      <c r="M34" s="2952"/>
      <c r="N34" s="2952"/>
      <c r="O34" s="2952"/>
      <c r="P34" s="3421"/>
      <c r="Q34" s="716" t="str">
        <f t="shared" si="13"/>
        <v>项目建筑规模</v>
      </c>
      <c r="R34" s="717" t="s">
        <v>17</v>
      </c>
      <c r="S34" s="718">
        <f t="shared" si="14"/>
        <v>92</v>
      </c>
      <c r="T34" s="717" t="s">
        <v>17</v>
      </c>
      <c r="U34" s="718">
        <f t="shared" si="15"/>
        <v>94</v>
      </c>
      <c r="V34" s="717" t="s">
        <v>17</v>
      </c>
      <c r="W34" s="718">
        <f t="shared" si="16"/>
        <v>94</v>
      </c>
      <c r="X34" s="719"/>
      <c r="Y34" s="3423"/>
      <c r="Z34" s="720" t="str">
        <f t="shared" si="17"/>
        <v>项目建筑规模</v>
      </c>
      <c r="AA34" s="3046">
        <f t="shared" si="5"/>
        <v>1.0869565217391304</v>
      </c>
      <c r="AB34" s="3046">
        <f t="shared" si="6"/>
        <v>1.0638297872340425</v>
      </c>
      <c r="AC34" s="2150">
        <f t="shared" si="7"/>
        <v>1.0638297872340425</v>
      </c>
    </row>
    <row r="35" spans="1:29" ht="16" x14ac:dyDescent="0.2">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21"/>
      <c r="Q35" s="3045" t="str">
        <f t="shared" si="13"/>
        <v>建筑结构</v>
      </c>
      <c r="R35" s="714" t="s">
        <v>17</v>
      </c>
      <c r="S35" s="715">
        <f t="shared" si="14"/>
        <v>100</v>
      </c>
      <c r="T35" s="714" t="s">
        <v>17</v>
      </c>
      <c r="U35" s="715">
        <f t="shared" si="15"/>
        <v>100</v>
      </c>
      <c r="V35" s="714" t="s">
        <v>17</v>
      </c>
      <c r="W35" s="715">
        <f t="shared" si="16"/>
        <v>100</v>
      </c>
      <c r="X35" s="3042"/>
      <c r="Y35" s="3423"/>
      <c r="Z35" s="3043" t="str">
        <f t="shared" si="17"/>
        <v>建筑结构</v>
      </c>
      <c r="AA35" s="3046">
        <f t="shared" si="5"/>
        <v>1</v>
      </c>
      <c r="AB35" s="3046">
        <f t="shared" si="6"/>
        <v>1</v>
      </c>
      <c r="AC35" s="2150">
        <f t="shared" si="7"/>
        <v>1</v>
      </c>
    </row>
    <row r="36" spans="1:29" ht="16" x14ac:dyDescent="0.2">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21"/>
      <c r="Q36" s="3045" t="str">
        <f t="shared" si="13"/>
        <v>公共部分装修</v>
      </c>
      <c r="R36" s="714" t="s">
        <v>17</v>
      </c>
      <c r="S36" s="715">
        <f t="shared" si="14"/>
        <v>100</v>
      </c>
      <c r="T36" s="714" t="s">
        <v>17</v>
      </c>
      <c r="U36" s="715">
        <f t="shared" si="15"/>
        <v>100</v>
      </c>
      <c r="V36" s="714" t="s">
        <v>17</v>
      </c>
      <c r="W36" s="715">
        <f t="shared" si="16"/>
        <v>100</v>
      </c>
      <c r="X36" s="3042"/>
      <c r="Y36" s="3423"/>
      <c r="Z36" s="3043" t="str">
        <f t="shared" si="17"/>
        <v>公共部分装修</v>
      </c>
      <c r="AA36" s="3046">
        <f t="shared" si="5"/>
        <v>1</v>
      </c>
      <c r="AB36" s="3046">
        <f t="shared" si="6"/>
        <v>1</v>
      </c>
      <c r="AC36" s="2150">
        <f t="shared" si="7"/>
        <v>1</v>
      </c>
    </row>
    <row r="37" spans="1:29" ht="16" x14ac:dyDescent="0.2">
      <c r="A37" s="431"/>
      <c r="B37" s="381" t="s">
        <v>2483</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c r="L37" s="2951"/>
      <c r="M37" s="2945"/>
      <c r="N37" s="2945"/>
      <c r="O37" s="2945"/>
      <c r="P37" s="3421"/>
      <c r="Q37" s="3045" t="str">
        <f t="shared" si="13"/>
        <v>成新度</v>
      </c>
      <c r="R37" s="714" t="s">
        <v>17</v>
      </c>
      <c r="S37" s="715">
        <f t="shared" si="14"/>
        <v>100</v>
      </c>
      <c r="T37" s="714" t="s">
        <v>17</v>
      </c>
      <c r="U37" s="715">
        <f t="shared" si="15"/>
        <v>100</v>
      </c>
      <c r="V37" s="714" t="s">
        <v>17</v>
      </c>
      <c r="W37" s="715">
        <f t="shared" si="16"/>
        <v>100</v>
      </c>
      <c r="X37" s="3042"/>
      <c r="Y37" s="3423"/>
      <c r="Z37" s="3043" t="str">
        <f t="shared" si="17"/>
        <v>成新度</v>
      </c>
      <c r="AA37" s="3046">
        <f t="shared" si="5"/>
        <v>1</v>
      </c>
      <c r="AB37" s="3046">
        <f t="shared" si="6"/>
        <v>1</v>
      </c>
      <c r="AC37" s="2150">
        <f t="shared" si="7"/>
        <v>1</v>
      </c>
    </row>
    <row r="38" spans="1:29" s="113" customFormat="1" ht="16" x14ac:dyDescent="0.2">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21"/>
      <c r="Q38" s="3041" t="str">
        <f t="shared" si="13"/>
        <v>写字楼等级</v>
      </c>
      <c r="R38" s="710" t="s">
        <v>17</v>
      </c>
      <c r="S38" s="711">
        <f t="shared" si="14"/>
        <v>100</v>
      </c>
      <c r="T38" s="710" t="s">
        <v>17</v>
      </c>
      <c r="U38" s="711">
        <f t="shared" si="15"/>
        <v>100</v>
      </c>
      <c r="V38" s="710" t="s">
        <v>17</v>
      </c>
      <c r="W38" s="711">
        <f t="shared" si="16"/>
        <v>100</v>
      </c>
      <c r="X38" s="712"/>
      <c r="Y38" s="3423"/>
      <c r="Z38" s="3040" t="str">
        <f t="shared" si="17"/>
        <v>写字楼等级</v>
      </c>
      <c r="AA38" s="713">
        <f t="shared" si="5"/>
        <v>1</v>
      </c>
      <c r="AB38" s="713">
        <f t="shared" si="6"/>
        <v>1</v>
      </c>
      <c r="AC38" s="2147">
        <f t="shared" si="7"/>
        <v>1</v>
      </c>
    </row>
    <row r="39" spans="1:29" ht="16" x14ac:dyDescent="0.2">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21" t="s">
        <v>2386</v>
      </c>
      <c r="Q39" s="3045" t="str">
        <f t="shared" si="13"/>
        <v>物业管理</v>
      </c>
      <c r="R39" s="714" t="s">
        <v>17</v>
      </c>
      <c r="S39" s="715">
        <f t="shared" si="14"/>
        <v>100</v>
      </c>
      <c r="T39" s="714" t="s">
        <v>17</v>
      </c>
      <c r="U39" s="715">
        <f t="shared" si="15"/>
        <v>100</v>
      </c>
      <c r="V39" s="714" t="s">
        <v>17</v>
      </c>
      <c r="W39" s="715">
        <f t="shared" si="16"/>
        <v>100</v>
      </c>
      <c r="X39" s="3042"/>
      <c r="Y39" s="3423" t="s">
        <v>2386</v>
      </c>
      <c r="Z39" s="3043" t="str">
        <f t="shared" si="17"/>
        <v>物业管理</v>
      </c>
      <c r="AA39" s="3046">
        <f t="shared" si="5"/>
        <v>1</v>
      </c>
      <c r="AB39" s="3046">
        <f t="shared" si="6"/>
        <v>1</v>
      </c>
      <c r="AC39" s="2150">
        <f t="shared" si="7"/>
        <v>1</v>
      </c>
    </row>
    <row r="40" spans="1:29" ht="16" x14ac:dyDescent="0.2">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21"/>
      <c r="Q40" s="3045" t="str">
        <f t="shared" si="13"/>
        <v>市政基础设施</v>
      </c>
      <c r="R40" s="714" t="s">
        <v>17</v>
      </c>
      <c r="S40" s="715">
        <f t="shared" si="14"/>
        <v>100</v>
      </c>
      <c r="T40" s="714" t="s">
        <v>17</v>
      </c>
      <c r="U40" s="715">
        <f t="shared" si="15"/>
        <v>100</v>
      </c>
      <c r="V40" s="714" t="s">
        <v>17</v>
      </c>
      <c r="W40" s="715">
        <f t="shared" si="16"/>
        <v>100</v>
      </c>
      <c r="X40" s="3042"/>
      <c r="Y40" s="3423"/>
      <c r="Z40" s="3043" t="str">
        <f t="shared" si="17"/>
        <v>市政基础设施</v>
      </c>
      <c r="AA40" s="3046">
        <f t="shared" si="5"/>
        <v>1</v>
      </c>
      <c r="AB40" s="3046">
        <f t="shared" si="6"/>
        <v>1</v>
      </c>
      <c r="AC40" s="2150">
        <f t="shared" si="7"/>
        <v>1</v>
      </c>
    </row>
    <row r="41" spans="1:29" ht="16" x14ac:dyDescent="0.2">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21"/>
      <c r="Q41" s="3045" t="str">
        <f t="shared" si="13"/>
        <v>层高</v>
      </c>
      <c r="R41" s="714" t="s">
        <v>17</v>
      </c>
      <c r="S41" s="715">
        <f t="shared" si="14"/>
        <v>100</v>
      </c>
      <c r="T41" s="714" t="s">
        <v>17</v>
      </c>
      <c r="U41" s="715">
        <f t="shared" si="15"/>
        <v>100</v>
      </c>
      <c r="V41" s="714" t="s">
        <v>17</v>
      </c>
      <c r="W41" s="715">
        <f t="shared" si="16"/>
        <v>100</v>
      </c>
      <c r="X41" s="3042"/>
      <c r="Y41" s="3423"/>
      <c r="Z41" s="3043" t="str">
        <f t="shared" si="17"/>
        <v>层高</v>
      </c>
      <c r="AA41" s="3046">
        <f t="shared" si="5"/>
        <v>1</v>
      </c>
      <c r="AB41" s="3046">
        <f t="shared" si="6"/>
        <v>1</v>
      </c>
      <c r="AC41" s="2150">
        <f t="shared" si="7"/>
        <v>1</v>
      </c>
    </row>
    <row r="42" spans="1:29" s="430" customFormat="1" ht="16" hidden="1" x14ac:dyDescent="0.2">
      <c r="A42" s="427"/>
      <c r="B42" s="3044"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21"/>
      <c r="Q42" s="716" t="str">
        <f t="shared" si="13"/>
        <v>单套建筑面积</v>
      </c>
      <c r="R42" s="717" t="s">
        <v>17</v>
      </c>
      <c r="S42" s="718">
        <f t="shared" si="14"/>
        <v>100</v>
      </c>
      <c r="T42" s="717" t="s">
        <v>17</v>
      </c>
      <c r="U42" s="718">
        <f t="shared" si="15"/>
        <v>100</v>
      </c>
      <c r="V42" s="717" t="s">
        <v>17</v>
      </c>
      <c r="W42" s="718">
        <f t="shared" si="16"/>
        <v>100</v>
      </c>
      <c r="X42" s="719"/>
      <c r="Y42" s="3423"/>
      <c r="Z42" s="720" t="str">
        <f t="shared" si="17"/>
        <v>单套建筑面积</v>
      </c>
      <c r="AA42" s="3046">
        <f t="shared" si="5"/>
        <v>1</v>
      </c>
      <c r="AB42" s="3046">
        <f t="shared" si="6"/>
        <v>1</v>
      </c>
      <c r="AC42" s="2150">
        <f t="shared" si="7"/>
        <v>1</v>
      </c>
    </row>
    <row r="43" spans="1:29" ht="16" x14ac:dyDescent="0.2">
      <c r="A43" s="431"/>
      <c r="B43" s="381" t="s">
        <v>2489</v>
      </c>
      <c r="C43" s="419" t="s">
        <v>3229</v>
      </c>
      <c r="D43" s="394">
        <v>100</v>
      </c>
      <c r="E43" s="419" t="s">
        <v>3233</v>
      </c>
      <c r="F43" s="420">
        <f>SUMIF(123:123,E43,124:124)-SUMIF(123:123,C43,124:124)+100</f>
        <v>102</v>
      </c>
      <c r="G43" s="419" t="s">
        <v>3229</v>
      </c>
      <c r="H43" s="394">
        <f>SUMIF(123:123,G43,124:124)-SUMIF(123:123,C43,124:124)+100</f>
        <v>100</v>
      </c>
      <c r="I43" s="419" t="s">
        <v>3233</v>
      </c>
      <c r="J43" s="394">
        <f>SUMIF(123:123,I43,124:124)-SUMIF(123:123,C43,124:124)+100</f>
        <v>102</v>
      </c>
      <c r="K43" s="569">
        <v>2</v>
      </c>
      <c r="L43" s="2951"/>
      <c r="M43" s="2945"/>
      <c r="N43" s="2945"/>
      <c r="O43" s="2945"/>
      <c r="P43" s="3421"/>
      <c r="Q43" s="3045" t="str">
        <f t="shared" si="13"/>
        <v>内部装修</v>
      </c>
      <c r="R43" s="714" t="s">
        <v>17</v>
      </c>
      <c r="S43" s="715">
        <f t="shared" si="14"/>
        <v>102</v>
      </c>
      <c r="T43" s="714" t="s">
        <v>17</v>
      </c>
      <c r="U43" s="715">
        <f t="shared" si="15"/>
        <v>100</v>
      </c>
      <c r="V43" s="714" t="s">
        <v>17</v>
      </c>
      <c r="W43" s="715">
        <f t="shared" si="16"/>
        <v>102</v>
      </c>
      <c r="X43" s="3042"/>
      <c r="Y43" s="3423"/>
      <c r="Z43" s="3043" t="str">
        <f t="shared" si="17"/>
        <v>内部装修</v>
      </c>
      <c r="AA43" s="3046">
        <f t="shared" si="5"/>
        <v>0.98039215686274506</v>
      </c>
      <c r="AB43" s="3046">
        <f t="shared" si="6"/>
        <v>1</v>
      </c>
      <c r="AC43" s="2150">
        <f t="shared" si="7"/>
        <v>0.98039215686274506</v>
      </c>
    </row>
    <row r="44" spans="1:29" ht="16" x14ac:dyDescent="0.2">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1"/>
      <c r="M44" s="2945"/>
      <c r="N44" s="2945"/>
      <c r="O44" s="2945"/>
      <c r="P44" s="3421"/>
      <c r="Q44" s="3045" t="str">
        <f t="shared" si="13"/>
        <v>内部装修维护情况</v>
      </c>
      <c r="R44" s="714" t="s">
        <v>17</v>
      </c>
      <c r="S44" s="715">
        <f t="shared" si="14"/>
        <v>100</v>
      </c>
      <c r="T44" s="714" t="s">
        <v>17</v>
      </c>
      <c r="U44" s="715">
        <f t="shared" si="15"/>
        <v>100</v>
      </c>
      <c r="V44" s="714" t="s">
        <v>17</v>
      </c>
      <c r="W44" s="715">
        <f t="shared" si="16"/>
        <v>100</v>
      </c>
      <c r="X44" s="3042"/>
      <c r="Y44" s="3423"/>
      <c r="Z44" s="3043" t="str">
        <f t="shared" si="17"/>
        <v>内部装修维护情况</v>
      </c>
      <c r="AA44" s="3046">
        <f t="shared" si="5"/>
        <v>1</v>
      </c>
      <c r="AB44" s="3046">
        <f t="shared" si="6"/>
        <v>1</v>
      </c>
      <c r="AC44" s="2150">
        <f t="shared" si="7"/>
        <v>1</v>
      </c>
    </row>
    <row r="45" spans="1:29" s="113" customFormat="1" ht="17" thickBot="1" x14ac:dyDescent="0.25">
      <c r="A45" s="432"/>
      <c r="B45" s="3124" t="s">
        <v>3243</v>
      </c>
      <c r="C45" s="428">
        <v>2004</v>
      </c>
      <c r="D45" s="132">
        <v>100</v>
      </c>
      <c r="E45" s="391">
        <v>2004</v>
      </c>
      <c r="F45" s="384">
        <f>SUMIF(127:127,E45,128:128)-SUMIF(127:127,C45,128:128)+100</f>
        <v>100</v>
      </c>
      <c r="G45" s="391">
        <v>2004</v>
      </c>
      <c r="H45" s="132">
        <f>SUMIF(127:127,G45,128:128)-SUMIF(127:127,C45,128:128)+100</f>
        <v>100</v>
      </c>
      <c r="I45" s="391">
        <v>2004</v>
      </c>
      <c r="J45" s="132">
        <f>SUMIF(127:127,I45,128:128)-SUMIF(127:127,C45,128:128)+100</f>
        <v>100</v>
      </c>
      <c r="K45" s="570"/>
      <c r="L45" s="2946"/>
      <c r="M45" s="2947"/>
      <c r="N45" s="2947"/>
      <c r="O45" s="2947"/>
      <c r="P45" s="3421"/>
      <c r="Q45" s="3041" t="str">
        <f t="shared" si="13"/>
        <v>建成年份</v>
      </c>
      <c r="R45" s="710" t="s">
        <v>17</v>
      </c>
      <c r="S45" s="711">
        <f t="shared" si="14"/>
        <v>100</v>
      </c>
      <c r="T45" s="710" t="s">
        <v>17</v>
      </c>
      <c r="U45" s="711">
        <f t="shared" si="15"/>
        <v>100</v>
      </c>
      <c r="V45" s="710" t="s">
        <v>17</v>
      </c>
      <c r="W45" s="711">
        <f t="shared" si="16"/>
        <v>100</v>
      </c>
      <c r="X45" s="712"/>
      <c r="Y45" s="3423"/>
      <c r="Z45" s="3040" t="str">
        <f t="shared" si="17"/>
        <v>建成年份</v>
      </c>
      <c r="AA45" s="713">
        <f t="shared" si="5"/>
        <v>1</v>
      </c>
      <c r="AB45" s="713">
        <f t="shared" si="6"/>
        <v>1</v>
      </c>
      <c r="AC45" s="2147">
        <f t="shared" si="7"/>
        <v>1</v>
      </c>
    </row>
    <row r="46" spans="1:29" ht="16" hidden="1" x14ac:dyDescent="0.2">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21"/>
      <c r="Q46" s="3045">
        <f t="shared" si="13"/>
        <v>111</v>
      </c>
      <c r="R46" s="714" t="s">
        <v>17</v>
      </c>
      <c r="S46" s="715">
        <f t="shared" si="14"/>
        <v>100</v>
      </c>
      <c r="T46" s="714" t="s">
        <v>17</v>
      </c>
      <c r="U46" s="715">
        <f t="shared" si="15"/>
        <v>100</v>
      </c>
      <c r="V46" s="714" t="s">
        <v>17</v>
      </c>
      <c r="W46" s="715">
        <f t="shared" si="16"/>
        <v>100</v>
      </c>
      <c r="X46" s="3042"/>
      <c r="Y46" s="3423"/>
      <c r="Z46" s="3043">
        <f t="shared" si="17"/>
        <v>111</v>
      </c>
      <c r="AA46" s="3046">
        <f t="shared" si="5"/>
        <v>1</v>
      </c>
      <c r="AB46" s="3046">
        <f t="shared" si="6"/>
        <v>1</v>
      </c>
      <c r="AC46" s="2150">
        <f t="shared" si="7"/>
        <v>1</v>
      </c>
    </row>
    <row r="47" spans="1:29" ht="17" hidden="1" thickBot="1" x14ac:dyDescent="0.25">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22"/>
      <c r="Q47" s="3045">
        <f t="shared" si="13"/>
        <v>111</v>
      </c>
      <c r="R47" s="714" t="s">
        <v>17</v>
      </c>
      <c r="S47" s="715">
        <f t="shared" si="14"/>
        <v>100</v>
      </c>
      <c r="T47" s="714" t="s">
        <v>17</v>
      </c>
      <c r="U47" s="715">
        <f t="shared" si="15"/>
        <v>100</v>
      </c>
      <c r="V47" s="714" t="s">
        <v>17</v>
      </c>
      <c r="W47" s="715">
        <f t="shared" si="16"/>
        <v>100</v>
      </c>
      <c r="X47" s="3042"/>
      <c r="Y47" s="3424"/>
      <c r="Z47" s="3043">
        <f t="shared" si="17"/>
        <v>111</v>
      </c>
      <c r="AA47" s="3046">
        <f t="shared" si="5"/>
        <v>1</v>
      </c>
      <c r="AB47" s="3046">
        <f t="shared" si="6"/>
        <v>1</v>
      </c>
      <c r="AC47" s="2150">
        <f t="shared" si="7"/>
        <v>1</v>
      </c>
    </row>
    <row r="48" spans="1:29" x14ac:dyDescent="0.2">
      <c r="A48" s="438" t="s">
        <v>2398</v>
      </c>
      <c r="B48" s="439"/>
      <c r="C48" s="1316" t="s">
        <v>1</v>
      </c>
      <c r="D48" s="1317"/>
      <c r="E48" s="1318">
        <v>35000</v>
      </c>
      <c r="F48" s="1319"/>
      <c r="G48" s="1320">
        <v>35341</v>
      </c>
      <c r="H48" s="1321"/>
      <c r="I48" s="1318">
        <v>35000</v>
      </c>
      <c r="J48" s="444"/>
      <c r="K48" s="723"/>
      <c r="L48" s="2953"/>
      <c r="M48" s="2945"/>
      <c r="N48" s="2945"/>
      <c r="O48" s="2945"/>
      <c r="P48" s="3410" t="str">
        <f>A48</f>
        <v>成交单价（元/平方米）</v>
      </c>
      <c r="Q48" s="3411"/>
      <c r="R48" s="3425">
        <f>E48</f>
        <v>35000</v>
      </c>
      <c r="S48" s="3425"/>
      <c r="T48" s="3425">
        <f>G48</f>
        <v>35341</v>
      </c>
      <c r="U48" s="3425"/>
      <c r="V48" s="3425">
        <f>I48</f>
        <v>35000</v>
      </c>
      <c r="W48" s="3425"/>
      <c r="X48" s="405"/>
      <c r="Y48" s="721"/>
      <c r="Z48" s="405"/>
      <c r="AA48" s="405"/>
      <c r="AB48" s="405"/>
      <c r="AC48" s="586"/>
    </row>
    <row r="49" spans="1:29" ht="15" thickBot="1" x14ac:dyDescent="0.25">
      <c r="A49" s="445" t="s">
        <v>2399</v>
      </c>
      <c r="B49" s="446"/>
      <c r="C49" s="1322" t="e">
        <f>R50</f>
        <v>#DIV/0!</v>
      </c>
      <c r="D49" s="2540" t="s">
        <v>2879</v>
      </c>
      <c r="E49" s="1323" t="e">
        <f>R49</f>
        <v>#DIV/0!</v>
      </c>
      <c r="F49" s="2541"/>
      <c r="G49" s="1322" t="e">
        <f>T49</f>
        <v>#DIV/0!</v>
      </c>
      <c r="H49" s="2541"/>
      <c r="I49" s="1323" t="e">
        <f>V49</f>
        <v>#DIV/0!</v>
      </c>
      <c r="J49" s="2541"/>
      <c r="K49" s="2543">
        <f>F49+H49+J49</f>
        <v>0</v>
      </c>
      <c r="L49" s="2953"/>
      <c r="M49" s="2945"/>
      <c r="N49" s="2945"/>
      <c r="O49" s="2945"/>
      <c r="P49" s="3410" t="str">
        <f>A49</f>
        <v>比较价值（元/平方米）</v>
      </c>
      <c r="Q49" s="3411"/>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405"/>
      <c r="Y49" s="405"/>
      <c r="Z49" s="405"/>
      <c r="AA49" s="405"/>
      <c r="AB49" s="405"/>
      <c r="AC49" s="586"/>
    </row>
    <row r="50" spans="1:29" ht="15" thickBot="1" x14ac:dyDescent="0.25">
      <c r="A50" s="449" t="s">
        <v>2400</v>
      </c>
      <c r="B50" s="450"/>
      <c r="C50" s="1325" t="e">
        <f>R50</f>
        <v>#DIV/0!</v>
      </c>
      <c r="D50" s="1325"/>
      <c r="E50" s="1325"/>
      <c r="F50" s="1325"/>
      <c r="G50" s="1325"/>
      <c r="H50" s="1325"/>
      <c r="I50" s="1325"/>
      <c r="J50" s="451"/>
      <c r="K50" s="724"/>
      <c r="L50" s="2953"/>
      <c r="M50" s="2945"/>
      <c r="N50" s="2945"/>
      <c r="O50" s="2945"/>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2134"/>
      <c r="Y50" s="2134"/>
      <c r="Z50" s="2134"/>
      <c r="AA50" s="2134"/>
      <c r="AB50" s="2134"/>
      <c r="AC50" s="2135"/>
    </row>
    <row r="51" spans="1:29" x14ac:dyDescent="0.2">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x14ac:dyDescent="0.2">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x14ac:dyDescent="0.2">
      <c r="A53" s="2954"/>
      <c r="B53" s="2954"/>
      <c r="C53" s="454" t="s">
        <v>2401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x14ac:dyDescent="0.2">
      <c r="A54" s="2954"/>
      <c r="B54" s="2954"/>
      <c r="C54" s="454" t="s">
        <v>2402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x14ac:dyDescent="0.2">
      <c r="A55" s="2957"/>
      <c r="B55" s="2957"/>
      <c r="C55" s="454" t="s">
        <v>2403</v>
      </c>
      <c r="D55" s="458"/>
      <c r="E55" s="456">
        <f>IF(E48&lt;G48,G48/E48-1,E48/G48-1)</f>
        <v>9.7428571428570532E-3</v>
      </c>
      <c r="F55" s="457" t="str">
        <f>IF(OR(E55&gt;=0.3,E55&lt;=-0.3),"超过30%","")</f>
        <v/>
      </c>
      <c r="G55" s="456">
        <f>IF(G48&lt;I48,I48/G48-1,G48/I48-1)</f>
        <v>9.7428571428570532E-3</v>
      </c>
      <c r="H55" s="457" t="str">
        <f>IF(OR(G55&gt;=0.3,G55&lt;=-0.3),"超过30%","")</f>
        <v/>
      </c>
      <c r="I55" s="456">
        <f>IF(I48&lt;E48,E48/I48-1,I48/E48-1)</f>
        <v>0</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x14ac:dyDescent="0.2">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x14ac:dyDescent="0.2">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 thickBot="1" x14ac:dyDescent="0.25">
      <c r="A58" s="703" t="s">
        <v>2404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x14ac:dyDescent="0.2">
      <c r="A59" s="462" t="s">
        <v>2369</v>
      </c>
      <c r="B59" s="463"/>
      <c r="C59" s="1346" t="str">
        <f>YEAR(C7)&amp;"-"&amp;MONTH(C7)</f>
        <v>2022-2</v>
      </c>
      <c r="D59" s="1347">
        <f>EDATE(C59,-1)</f>
        <v>44562</v>
      </c>
      <c r="E59" s="1347">
        <f>EDATE(D59,-1)</f>
        <v>44531</v>
      </c>
      <c r="F59" s="1347">
        <f t="shared" ref="F59:O59" si="18">EDATE(E59,-1)</f>
        <v>44501</v>
      </c>
      <c r="G59" s="1347">
        <f t="shared" si="18"/>
        <v>44470</v>
      </c>
      <c r="H59" s="1347">
        <f t="shared" si="18"/>
        <v>44440</v>
      </c>
      <c r="I59" s="1347">
        <f t="shared" si="18"/>
        <v>44409</v>
      </c>
      <c r="J59" s="1347">
        <f t="shared" si="18"/>
        <v>44378</v>
      </c>
      <c r="K59" s="1347">
        <f t="shared" si="18"/>
        <v>44348</v>
      </c>
      <c r="L59" s="1347">
        <f t="shared" si="18"/>
        <v>44317</v>
      </c>
      <c r="M59" s="1347">
        <f t="shared" si="18"/>
        <v>44287</v>
      </c>
      <c r="N59" s="1347">
        <f t="shared" si="18"/>
        <v>44256</v>
      </c>
      <c r="O59" s="1347">
        <f t="shared" si="18"/>
        <v>44228</v>
      </c>
      <c r="P59" s="2988"/>
      <c r="Q59" s="2970"/>
      <c r="R59" s="2970"/>
      <c r="S59" s="2970"/>
      <c r="T59" s="2970"/>
      <c r="U59" s="2970"/>
      <c r="V59" s="2970"/>
      <c r="W59" s="2970"/>
      <c r="X59" s="2970"/>
      <c r="Y59" s="2970"/>
      <c r="Z59" s="2970"/>
      <c r="AA59" s="2970"/>
      <c r="AB59" s="2970"/>
      <c r="AC59" s="2970"/>
    </row>
    <row r="60" spans="1:29" s="113" customFormat="1" x14ac:dyDescent="0.2">
      <c r="A60" s="466"/>
      <c r="B60" s="467"/>
      <c r="C60" s="1345">
        <v>100</v>
      </c>
      <c r="D60" s="469">
        <v>100</v>
      </c>
      <c r="E60" s="469">
        <v>100</v>
      </c>
      <c r="F60" s="469">
        <v>99.5</v>
      </c>
      <c r="G60" s="469">
        <v>99.5</v>
      </c>
      <c r="H60" s="469">
        <v>99.5</v>
      </c>
      <c r="I60" s="469">
        <v>99.5</v>
      </c>
      <c r="J60" s="469">
        <v>99.5</v>
      </c>
      <c r="K60" s="469">
        <v>99.5</v>
      </c>
      <c r="L60" s="469">
        <v>100.5</v>
      </c>
      <c r="M60" s="470">
        <v>100.5</v>
      </c>
      <c r="N60" s="469"/>
      <c r="O60" s="470"/>
      <c r="P60" s="2989"/>
      <c r="Q60" s="2888"/>
      <c r="R60" s="2888"/>
      <c r="S60" s="2888"/>
      <c r="T60" s="2888"/>
      <c r="U60" s="2888"/>
      <c r="V60" s="2888"/>
      <c r="W60" s="2888"/>
      <c r="X60" s="2888"/>
      <c r="Y60" s="2888"/>
      <c r="Z60" s="2888"/>
      <c r="AA60" s="2888"/>
      <c r="AB60" s="2888"/>
      <c r="AC60" s="2888"/>
    </row>
    <row r="61" spans="1:29" s="113" customFormat="1" ht="15" thickBot="1" x14ac:dyDescent="0.25">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x14ac:dyDescent="0.2">
      <c r="A62" s="478" t="s">
        <v>2371</v>
      </c>
      <c r="B62" s="467"/>
      <c r="C62" s="479" t="s">
        <v>2408</v>
      </c>
      <c r="D62" s="3121" t="s">
        <v>3237</v>
      </c>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 thickBot="1" x14ac:dyDescent="0.25">
      <c r="A63" s="478"/>
      <c r="B63" s="467"/>
      <c r="C63" s="468">
        <v>100</v>
      </c>
      <c r="D63" s="469">
        <v>102</v>
      </c>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x14ac:dyDescent="0.2">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 thickBot="1" x14ac:dyDescent="0.25">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9" thickTop="1" x14ac:dyDescent="0.2">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 thickBot="1" x14ac:dyDescent="0.25">
      <c r="A67" s="491"/>
      <c r="B67" s="500"/>
      <c r="C67" s="501" t="s">
        <v>24</v>
      </c>
      <c r="D67" s="501" t="s">
        <v>25</v>
      </c>
      <c r="E67" s="501">
        <v>100</v>
      </c>
      <c r="F67" s="501">
        <f>E67-$K10</f>
        <v>99</v>
      </c>
      <c r="G67" s="501">
        <f>F67-$K10</f>
        <v>98</v>
      </c>
      <c r="H67" s="501">
        <f>G67-$K10</f>
        <v>97</v>
      </c>
      <c r="I67" s="501">
        <f>H67-$K10</f>
        <v>96</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 thickTop="1" x14ac:dyDescent="0.2">
      <c r="A68" s="491"/>
      <c r="B68" s="503" t="s">
        <v>2379</v>
      </c>
      <c r="C68" s="504" t="str">
        <f>C69&amp;"（含）"&amp;"-"&amp;D69</f>
        <v>1（含）-2</v>
      </c>
      <c r="D68" s="504" t="str">
        <f t="shared" ref="D68:L68" si="19">D69&amp;"（含）"&amp;"-"&amp;E69</f>
        <v>2（含）-3</v>
      </c>
      <c r="E68" s="504" t="str">
        <f t="shared" si="19"/>
        <v>3（含）-</v>
      </c>
      <c r="F68" s="504" t="str">
        <f t="shared" si="19"/>
        <v>（含）-</v>
      </c>
      <c r="G68" s="504" t="str">
        <f t="shared" si="19"/>
        <v>（含）-</v>
      </c>
      <c r="H68" s="504" t="str">
        <f t="shared" si="19"/>
        <v>（含）-</v>
      </c>
      <c r="I68" s="504" t="str">
        <f t="shared" si="19"/>
        <v>（含）-</v>
      </c>
      <c r="J68" s="504" t="str">
        <f t="shared" si="19"/>
        <v>（含）-</v>
      </c>
      <c r="K68" s="504" t="str">
        <f t="shared" si="19"/>
        <v>（含）-</v>
      </c>
      <c r="L68" s="504" t="str">
        <f t="shared" si="19"/>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x14ac:dyDescent="0.2">
      <c r="A69" s="491"/>
      <c r="B69" s="505"/>
      <c r="C69" s="506">
        <v>1</v>
      </c>
      <c r="D69" s="506">
        <v>2</v>
      </c>
      <c r="E69" s="506">
        <v>3</v>
      </c>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 thickBot="1" x14ac:dyDescent="0.25">
      <c r="A70" s="491"/>
      <c r="B70" s="492"/>
      <c r="C70" s="501">
        <v>100</v>
      </c>
      <c r="D70" s="501">
        <f t="shared" ref="D70:M70" si="20">C70-$K11</f>
        <v>100</v>
      </c>
      <c r="E70" s="501">
        <f t="shared" si="20"/>
        <v>100</v>
      </c>
      <c r="F70" s="501">
        <f t="shared" si="20"/>
        <v>100</v>
      </c>
      <c r="G70" s="501">
        <f t="shared" si="20"/>
        <v>100</v>
      </c>
      <c r="H70" s="501">
        <f t="shared" si="20"/>
        <v>100</v>
      </c>
      <c r="I70" s="501">
        <f t="shared" si="20"/>
        <v>100</v>
      </c>
      <c r="J70" s="501">
        <f t="shared" si="20"/>
        <v>100</v>
      </c>
      <c r="K70" s="501">
        <f t="shared" si="20"/>
        <v>100</v>
      </c>
      <c r="L70" s="501">
        <f t="shared" si="20"/>
        <v>100</v>
      </c>
      <c r="M70" s="502">
        <f t="shared" si="20"/>
        <v>100</v>
      </c>
      <c r="N70" s="2983"/>
      <c r="O70" s="2983"/>
      <c r="P70" s="2991"/>
      <c r="Q70" s="2968"/>
      <c r="R70" s="2954"/>
      <c r="S70" s="2954"/>
      <c r="T70" s="2954"/>
      <c r="U70" s="2954"/>
      <c r="V70" s="2954"/>
      <c r="W70" s="2954"/>
      <c r="X70" s="2954"/>
      <c r="Y70" s="2954"/>
      <c r="Z70" s="2954"/>
      <c r="AA70" s="2954"/>
      <c r="AB70" s="2954"/>
      <c r="AC70" s="2954"/>
    </row>
    <row r="71" spans="1:29" s="430" customFormat="1" ht="15" thickTop="1" x14ac:dyDescent="0.2">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 thickBot="1" x14ac:dyDescent="0.25">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 thickTop="1" x14ac:dyDescent="0.2">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 thickBot="1" x14ac:dyDescent="0.25">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 thickTop="1" x14ac:dyDescent="0.2">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 thickBot="1" x14ac:dyDescent="0.25">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x14ac:dyDescent="0.2">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 thickBot="1" x14ac:dyDescent="0.25">
      <c r="A78" s="491"/>
      <c r="B78" s="500"/>
      <c r="C78" s="501">
        <v>100</v>
      </c>
      <c r="D78" s="501">
        <f>C78-$K15</f>
        <v>98</v>
      </c>
      <c r="E78" s="501">
        <f>D78-$K15</f>
        <v>96</v>
      </c>
      <c r="F78" s="501">
        <f>E78-$K15</f>
        <v>94</v>
      </c>
      <c r="G78" s="501">
        <f>F78-$K15</f>
        <v>92</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 thickTop="1" x14ac:dyDescent="0.2">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 thickBot="1" x14ac:dyDescent="0.25">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 thickTop="1" x14ac:dyDescent="0.2">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 thickBot="1" x14ac:dyDescent="0.25">
      <c r="A82" s="491"/>
      <c r="B82" s="500"/>
      <c r="C82" s="501">
        <v>100</v>
      </c>
      <c r="D82" s="501">
        <f>C82-$K19</f>
        <v>98</v>
      </c>
      <c r="E82" s="501">
        <f>D82-$K19</f>
        <v>96</v>
      </c>
      <c r="F82" s="501">
        <f>E82-$K19</f>
        <v>94</v>
      </c>
      <c r="G82" s="501">
        <f>F82-$K19</f>
        <v>92</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 thickTop="1" x14ac:dyDescent="0.2">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 thickBot="1" x14ac:dyDescent="0.25">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 thickTop="1" x14ac:dyDescent="0.2">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 thickBot="1" x14ac:dyDescent="0.25">
      <c r="A86" s="491"/>
      <c r="B86" s="500"/>
      <c r="C86" s="501">
        <v>100</v>
      </c>
      <c r="D86" s="501">
        <f>C86-$K23</f>
        <v>98</v>
      </c>
      <c r="E86" s="501">
        <f>D86-$K23</f>
        <v>96</v>
      </c>
      <c r="F86" s="501">
        <f>E86-$K23</f>
        <v>94</v>
      </c>
      <c r="G86" s="501">
        <f>F86-$K23</f>
        <v>92</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9" thickTop="1" x14ac:dyDescent="0.2">
      <c r="A87" s="536"/>
      <c r="B87" s="495" t="s">
        <v>2520</v>
      </c>
      <c r="C87" s="511" t="s">
        <v>3218</v>
      </c>
      <c r="D87" s="511" t="s">
        <v>3219</v>
      </c>
      <c r="E87" s="511" t="s">
        <v>3220</v>
      </c>
      <c r="F87" s="511" t="s">
        <v>3221</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 thickBot="1" x14ac:dyDescent="0.25">
      <c r="A88" s="536"/>
      <c r="B88" s="500"/>
      <c r="C88" s="539">
        <v>100</v>
      </c>
      <c r="D88" s="501">
        <f t="shared" ref="D88:M88" si="21">C88-$K25</f>
        <v>98</v>
      </c>
      <c r="E88" s="501">
        <f t="shared" si="21"/>
        <v>96</v>
      </c>
      <c r="F88" s="501">
        <f t="shared" si="21"/>
        <v>94</v>
      </c>
      <c r="G88" s="501">
        <f t="shared" si="21"/>
        <v>92</v>
      </c>
      <c r="H88" s="501">
        <f t="shared" si="21"/>
        <v>90</v>
      </c>
      <c r="I88" s="501">
        <f t="shared" si="21"/>
        <v>88</v>
      </c>
      <c r="J88" s="501">
        <f t="shared" si="21"/>
        <v>86</v>
      </c>
      <c r="K88" s="501">
        <f t="shared" si="21"/>
        <v>84</v>
      </c>
      <c r="L88" s="501">
        <f t="shared" si="21"/>
        <v>82</v>
      </c>
      <c r="M88" s="501">
        <f t="shared" si="21"/>
        <v>80</v>
      </c>
      <c r="N88" s="2983"/>
      <c r="O88" s="2983"/>
      <c r="P88" s="2991"/>
      <c r="Q88" s="2968"/>
      <c r="R88" s="2888"/>
      <c r="S88" s="2888"/>
      <c r="T88" s="2888"/>
      <c r="U88" s="2888"/>
      <c r="V88" s="2888"/>
      <c r="W88" s="2888"/>
      <c r="X88" s="2888"/>
      <c r="Y88" s="2888"/>
      <c r="Z88" s="2888"/>
      <c r="AA88" s="2888"/>
      <c r="AB88" s="2888"/>
      <c r="AC88" s="2888"/>
    </row>
    <row r="89" spans="1:29" s="113" customFormat="1" ht="15" thickTop="1" x14ac:dyDescent="0.2">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 thickBot="1" x14ac:dyDescent="0.25">
      <c r="A90" s="536"/>
      <c r="B90" s="500"/>
      <c r="C90" s="539">
        <v>100</v>
      </c>
      <c r="D90" s="501">
        <f>C90-$K27</f>
        <v>100</v>
      </c>
      <c r="E90" s="501">
        <f t="shared" ref="E90:M90" si="22">D90-$K27</f>
        <v>100</v>
      </c>
      <c r="F90" s="501">
        <f t="shared" si="22"/>
        <v>100</v>
      </c>
      <c r="G90" s="501">
        <f t="shared" si="22"/>
        <v>100</v>
      </c>
      <c r="H90" s="501">
        <f t="shared" si="22"/>
        <v>100</v>
      </c>
      <c r="I90" s="501">
        <f t="shared" si="22"/>
        <v>100</v>
      </c>
      <c r="J90" s="501">
        <f t="shared" si="22"/>
        <v>100</v>
      </c>
      <c r="K90" s="501">
        <f t="shared" si="22"/>
        <v>100</v>
      </c>
      <c r="L90" s="501">
        <f t="shared" si="22"/>
        <v>100</v>
      </c>
      <c r="M90" s="501">
        <f t="shared" si="22"/>
        <v>100</v>
      </c>
      <c r="N90" s="2983"/>
      <c r="O90" s="2983"/>
      <c r="P90" s="2991"/>
      <c r="Q90" s="2968"/>
      <c r="R90" s="2888"/>
      <c r="S90" s="2888"/>
      <c r="T90" s="2888"/>
      <c r="U90" s="2888"/>
      <c r="V90" s="2888"/>
      <c r="W90" s="2888"/>
      <c r="X90" s="2888"/>
      <c r="Y90" s="2888"/>
      <c r="Z90" s="2888"/>
      <c r="AA90" s="2888"/>
      <c r="AB90" s="2888"/>
      <c r="AC90" s="2888"/>
    </row>
    <row r="91" spans="1:29" s="430" customFormat="1" ht="15" thickTop="1" x14ac:dyDescent="0.2">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 thickBot="1" x14ac:dyDescent="0.25">
      <c r="A92" s="510"/>
      <c r="B92" s="500"/>
      <c r="C92" s="539">
        <v>100</v>
      </c>
      <c r="D92" s="501">
        <f t="shared" ref="D92:M92" si="23">C92-$K28</f>
        <v>100</v>
      </c>
      <c r="E92" s="501">
        <f t="shared" si="23"/>
        <v>100</v>
      </c>
      <c r="F92" s="501">
        <f t="shared" si="23"/>
        <v>100</v>
      </c>
      <c r="G92" s="501">
        <f t="shared" si="23"/>
        <v>100</v>
      </c>
      <c r="H92" s="501">
        <f t="shared" si="23"/>
        <v>100</v>
      </c>
      <c r="I92" s="501">
        <f t="shared" si="23"/>
        <v>100</v>
      </c>
      <c r="J92" s="501">
        <f t="shared" si="23"/>
        <v>100</v>
      </c>
      <c r="K92" s="501">
        <f t="shared" si="23"/>
        <v>100</v>
      </c>
      <c r="L92" s="501">
        <f t="shared" si="23"/>
        <v>100</v>
      </c>
      <c r="M92" s="501">
        <f t="shared" si="23"/>
        <v>100</v>
      </c>
      <c r="N92" s="2984"/>
      <c r="O92" s="2984"/>
      <c r="P92" s="2992"/>
      <c r="Q92" s="2975"/>
      <c r="R92" s="2976"/>
      <c r="S92" s="2976"/>
      <c r="T92" s="2976"/>
      <c r="U92" s="2976"/>
      <c r="V92" s="2976"/>
      <c r="W92" s="2976"/>
      <c r="X92" s="2976"/>
      <c r="Y92" s="2976"/>
      <c r="Z92" s="2976"/>
      <c r="AA92" s="2976"/>
      <c r="AB92" s="2976"/>
      <c r="AC92" s="2976"/>
    </row>
    <row r="93" spans="1:29" ht="15" thickTop="1" x14ac:dyDescent="0.2">
      <c r="A93" s="491"/>
      <c r="B93" s="495" t="str">
        <f>B29</f>
        <v>楼层</v>
      </c>
      <c r="C93" s="3127" t="str">
        <f>'租金比较法-商业'!C29</f>
        <v>1-2</v>
      </c>
      <c r="D93" s="511" t="str">
        <f>E29</f>
        <v>中楼层/15</v>
      </c>
      <c r="E93" s="511" t="str">
        <f>G29</f>
        <v>中楼层/20</v>
      </c>
      <c r="F93" s="511" t="str">
        <f>I29</f>
        <v>低楼层/15</v>
      </c>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 thickBot="1" x14ac:dyDescent="0.25">
      <c r="A94" s="491"/>
      <c r="B94" s="500"/>
      <c r="C94" s="517">
        <v>100</v>
      </c>
      <c r="D94" s="493">
        <v>102</v>
      </c>
      <c r="E94" s="493">
        <v>102</v>
      </c>
      <c r="F94" s="493">
        <v>100</v>
      </c>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 thickTop="1" x14ac:dyDescent="0.2">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 thickBot="1" x14ac:dyDescent="0.25">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 thickTop="1" x14ac:dyDescent="0.2">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 thickBot="1" x14ac:dyDescent="0.25">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 thickTop="1" x14ac:dyDescent="0.2">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 thickBot="1" x14ac:dyDescent="0.25">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x14ac:dyDescent="0.2">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 thickBot="1" x14ac:dyDescent="0.25">
      <c r="A102" s="491"/>
      <c r="B102" s="500"/>
      <c r="C102" s="501">
        <v>100</v>
      </c>
      <c r="D102" s="501">
        <f t="shared" ref="D102:M102" si="24">C102-$K33</f>
        <v>100</v>
      </c>
      <c r="E102" s="501">
        <f t="shared" si="24"/>
        <v>100</v>
      </c>
      <c r="F102" s="501">
        <f t="shared" si="24"/>
        <v>100</v>
      </c>
      <c r="G102" s="501">
        <f t="shared" si="24"/>
        <v>100</v>
      </c>
      <c r="H102" s="501">
        <f t="shared" si="24"/>
        <v>100</v>
      </c>
      <c r="I102" s="501">
        <f t="shared" si="24"/>
        <v>100</v>
      </c>
      <c r="J102" s="501">
        <f t="shared" si="24"/>
        <v>100</v>
      </c>
      <c r="K102" s="501">
        <f t="shared" si="24"/>
        <v>100</v>
      </c>
      <c r="L102" s="501">
        <f t="shared" si="24"/>
        <v>100</v>
      </c>
      <c r="M102" s="502">
        <f t="shared" si="24"/>
        <v>100</v>
      </c>
      <c r="N102" s="2983"/>
      <c r="O102" s="2983"/>
      <c r="P102" s="2991"/>
      <c r="Q102" s="2968"/>
      <c r="R102" s="2954"/>
      <c r="S102" s="2954"/>
      <c r="T102" s="2954"/>
      <c r="U102" s="2954"/>
      <c r="V102" s="2954"/>
      <c r="W102" s="2954"/>
      <c r="X102" s="2954"/>
      <c r="Y102" s="2954"/>
      <c r="Z102" s="2954"/>
      <c r="AA102" s="2954"/>
      <c r="AB102" s="2954"/>
      <c r="AC102" s="2954"/>
    </row>
    <row r="103" spans="1:29" ht="15" thickTop="1" x14ac:dyDescent="0.2">
      <c r="A103" s="491"/>
      <c r="B103" s="495" t="s">
        <v>2434</v>
      </c>
      <c r="C103" s="535" t="str">
        <f>C104&amp;"(含)"&amp;"-"&amp;D104</f>
        <v>0(含)-100</v>
      </c>
      <c r="D103" s="535" t="str">
        <f t="shared" ref="D103:L103" si="25">D104&amp;"(含)"&amp;"-"&amp;E104</f>
        <v>100(含)-200</v>
      </c>
      <c r="E103" s="535" t="str">
        <f t="shared" si="25"/>
        <v>200(含)-300</v>
      </c>
      <c r="F103" s="535" t="str">
        <f t="shared" si="25"/>
        <v>300(含)-400</v>
      </c>
      <c r="G103" s="535" t="str">
        <f t="shared" si="25"/>
        <v>400(含)-500</v>
      </c>
      <c r="H103" s="535" t="str">
        <f t="shared" si="25"/>
        <v>500(含)-</v>
      </c>
      <c r="I103" s="535" t="str">
        <f t="shared" si="25"/>
        <v>(含)-</v>
      </c>
      <c r="J103" s="535" t="str">
        <f t="shared" si="25"/>
        <v>(含)-</v>
      </c>
      <c r="K103" s="535" t="str">
        <f t="shared" si="25"/>
        <v>(含)-</v>
      </c>
      <c r="L103" s="535" t="str">
        <f t="shared" si="25"/>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x14ac:dyDescent="0.2">
      <c r="A104" s="550"/>
      <c r="B104" s="551"/>
      <c r="C104" s="552">
        <v>0</v>
      </c>
      <c r="D104" s="552">
        <v>100</v>
      </c>
      <c r="E104" s="552">
        <v>200</v>
      </c>
      <c r="F104" s="552">
        <v>300</v>
      </c>
      <c r="G104" s="552">
        <v>400</v>
      </c>
      <c r="H104" s="552">
        <v>500</v>
      </c>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 thickBot="1" x14ac:dyDescent="0.25">
      <c r="A105" s="510"/>
      <c r="B105" s="500"/>
      <c r="C105" s="517">
        <v>102</v>
      </c>
      <c r="D105" s="493">
        <v>104</v>
      </c>
      <c r="E105" s="493">
        <v>106</v>
      </c>
      <c r="F105" s="493">
        <v>108</v>
      </c>
      <c r="G105" s="493">
        <v>110</v>
      </c>
      <c r="H105" s="493">
        <v>112</v>
      </c>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x14ac:dyDescent="0.2">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 thickBot="1" x14ac:dyDescent="0.25">
      <c r="A107" s="491"/>
      <c r="B107" s="500"/>
      <c r="C107" s="501">
        <v>100</v>
      </c>
      <c r="D107" s="501">
        <f t="shared" ref="D107:M107" si="26">C107-$K35</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2">
        <f t="shared" si="26"/>
        <v>100</v>
      </c>
      <c r="N107" s="2983"/>
      <c r="O107" s="2983"/>
      <c r="P107" s="2991"/>
      <c r="Q107" s="2968"/>
      <c r="R107" s="2954"/>
      <c r="S107" s="2954"/>
      <c r="T107" s="2954"/>
      <c r="U107" s="2954"/>
      <c r="V107" s="2954"/>
      <c r="W107" s="2954"/>
      <c r="X107" s="2954"/>
      <c r="Y107" s="2954"/>
      <c r="Z107" s="2954"/>
      <c r="AA107" s="2954"/>
      <c r="AB107" s="2954"/>
      <c r="AC107" s="2954"/>
    </row>
    <row r="108" spans="1:29" ht="15" thickTop="1" x14ac:dyDescent="0.2">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 thickBot="1" x14ac:dyDescent="0.25">
      <c r="A109" s="491"/>
      <c r="B109" s="500"/>
      <c r="C109" s="501">
        <v>100</v>
      </c>
      <c r="D109" s="501">
        <f t="shared" ref="D109:M109" si="27">C109-$K36</f>
        <v>100</v>
      </c>
      <c r="E109" s="501">
        <f t="shared" si="27"/>
        <v>100</v>
      </c>
      <c r="F109" s="501">
        <f t="shared" si="27"/>
        <v>100</v>
      </c>
      <c r="G109" s="501">
        <f t="shared" si="27"/>
        <v>100</v>
      </c>
      <c r="H109" s="501">
        <f t="shared" si="27"/>
        <v>100</v>
      </c>
      <c r="I109" s="501">
        <f t="shared" si="27"/>
        <v>100</v>
      </c>
      <c r="J109" s="501">
        <f t="shared" si="27"/>
        <v>100</v>
      </c>
      <c r="K109" s="501">
        <f t="shared" si="27"/>
        <v>100</v>
      </c>
      <c r="L109" s="501">
        <f t="shared" si="27"/>
        <v>100</v>
      </c>
      <c r="M109" s="502">
        <f t="shared" si="27"/>
        <v>100</v>
      </c>
      <c r="N109" s="2983"/>
      <c r="O109" s="2983"/>
      <c r="P109" s="2991"/>
      <c r="Q109" s="2968"/>
      <c r="R109" s="2954"/>
      <c r="S109" s="2954"/>
      <c r="T109" s="2954"/>
      <c r="U109" s="2954"/>
      <c r="V109" s="2954"/>
      <c r="W109" s="2954"/>
      <c r="X109" s="2954"/>
      <c r="Y109" s="2954"/>
      <c r="Z109" s="2954"/>
      <c r="AA109" s="2954"/>
      <c r="AB109" s="2954"/>
      <c r="AC109" s="2954"/>
    </row>
    <row r="110" spans="1:29" ht="15" thickTop="1" x14ac:dyDescent="0.2">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x14ac:dyDescent="0.2">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 thickBot="1" x14ac:dyDescent="0.25">
      <c r="A112" s="491"/>
      <c r="B112" s="500"/>
      <c r="C112" s="539">
        <v>100</v>
      </c>
      <c r="D112" s="501">
        <f>C112+$K37</f>
        <v>100</v>
      </c>
      <c r="E112" s="501">
        <f t="shared" ref="E112:M112" si="28">D112+$K37</f>
        <v>100</v>
      </c>
      <c r="F112" s="501">
        <f t="shared" si="28"/>
        <v>100</v>
      </c>
      <c r="G112" s="501">
        <f t="shared" si="28"/>
        <v>100</v>
      </c>
      <c r="H112" s="501">
        <f t="shared" si="28"/>
        <v>100</v>
      </c>
      <c r="I112" s="501">
        <f t="shared" si="28"/>
        <v>100</v>
      </c>
      <c r="J112" s="501">
        <f t="shared" si="28"/>
        <v>100</v>
      </c>
      <c r="K112" s="501">
        <f t="shared" si="28"/>
        <v>100</v>
      </c>
      <c r="L112" s="501">
        <f t="shared" si="28"/>
        <v>100</v>
      </c>
      <c r="M112" s="501">
        <f t="shared" si="28"/>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x14ac:dyDescent="0.2">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 thickBot="1" x14ac:dyDescent="0.25">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84"/>
      <c r="O114" s="2984"/>
      <c r="P114" s="2992"/>
      <c r="Q114" s="2975"/>
      <c r="R114" s="2976"/>
      <c r="S114" s="2976"/>
      <c r="T114" s="2976"/>
      <c r="U114" s="2976"/>
      <c r="V114" s="2976"/>
      <c r="W114" s="2976"/>
      <c r="X114" s="2976"/>
      <c r="Y114" s="2976"/>
      <c r="Z114" s="2976"/>
      <c r="AA114" s="2976"/>
      <c r="AB114" s="2976"/>
      <c r="AC114" s="2976"/>
    </row>
    <row r="115" spans="1:29" ht="15" thickTop="1" x14ac:dyDescent="0.2">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 thickBot="1" x14ac:dyDescent="0.25">
      <c r="A116" s="491"/>
      <c r="B116" s="500"/>
      <c r="C116" s="501">
        <v>100</v>
      </c>
      <c r="D116" s="501">
        <f t="shared" ref="D116:M116" si="30">C116-$K39</f>
        <v>100</v>
      </c>
      <c r="E116" s="501">
        <f t="shared" si="30"/>
        <v>100</v>
      </c>
      <c r="F116" s="501">
        <f t="shared" si="30"/>
        <v>100</v>
      </c>
      <c r="G116" s="501">
        <f t="shared" si="30"/>
        <v>100</v>
      </c>
      <c r="H116" s="501">
        <f t="shared" si="30"/>
        <v>100</v>
      </c>
      <c r="I116" s="501">
        <f t="shared" si="30"/>
        <v>100</v>
      </c>
      <c r="J116" s="501">
        <f t="shared" si="30"/>
        <v>100</v>
      </c>
      <c r="K116" s="501">
        <f t="shared" si="30"/>
        <v>100</v>
      </c>
      <c r="L116" s="501">
        <f t="shared" si="30"/>
        <v>100</v>
      </c>
      <c r="M116" s="502">
        <f t="shared" si="30"/>
        <v>100</v>
      </c>
      <c r="N116" s="2983"/>
      <c r="O116" s="2983"/>
      <c r="P116" s="2991"/>
      <c r="Q116" s="2968"/>
      <c r="R116" s="2954"/>
      <c r="S116" s="2954"/>
      <c r="T116" s="2954"/>
      <c r="U116" s="2954"/>
      <c r="V116" s="2954"/>
      <c r="W116" s="2954"/>
      <c r="X116" s="2954"/>
      <c r="Y116" s="2954"/>
      <c r="Z116" s="2954"/>
      <c r="AA116" s="2954"/>
      <c r="AB116" s="2954"/>
      <c r="AC116" s="2954"/>
    </row>
    <row r="117" spans="1:29" ht="15" thickTop="1" x14ac:dyDescent="0.2">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 thickBot="1" x14ac:dyDescent="0.25">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x14ac:dyDescent="0.2">
      <c r="A119" s="556"/>
      <c r="B119" s="592" t="s">
        <v>2522</v>
      </c>
      <c r="C119" s="540"/>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 thickBot="1" x14ac:dyDescent="0.25">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x14ac:dyDescent="0.2">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 thickBot="1" x14ac:dyDescent="0.25">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x14ac:dyDescent="0.2">
      <c r="A123" s="556"/>
      <c r="B123" s="495" t="s">
        <v>2441</v>
      </c>
      <c r="C123" s="3127" t="s">
        <v>3232</v>
      </c>
      <c r="D123" s="3127" t="s">
        <v>3234</v>
      </c>
      <c r="E123" s="3127" t="s">
        <v>3235</v>
      </c>
      <c r="F123" s="3128" t="s">
        <v>3236</v>
      </c>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 thickBot="1" x14ac:dyDescent="0.25">
      <c r="A124" s="491"/>
      <c r="B124" s="500"/>
      <c r="C124" s="501">
        <v>100</v>
      </c>
      <c r="D124" s="501">
        <f t="shared" ref="D124:M124" si="32">C124-$K43</f>
        <v>98</v>
      </c>
      <c r="E124" s="501">
        <f t="shared" si="32"/>
        <v>96</v>
      </c>
      <c r="F124" s="501">
        <f t="shared" si="32"/>
        <v>94</v>
      </c>
      <c r="G124" s="501">
        <f t="shared" si="32"/>
        <v>92</v>
      </c>
      <c r="H124" s="501">
        <f t="shared" si="32"/>
        <v>90</v>
      </c>
      <c r="I124" s="501">
        <f t="shared" si="32"/>
        <v>88</v>
      </c>
      <c r="J124" s="501">
        <f t="shared" si="32"/>
        <v>86</v>
      </c>
      <c r="K124" s="501">
        <f t="shared" si="32"/>
        <v>84</v>
      </c>
      <c r="L124" s="501">
        <f t="shared" si="32"/>
        <v>82</v>
      </c>
      <c r="M124" s="502">
        <f t="shared" si="32"/>
        <v>80</v>
      </c>
      <c r="N124" s="2983"/>
      <c r="O124" s="2983"/>
      <c r="P124" s="2991"/>
      <c r="Q124" s="2968"/>
      <c r="R124" s="2954"/>
      <c r="S124" s="2954"/>
      <c r="T124" s="2954"/>
      <c r="U124" s="2954"/>
      <c r="V124" s="2954"/>
      <c r="W124" s="2954"/>
      <c r="X124" s="2954"/>
      <c r="Y124" s="2954"/>
      <c r="Z124" s="2954"/>
      <c r="AA124" s="2954"/>
      <c r="AB124" s="2954"/>
      <c r="AC124" s="2954"/>
    </row>
    <row r="125" spans="1:29" ht="15" thickTop="1" x14ac:dyDescent="0.2">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 thickBot="1" x14ac:dyDescent="0.25">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x14ac:dyDescent="0.2">
      <c r="A127" s="550"/>
      <c r="B127" s="495" t="str">
        <f>B45</f>
        <v>建成年份</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 thickBot="1" x14ac:dyDescent="0.25">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x14ac:dyDescent="0.2">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 thickBot="1" x14ac:dyDescent="0.25">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x14ac:dyDescent="0.2">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 thickBot="1" x14ac:dyDescent="0.25">
      <c r="A132" s="2116"/>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dimension ref="A1"/>
  <sheetViews>
    <sheetView workbookViewId="0">
      <selection activeCell="A187" sqref="A187"/>
    </sheetView>
  </sheetViews>
  <sheetFormatPr baseColWidth="10" defaultColWidth="8.83203125" defaultRowHeight="15" x14ac:dyDescent="0.2"/>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2060"/>
  </sheetPr>
  <dimension ref="A1:I22"/>
  <sheetViews>
    <sheetView view="pageLayout" zoomScale="90" zoomScalePageLayoutView="90" workbookViewId="0">
      <selection sqref="A1:XFD1048576"/>
    </sheetView>
  </sheetViews>
  <sheetFormatPr baseColWidth="10" defaultColWidth="9" defaultRowHeight="14" x14ac:dyDescent="0.2"/>
  <cols>
    <col min="1" max="1" width="27.6640625" style="1664" customWidth="1"/>
    <col min="2" max="9" width="12.1640625" style="1664" customWidth="1"/>
    <col min="10" max="16384" width="9" style="1664"/>
  </cols>
  <sheetData>
    <row r="1" spans="1:9" ht="19" thickBot="1" x14ac:dyDescent="0.25">
      <c r="A1" s="3238" t="str">
        <f>IF(项目基本情况!B9="房地产市场价值","估价结果一览表","结果表-2")</f>
        <v>估价结果一览表</v>
      </c>
      <c r="B1" s="3238"/>
      <c r="C1" s="3238"/>
      <c r="D1" s="3238"/>
      <c r="E1" s="3238"/>
      <c r="F1" s="3238"/>
      <c r="G1" s="3238"/>
      <c r="H1" s="3238"/>
      <c r="I1" s="3238"/>
    </row>
    <row r="2" spans="1:9" ht="30" customHeight="1" thickTop="1" x14ac:dyDescent="0.2">
      <c r="A2" s="3239" t="s">
        <v>1606</v>
      </c>
      <c r="B2" s="3239" t="s">
        <v>1607</v>
      </c>
      <c r="C2" s="3239" t="s">
        <v>1608</v>
      </c>
      <c r="D2" s="3239" t="str">
        <f>结果表!D116</f>
        <v>出让国有建设用地使用权价值</v>
      </c>
      <c r="E2" s="3239"/>
      <c r="F2" s="3239" t="str">
        <f>结果表!F116</f>
        <v>在建建筑物价值</v>
      </c>
      <c r="G2" s="3239"/>
      <c r="H2" s="3239" t="str">
        <f>IF(项目基本情况!B9="房地产市场价值","房地产市场价值","房地产价值")</f>
        <v>房地产市场价值</v>
      </c>
      <c r="I2" s="3239"/>
    </row>
    <row r="3" spans="1:9" ht="16" x14ac:dyDescent="0.2">
      <c r="A3" s="3233"/>
      <c r="B3" s="3233"/>
      <c r="C3" s="3233"/>
      <c r="D3" s="963" t="s">
        <v>1603</v>
      </c>
      <c r="E3" s="963" t="s">
        <v>1609</v>
      </c>
      <c r="F3" s="963" t="s">
        <v>1603</v>
      </c>
      <c r="G3" s="963" t="s">
        <v>1604</v>
      </c>
      <c r="H3" s="963" t="s">
        <v>1603</v>
      </c>
      <c r="I3" s="963" t="s">
        <v>1604</v>
      </c>
    </row>
    <row r="4" spans="1:9" ht="16" x14ac:dyDescent="0.2">
      <c r="A4" s="1692" t="str">
        <f>项目基本情况!S2</f>
        <v>北京市房地产</v>
      </c>
      <c r="B4" s="963">
        <f>项目基本情况!C17</f>
        <v>547.29</v>
      </c>
      <c r="C4" s="963" t="e">
        <f>项目基本情况!C18</f>
        <v>#DIV/0!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x14ac:dyDescent="0.2">
      <c r="A5" s="3233" t="s">
        <v>1605</v>
      </c>
      <c r="B5" s="3233"/>
      <c r="C5" s="3233"/>
      <c r="D5" s="3234" t="e">
        <f ca="1">结果表!D119</f>
        <v>#REF!</v>
      </c>
      <c r="E5" s="3234"/>
      <c r="F5" s="3234" t="e">
        <f ca="1">结果表!F119</f>
        <v>#REF!</v>
      </c>
      <c r="G5" s="3234"/>
      <c r="H5" s="3234" t="e">
        <f ca="1">结果表!H119</f>
        <v>#REF!</v>
      </c>
      <c r="I5" s="3234"/>
    </row>
    <row r="6" spans="1:9" ht="16" x14ac:dyDescent="0.2">
      <c r="A6" s="3232" t="str">
        <f>结果表!A120</f>
        <v/>
      </c>
      <c r="B6" s="3232"/>
      <c r="C6" s="3232"/>
      <c r="D6" s="3232">
        <f>结果表!D120</f>
        <v>0</v>
      </c>
      <c r="E6" s="3232"/>
      <c r="F6" s="3232"/>
      <c r="G6" s="3232"/>
      <c r="H6" s="3232"/>
      <c r="I6" s="3232"/>
    </row>
    <row r="7" spans="1:9" ht="16" x14ac:dyDescent="0.2">
      <c r="A7" s="3233" t="s">
        <v>1605</v>
      </c>
      <c r="B7" s="3233"/>
      <c r="C7" s="3233"/>
      <c r="D7" s="3235" t="str">
        <f>结果表!D121</f>
        <v>零元整</v>
      </c>
      <c r="E7" s="3236"/>
      <c r="F7" s="3236"/>
      <c r="G7" s="3236"/>
      <c r="H7" s="3236"/>
      <c r="I7" s="3237"/>
    </row>
    <row r="8" spans="1:9" ht="16" x14ac:dyDescent="0.2">
      <c r="A8" s="3232" t="str">
        <f>结果表!A122</f>
        <v/>
      </c>
      <c r="B8" s="3232"/>
      <c r="C8" s="3232"/>
      <c r="D8" s="3232" t="e">
        <f ca="1">结果表!D122</f>
        <v>#REF!</v>
      </c>
      <c r="E8" s="3232"/>
      <c r="F8" s="3232"/>
      <c r="G8" s="3232"/>
      <c r="H8" s="3232"/>
      <c r="I8" s="3232"/>
    </row>
    <row r="9" spans="1:9" ht="16" x14ac:dyDescent="0.2">
      <c r="A9" s="3233" t="s">
        <v>1605</v>
      </c>
      <c r="B9" s="3233"/>
      <c r="C9" s="3233"/>
      <c r="D9" s="3234" t="e">
        <f ca="1">结果表!D123</f>
        <v>#REF!</v>
      </c>
      <c r="E9" s="3234"/>
      <c r="F9" s="3234"/>
      <c r="G9" s="3234"/>
      <c r="H9" s="3234"/>
      <c r="I9" s="3234"/>
    </row>
    <row r="10" spans="1:9" ht="16" x14ac:dyDescent="0.2">
      <c r="A10" s="3232" t="str">
        <f>结果表!A124</f>
        <v/>
      </c>
      <c r="B10" s="3232"/>
      <c r="C10" s="3232"/>
      <c r="D10" s="3232" t="str">
        <f>结果表!D124</f>
        <v>——</v>
      </c>
      <c r="E10" s="3232"/>
      <c r="F10" s="3232"/>
      <c r="G10" s="3232"/>
      <c r="H10" s="3232"/>
      <c r="I10" s="3232"/>
    </row>
    <row r="11" spans="1:9" ht="16" x14ac:dyDescent="0.2">
      <c r="A11" s="3233" t="s">
        <v>1605</v>
      </c>
      <c r="B11" s="3233"/>
      <c r="C11" s="3233"/>
      <c r="D11" s="3234" t="e">
        <f>结果表!D125</f>
        <v>#VALUE!</v>
      </c>
      <c r="E11" s="3234"/>
      <c r="F11" s="3234"/>
      <c r="G11" s="3234"/>
      <c r="H11" s="3234"/>
      <c r="I11" s="3234"/>
    </row>
    <row r="12" spans="1:9" ht="16" x14ac:dyDescent="0.2">
      <c r="A12" s="3232" t="str">
        <f>结果表!A126</f>
        <v/>
      </c>
      <c r="B12" s="3232"/>
      <c r="C12" s="3232"/>
      <c r="D12" s="3232" t="str">
        <f>结果表!D126</f>
        <v>——</v>
      </c>
      <c r="E12" s="3232"/>
      <c r="F12" s="3232"/>
      <c r="G12" s="3232"/>
      <c r="H12" s="3232"/>
      <c r="I12" s="3232"/>
    </row>
    <row r="13" spans="1:9" ht="17" thickBot="1" x14ac:dyDescent="0.25">
      <c r="A13" s="3229" t="s">
        <v>1605</v>
      </c>
      <c r="B13" s="3229"/>
      <c r="C13" s="3229"/>
      <c r="D13" s="3230" t="e">
        <f>结果表!D127</f>
        <v>#VALUE!</v>
      </c>
      <c r="E13" s="3230"/>
      <c r="F13" s="3230"/>
      <c r="G13" s="3230"/>
      <c r="H13" s="3230"/>
      <c r="I13" s="3230"/>
    </row>
    <row r="14" spans="1:9" ht="15" thickTop="1" x14ac:dyDescent="0.2">
      <c r="A14" s="3231" t="s">
        <v>1610</v>
      </c>
      <c r="B14" s="3231"/>
      <c r="C14" s="3231"/>
      <c r="D14" s="3231"/>
      <c r="E14" s="3231"/>
      <c r="F14" s="3231"/>
      <c r="G14" s="3231"/>
      <c r="H14" s="3231"/>
      <c r="I14" s="3231"/>
    </row>
    <row r="16" spans="1:9" ht="18" x14ac:dyDescent="0.2">
      <c r="A16" s="1693" t="s">
        <v>1593</v>
      </c>
      <c r="B16" s="1676"/>
      <c r="C16" s="1676"/>
      <c r="D16" s="1676"/>
      <c r="E16" s="1676"/>
      <c r="F16" s="1676"/>
      <c r="G16" s="1676"/>
      <c r="H16" s="1676"/>
      <c r="I16" s="1676"/>
    </row>
    <row r="17" spans="1:9" x14ac:dyDescent="0.2">
      <c r="A17" s="1676"/>
      <c r="B17" s="1676"/>
      <c r="C17" s="1676"/>
      <c r="D17" s="1676"/>
      <c r="E17" s="1676"/>
      <c r="F17" s="1676"/>
      <c r="G17" s="1676"/>
      <c r="H17" s="1676"/>
      <c r="I17" s="1676"/>
    </row>
    <row r="18" spans="1:9" x14ac:dyDescent="0.2">
      <c r="A18" s="1676"/>
      <c r="B18" s="1676"/>
      <c r="C18" s="1676"/>
      <c r="D18" s="1676"/>
      <c r="E18" s="1676"/>
      <c r="F18" s="1676"/>
      <c r="G18" s="1676"/>
      <c r="H18" s="1676"/>
      <c r="I18" s="1676"/>
    </row>
    <row r="19" spans="1:9" x14ac:dyDescent="0.2">
      <c r="A19" s="1676"/>
      <c r="B19" s="1676"/>
      <c r="C19" s="1676"/>
      <c r="D19" s="1676"/>
      <c r="E19" s="1676"/>
      <c r="F19" s="1676"/>
      <c r="G19" s="1676"/>
      <c r="H19" s="1676"/>
      <c r="I19" s="1676"/>
    </row>
    <row r="20" spans="1:9" x14ac:dyDescent="0.2">
      <c r="A20" s="1676"/>
      <c r="B20" s="1676"/>
      <c r="C20" s="1676"/>
      <c r="D20" s="1676"/>
      <c r="E20" s="1676"/>
      <c r="F20" s="1676"/>
      <c r="G20" s="1676"/>
      <c r="H20" s="1676"/>
      <c r="I20" s="1676"/>
    </row>
    <row r="21" spans="1:9" x14ac:dyDescent="0.2">
      <c r="A21" s="1676"/>
      <c r="B21" s="1676"/>
      <c r="C21" s="1676"/>
      <c r="D21" s="1676"/>
      <c r="E21" s="1676"/>
      <c r="F21" s="1676"/>
      <c r="G21" s="1676"/>
      <c r="H21" s="1676"/>
      <c r="I21" s="1676"/>
    </row>
    <row r="22" spans="1:9" x14ac:dyDescent="0.2">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dimension ref="A1"/>
  <sheetViews>
    <sheetView workbookViewId="0">
      <selection activeCell="L6" sqref="L6"/>
    </sheetView>
  </sheetViews>
  <sheetFormatPr baseColWidth="10" defaultColWidth="8.83203125" defaultRowHeight="15" x14ac:dyDescent="0.2"/>
  <sheetData/>
  <phoneticPr fontId="140"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rgb="FFFF0000"/>
  </sheetPr>
  <dimension ref="A1:K26"/>
  <sheetViews>
    <sheetView view="pageBreakPreview" zoomScaleNormal="80" zoomScaleSheetLayoutView="100" workbookViewId="0">
      <selection activeCell="C8" sqref="C8"/>
    </sheetView>
  </sheetViews>
  <sheetFormatPr baseColWidth="10" defaultColWidth="9" defaultRowHeight="15" x14ac:dyDescent="0.2"/>
  <cols>
    <col min="1" max="1" width="25" style="2739" customWidth="1"/>
    <col min="2" max="9" width="15.6640625" style="2739" customWidth="1"/>
    <col min="10" max="16384" width="9" style="2739"/>
  </cols>
  <sheetData>
    <row r="1" spans="1:11" ht="17" x14ac:dyDescent="0.2">
      <c r="A1" s="2738" t="s">
        <v>1331</v>
      </c>
      <c r="B1" s="2738">
        <f>SUM(B14:B23)</f>
        <v>547.29</v>
      </c>
      <c r="C1" s="2915"/>
      <c r="D1" s="2915"/>
      <c r="E1" s="2915"/>
      <c r="F1" s="2915"/>
      <c r="G1" s="2916"/>
      <c r="H1" s="2917"/>
      <c r="I1" s="2917"/>
      <c r="J1" s="2917"/>
      <c r="K1" s="2917"/>
    </row>
    <row r="2" spans="1:11" ht="17" x14ac:dyDescent="0.2">
      <c r="A2" s="2738" t="s">
        <v>1319</v>
      </c>
      <c r="B2" s="2738">
        <f>SUM(C14:C23)</f>
        <v>0</v>
      </c>
      <c r="C2" s="2915"/>
      <c r="D2" s="2915"/>
      <c r="E2" s="2915"/>
      <c r="F2" s="2915"/>
      <c r="G2" s="2916"/>
      <c r="H2" s="2917"/>
      <c r="I2" s="2917"/>
      <c r="J2" s="2917"/>
      <c r="K2" s="2917"/>
    </row>
    <row r="3" spans="1:11" ht="17" x14ac:dyDescent="0.2">
      <c r="A3" s="2738" t="s">
        <v>1328</v>
      </c>
      <c r="B3" s="2740">
        <f>项目基本情况!D3</f>
        <v>44606</v>
      </c>
      <c r="C3" s="2915"/>
      <c r="D3" s="2915"/>
      <c r="E3" s="2915"/>
      <c r="F3" s="2915"/>
      <c r="G3" s="2916"/>
      <c r="H3" s="2917"/>
      <c r="I3" s="2917"/>
      <c r="J3" s="2917"/>
      <c r="K3" s="2917"/>
    </row>
    <row r="4" spans="1:11" ht="34" x14ac:dyDescent="0.2">
      <c r="A4" s="2738" t="s">
        <v>1327</v>
      </c>
      <c r="B4" s="2738" t="s">
        <v>1326</v>
      </c>
      <c r="C4" s="2738" t="s">
        <v>1325</v>
      </c>
      <c r="D4" s="2738" t="s">
        <v>1324</v>
      </c>
      <c r="E4" s="2915"/>
      <c r="F4" s="2916"/>
      <c r="G4" s="2916"/>
      <c r="H4" s="2917"/>
      <c r="I4" s="2917"/>
      <c r="J4" s="2917"/>
      <c r="K4" s="2917"/>
    </row>
    <row r="5" spans="1:11" ht="17" x14ac:dyDescent="0.2">
      <c r="A5" s="2738" t="s">
        <v>1323</v>
      </c>
      <c r="B5" s="2738">
        <f>SUM(D14:D23)</f>
        <v>2240.3863000000001</v>
      </c>
      <c r="C5" s="2738">
        <f>ROUND(B5*10000/$B$1,0)</f>
        <v>40936</v>
      </c>
      <c r="D5" s="2738" t="e">
        <f>ROUND(B5*10000/$B$2,0)</f>
        <v>#DIV/0!</v>
      </c>
      <c r="E5" s="2915"/>
      <c r="F5" s="2916"/>
      <c r="G5" s="2916"/>
      <c r="H5" s="2917"/>
      <c r="I5" s="2917"/>
      <c r="J5" s="2917"/>
      <c r="K5" s="2917"/>
    </row>
    <row r="6" spans="1:11" ht="17" x14ac:dyDescent="0.2">
      <c r="A6" s="2738" t="s">
        <v>1322</v>
      </c>
      <c r="B6" s="2738">
        <f>SUM(G14:G23)</f>
        <v>2240.3863000000001</v>
      </c>
      <c r="C6" s="2738">
        <f>ROUND(B6*10000/$B$1,0)</f>
        <v>40936</v>
      </c>
      <c r="D6" s="2738" t="e">
        <f>ROUND(B6*10000/$B$2,0)</f>
        <v>#DIV/0!</v>
      </c>
      <c r="E6" s="2915"/>
      <c r="F6" s="2916"/>
      <c r="G6" s="2916"/>
      <c r="H6" s="2917"/>
      <c r="I6" s="2917"/>
      <c r="J6" s="2917"/>
      <c r="K6" s="2917"/>
    </row>
    <row r="7" spans="1:11" ht="17" x14ac:dyDescent="0.2">
      <c r="A7" s="2738" t="s">
        <v>1330</v>
      </c>
      <c r="B7" s="2738">
        <f>SUM(H14:H23)</f>
        <v>0</v>
      </c>
      <c r="C7" s="2738">
        <f>ROUND(B7*10000/$B$1,0)</f>
        <v>0</v>
      </c>
      <c r="D7" s="2738" t="e">
        <f>ROUND(B7*10000/$B$2,0)</f>
        <v>#DIV/0!</v>
      </c>
      <c r="E7" s="2915"/>
      <c r="F7" s="2916"/>
      <c r="G7" s="2916"/>
      <c r="H7" s="2917"/>
      <c r="I7" s="2917"/>
      <c r="J7" s="2917"/>
      <c r="K7" s="2917"/>
    </row>
    <row r="8" spans="1:11" ht="17" x14ac:dyDescent="0.2">
      <c r="A8" s="2738" t="s">
        <v>1252</v>
      </c>
      <c r="B8" s="2738">
        <f>SUM(I14:I23)</f>
        <v>0</v>
      </c>
      <c r="C8" s="2738">
        <f>ROUND(B8*10000/$B$1,0)</f>
        <v>0</v>
      </c>
      <c r="D8" s="2738" t="e">
        <f>ROUND(B8*10000/$B$2,0)</f>
        <v>#DIV/0!</v>
      </c>
      <c r="E8" s="2915"/>
      <c r="F8" s="2916"/>
      <c r="G8" s="2916"/>
      <c r="H8" s="2917"/>
      <c r="I8" s="2917"/>
      <c r="J8" s="2917"/>
      <c r="K8" s="2917"/>
    </row>
    <row r="9" spans="1:11" ht="17" x14ac:dyDescent="0.2">
      <c r="A9" s="2738" t="s">
        <v>1321</v>
      </c>
      <c r="B9" s="2746"/>
      <c r="C9" s="2915"/>
      <c r="D9" s="2915"/>
      <c r="E9" s="2915"/>
      <c r="F9" s="2916"/>
      <c r="G9" s="2916"/>
      <c r="H9" s="2917"/>
      <c r="I9" s="2917"/>
      <c r="J9" s="2917"/>
      <c r="K9" s="2917"/>
    </row>
    <row r="10" spans="1:11" ht="17" x14ac:dyDescent="0.2">
      <c r="A10" s="2738" t="s">
        <v>1320</v>
      </c>
      <c r="B10" s="2746">
        <v>9.27</v>
      </c>
      <c r="C10" s="2915"/>
      <c r="D10" s="2915"/>
      <c r="E10" s="2915"/>
      <c r="F10" s="2916"/>
      <c r="G10" s="2916"/>
      <c r="H10" s="2917"/>
      <c r="I10" s="2917"/>
      <c r="J10" s="2917"/>
      <c r="K10" s="2917"/>
    </row>
    <row r="11" spans="1:11" ht="17" x14ac:dyDescent="0.2">
      <c r="A11" s="2738" t="s">
        <v>1336</v>
      </c>
      <c r="B11" s="2746"/>
      <c r="C11" s="2915"/>
      <c r="D11" s="2915"/>
      <c r="E11" s="2915"/>
      <c r="F11" s="2916"/>
      <c r="G11" s="2916"/>
      <c r="H11" s="2917"/>
      <c r="I11" s="2917"/>
      <c r="J11" s="2917"/>
      <c r="K11" s="2917"/>
    </row>
    <row r="12" spans="1:11" ht="17" x14ac:dyDescent="0.2">
      <c r="A12" s="2915"/>
      <c r="B12" s="2915"/>
      <c r="C12" s="2915"/>
      <c r="D12" s="2915"/>
      <c r="E12" s="2915"/>
      <c r="F12" s="2916"/>
      <c r="G12" s="2916"/>
      <c r="H12" s="2917"/>
      <c r="I12" s="2917"/>
      <c r="J12" s="2917"/>
      <c r="K12" s="2917"/>
    </row>
    <row r="13" spans="1:11" ht="34" x14ac:dyDescent="0.2">
      <c r="A13" s="2741" t="s">
        <v>1335</v>
      </c>
      <c r="B13" s="2742" t="s">
        <v>1332</v>
      </c>
      <c r="C13" s="2742" t="s">
        <v>1334</v>
      </c>
      <c r="D13" s="2742" t="s">
        <v>1333</v>
      </c>
      <c r="E13" s="2738" t="s">
        <v>1325</v>
      </c>
      <c r="F13" s="2738" t="s">
        <v>1324</v>
      </c>
      <c r="G13" s="2742" t="s">
        <v>1318</v>
      </c>
      <c r="H13" s="2742" t="s">
        <v>1329</v>
      </c>
      <c r="I13" s="2742" t="s">
        <v>1317</v>
      </c>
      <c r="J13" s="2916"/>
      <c r="K13" s="2917"/>
    </row>
    <row r="14" spans="1:11" ht="17" x14ac:dyDescent="0.2">
      <c r="A14" s="2743" t="s">
        <v>1316</v>
      </c>
      <c r="B14" s="2744">
        <f>'数据-汇总表'!F19</f>
        <v>547.29</v>
      </c>
      <c r="C14" s="2744">
        <f>结果表!C118</f>
        <v>0</v>
      </c>
      <c r="D14" s="2744">
        <v>2240.3863000000001</v>
      </c>
      <c r="E14" s="2744">
        <f>ROUND(D14*10000/B14,0)</f>
        <v>40936</v>
      </c>
      <c r="F14" s="2744" t="e">
        <f>ROUND(D14*10000/C14,0)</f>
        <v>#DIV/0!</v>
      </c>
      <c r="G14" s="2744">
        <f>D14</f>
        <v>2240.3863000000001</v>
      </c>
      <c r="H14" s="2744" t="str">
        <f>结果表!D124</f>
        <v>——</v>
      </c>
      <c r="I14" s="2744" t="str">
        <f>结果表!D126</f>
        <v>——</v>
      </c>
      <c r="J14" s="2916"/>
      <c r="K14" s="2917"/>
    </row>
    <row r="15" spans="1:11" ht="17" x14ac:dyDescent="0.2">
      <c r="A15" s="2743" t="s">
        <v>1315</v>
      </c>
      <c r="B15" s="2745"/>
      <c r="C15" s="2745"/>
      <c r="D15" s="2745"/>
      <c r="E15" s="2744" t="e">
        <f t="shared" ref="E15:E23" si="0">ROUND(D15*10000/B15,0)</f>
        <v>#DIV/0!</v>
      </c>
      <c r="F15" s="2744" t="e">
        <f t="shared" ref="F15:F23" si="1">ROUND(D15*10000/C15,0)</f>
        <v>#DIV/0!</v>
      </c>
      <c r="G15" s="1502"/>
      <c r="H15" s="1502"/>
      <c r="I15" s="2745"/>
      <c r="J15" s="2916"/>
      <c r="K15" s="2917"/>
    </row>
    <row r="16" spans="1:11" ht="17" x14ac:dyDescent="0.2">
      <c r="A16" s="2743" t="s">
        <v>1314</v>
      </c>
      <c r="B16" s="2745"/>
      <c r="C16" s="2745"/>
      <c r="D16" s="2745"/>
      <c r="E16" s="2744" t="e">
        <f t="shared" si="0"/>
        <v>#DIV/0!</v>
      </c>
      <c r="F16" s="2744" t="e">
        <f t="shared" si="1"/>
        <v>#DIV/0!</v>
      </c>
      <c r="G16" s="1502"/>
      <c r="H16" s="1502"/>
      <c r="I16" s="2745"/>
      <c r="J16" s="2917"/>
      <c r="K16" s="2917"/>
    </row>
    <row r="17" spans="1:11" ht="17" x14ac:dyDescent="0.2">
      <c r="A17" s="2743" t="s">
        <v>1313</v>
      </c>
      <c r="B17" s="2745"/>
      <c r="C17" s="2745"/>
      <c r="D17" s="2745"/>
      <c r="E17" s="2744" t="e">
        <f t="shared" si="0"/>
        <v>#DIV/0!</v>
      </c>
      <c r="F17" s="2744" t="e">
        <f t="shared" si="1"/>
        <v>#DIV/0!</v>
      </c>
      <c r="G17" s="1502"/>
      <c r="H17" s="1502"/>
      <c r="I17" s="2745"/>
      <c r="J17" s="2917"/>
      <c r="K17" s="2917"/>
    </row>
    <row r="18" spans="1:11" ht="17" x14ac:dyDescent="0.2">
      <c r="A18" s="2743" t="s">
        <v>1312</v>
      </c>
      <c r="B18" s="2745"/>
      <c r="C18" s="2745"/>
      <c r="D18" s="2745"/>
      <c r="E18" s="2744" t="e">
        <f t="shared" si="0"/>
        <v>#DIV/0!</v>
      </c>
      <c r="F18" s="2744" t="e">
        <f t="shared" si="1"/>
        <v>#DIV/0!</v>
      </c>
      <c r="G18" s="2745"/>
      <c r="H18" s="2745"/>
      <c r="I18" s="2745"/>
      <c r="J18" s="2917"/>
      <c r="K18" s="2917"/>
    </row>
    <row r="19" spans="1:11" ht="17" x14ac:dyDescent="0.2">
      <c r="A19" s="2743" t="s">
        <v>1311</v>
      </c>
      <c r="B19" s="2745"/>
      <c r="C19" s="2745"/>
      <c r="D19" s="2745"/>
      <c r="E19" s="2744" t="e">
        <f t="shared" si="0"/>
        <v>#DIV/0!</v>
      </c>
      <c r="F19" s="2744" t="e">
        <f t="shared" si="1"/>
        <v>#DIV/0!</v>
      </c>
      <c r="G19" s="2745"/>
      <c r="H19" s="2745"/>
      <c r="I19" s="2745"/>
      <c r="J19" s="2917"/>
      <c r="K19" s="2917"/>
    </row>
    <row r="20" spans="1:11" ht="17" x14ac:dyDescent="0.2">
      <c r="A20" s="2743" t="s">
        <v>1310</v>
      </c>
      <c r="B20" s="2745"/>
      <c r="C20" s="2745"/>
      <c r="D20" s="2745"/>
      <c r="E20" s="2744" t="e">
        <f t="shared" si="0"/>
        <v>#DIV/0!</v>
      </c>
      <c r="F20" s="2744" t="e">
        <f t="shared" si="1"/>
        <v>#DIV/0!</v>
      </c>
      <c r="G20" s="2745"/>
      <c r="H20" s="2745"/>
      <c r="I20" s="2745"/>
      <c r="J20" s="2917"/>
      <c r="K20" s="2917"/>
    </row>
    <row r="21" spans="1:11" ht="17" x14ac:dyDescent="0.2">
      <c r="A21" s="2743" t="s">
        <v>1309</v>
      </c>
      <c r="B21" s="2745"/>
      <c r="C21" s="2745"/>
      <c r="D21" s="2745"/>
      <c r="E21" s="2744" t="e">
        <f t="shared" si="0"/>
        <v>#DIV/0!</v>
      </c>
      <c r="F21" s="2744" t="e">
        <f t="shared" si="1"/>
        <v>#DIV/0!</v>
      </c>
      <c r="G21" s="2745"/>
      <c r="H21" s="2745"/>
      <c r="I21" s="2745"/>
      <c r="J21" s="2917"/>
      <c r="K21" s="2917"/>
    </row>
    <row r="22" spans="1:11" ht="17" x14ac:dyDescent="0.2">
      <c r="A22" s="2743" t="s">
        <v>1308</v>
      </c>
      <c r="B22" s="2745"/>
      <c r="C22" s="2745"/>
      <c r="D22" s="2745"/>
      <c r="E22" s="2744" t="e">
        <f t="shared" si="0"/>
        <v>#DIV/0!</v>
      </c>
      <c r="F22" s="2744" t="e">
        <f t="shared" si="1"/>
        <v>#DIV/0!</v>
      </c>
      <c r="G22" s="2745"/>
      <c r="H22" s="2745"/>
      <c r="I22" s="2745"/>
      <c r="J22" s="2917"/>
      <c r="K22" s="2917"/>
    </row>
    <row r="23" spans="1:11" ht="17" x14ac:dyDescent="0.2">
      <c r="A23" s="2743" t="s">
        <v>1307</v>
      </c>
      <c r="B23" s="2745"/>
      <c r="C23" s="2745"/>
      <c r="D23" s="2745"/>
      <c r="E23" s="2746" t="e">
        <f t="shared" si="0"/>
        <v>#DIV/0!</v>
      </c>
      <c r="F23" s="2746" t="e">
        <f t="shared" si="1"/>
        <v>#DIV/0!</v>
      </c>
      <c r="G23" s="2745"/>
      <c r="H23" s="2745"/>
      <c r="I23" s="2745"/>
      <c r="J23" s="2917"/>
      <c r="K23" s="2917"/>
    </row>
    <row r="24" spans="1:11" x14ac:dyDescent="0.2">
      <c r="A24" s="2917"/>
      <c r="B24" s="2917"/>
      <c r="C24" s="2917"/>
      <c r="D24" s="2917"/>
      <c r="E24" s="2917"/>
      <c r="F24" s="2917"/>
      <c r="G24" s="2917"/>
      <c r="H24" s="2917"/>
      <c r="I24" s="2917"/>
      <c r="J24" s="2917"/>
      <c r="K24" s="2917"/>
    </row>
    <row r="25" spans="1:11" x14ac:dyDescent="0.2">
      <c r="A25" s="2917"/>
      <c r="B25" s="2917"/>
      <c r="C25" s="2917"/>
      <c r="D25" s="2917"/>
      <c r="E25" s="2917"/>
      <c r="F25" s="2917"/>
      <c r="G25" s="2917"/>
      <c r="H25" s="2917"/>
      <c r="I25" s="2917"/>
      <c r="J25" s="2917"/>
      <c r="K25" s="2917"/>
    </row>
    <row r="26" spans="1:11" x14ac:dyDescent="0.2">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dimension ref="A1"/>
  <sheetViews>
    <sheetView workbookViewId="0">
      <selection activeCell="D11" sqref="D11"/>
    </sheetView>
  </sheetViews>
  <sheetFormatPr baseColWidth="10" defaultColWidth="8.83203125" defaultRowHeight="15" x14ac:dyDescent="0.2"/>
  <sheetData/>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dimension ref="A1:H6"/>
  <sheetViews>
    <sheetView topLeftCell="A10" workbookViewId="0">
      <selection activeCell="J1" sqref="J1"/>
    </sheetView>
  </sheetViews>
  <sheetFormatPr baseColWidth="10" defaultColWidth="8.83203125" defaultRowHeight="15" x14ac:dyDescent="0.2"/>
  <cols>
    <col min="1" max="1" width="12.83203125" style="3" customWidth="1"/>
    <col min="2" max="2" width="22.5" style="3" customWidth="1"/>
    <col min="3" max="3" width="6.1640625" style="3" customWidth="1"/>
    <col min="4" max="4" width="10.5" style="3" customWidth="1"/>
    <col min="5" max="5" width="7.1640625" style="3" customWidth="1"/>
    <col min="6" max="6" width="15.83203125" style="3" customWidth="1"/>
    <col min="7" max="7" width="10.6640625" style="3" customWidth="1"/>
    <col min="8" max="8" width="16.1640625" style="3" customWidth="1"/>
    <col min="9" max="16384" width="8.83203125" style="3"/>
  </cols>
  <sheetData>
    <row r="1" spans="1:8" ht="27" customHeight="1" x14ac:dyDescent="0.2">
      <c r="A1" s="3615" t="s">
        <v>3294</v>
      </c>
      <c r="B1" s="3615"/>
      <c r="C1" s="3615"/>
      <c r="D1" s="3615"/>
      <c r="E1" s="3615"/>
      <c r="F1" s="3615"/>
      <c r="G1" s="3615"/>
      <c r="H1" s="3615"/>
    </row>
    <row r="2" spans="1:8" ht="25.5" customHeight="1" x14ac:dyDescent="0.2">
      <c r="A2" s="3211" t="s">
        <v>3286</v>
      </c>
      <c r="B2" s="3211" t="s">
        <v>3285</v>
      </c>
      <c r="C2" s="3211" t="s">
        <v>3287</v>
      </c>
      <c r="D2" s="3211" t="s">
        <v>3297</v>
      </c>
      <c r="E2" s="3211" t="s">
        <v>3288</v>
      </c>
      <c r="F2" s="3211" t="s">
        <v>3298</v>
      </c>
      <c r="G2" s="3211" t="s">
        <v>3296</v>
      </c>
      <c r="H2" s="3211" t="s">
        <v>3299</v>
      </c>
    </row>
    <row r="3" spans="1:8" ht="45" x14ac:dyDescent="0.2">
      <c r="A3" s="3211" t="s">
        <v>3289</v>
      </c>
      <c r="B3" s="3211" t="s">
        <v>3291</v>
      </c>
      <c r="C3" s="3211" t="s">
        <v>3292</v>
      </c>
      <c r="D3" s="3">
        <v>6100</v>
      </c>
      <c r="E3" s="3211" t="s">
        <v>3293</v>
      </c>
      <c r="F3" s="3">
        <v>10</v>
      </c>
      <c r="G3" s="3215">
        <v>0.7</v>
      </c>
      <c r="H3" s="3211">
        <f>ROUND(F3/G3,2)</f>
        <v>14.29</v>
      </c>
    </row>
    <row r="4" spans="1:8" x14ac:dyDescent="0.2">
      <c r="A4" s="3211" t="s">
        <v>3290</v>
      </c>
      <c r="B4" s="3211" t="s">
        <v>3290</v>
      </c>
      <c r="C4" s="3211" t="s">
        <v>3292</v>
      </c>
      <c r="D4" s="3">
        <v>1000</v>
      </c>
      <c r="E4" s="3211" t="s">
        <v>3293</v>
      </c>
      <c r="F4" s="3">
        <v>9</v>
      </c>
      <c r="G4" s="3215">
        <v>0.7</v>
      </c>
      <c r="H4" s="3211">
        <f t="shared" ref="H4:H5" si="0">ROUND(F4/G4,2)</f>
        <v>12.86</v>
      </c>
    </row>
    <row r="5" spans="1:8" ht="30" x14ac:dyDescent="0.2">
      <c r="A5" s="3211" t="s">
        <v>3300</v>
      </c>
      <c r="B5" s="3211" t="s">
        <v>3301</v>
      </c>
      <c r="C5" s="3211" t="s">
        <v>3292</v>
      </c>
      <c r="D5" s="3">
        <v>320</v>
      </c>
      <c r="E5" s="3211" t="s">
        <v>3293</v>
      </c>
      <c r="F5" s="3">
        <v>7</v>
      </c>
      <c r="G5" s="3215">
        <v>0.7</v>
      </c>
      <c r="H5" s="3211">
        <f t="shared" si="0"/>
        <v>10</v>
      </c>
    </row>
    <row r="6" spans="1:8" x14ac:dyDescent="0.2">
      <c r="A6" s="3211" t="s">
        <v>3290</v>
      </c>
      <c r="B6" s="3211" t="s">
        <v>3290</v>
      </c>
      <c r="C6" s="3211" t="s">
        <v>3302</v>
      </c>
      <c r="D6" s="3">
        <v>1000</v>
      </c>
      <c r="E6" s="3211" t="s">
        <v>3303</v>
      </c>
      <c r="F6" s="3">
        <v>13</v>
      </c>
      <c r="G6" s="3215">
        <f>G5</f>
        <v>0.7</v>
      </c>
      <c r="H6" s="3211">
        <f>ROUND(F6/G6,2)</f>
        <v>18.57</v>
      </c>
    </row>
  </sheetData>
  <mergeCells count="1">
    <mergeCell ref="A1:H1"/>
  </mergeCells>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9" defaultRowHeight="14" x14ac:dyDescent="0.2"/>
  <cols>
    <col min="1" max="1" width="16.6640625" style="1664" customWidth="1"/>
    <col min="2" max="3" width="22.33203125" style="1664" customWidth="1"/>
    <col min="4" max="4" width="23" style="1664" customWidth="1"/>
    <col min="5" max="16384" width="9" style="1664"/>
  </cols>
  <sheetData>
    <row r="1" spans="1:4" ht="18" x14ac:dyDescent="0.2">
      <c r="A1" s="3246" t="s">
        <v>1627</v>
      </c>
      <c r="B1" s="3246"/>
      <c r="C1" s="3246"/>
      <c r="D1" s="3246"/>
    </row>
    <row r="2" spans="1:4" ht="18" x14ac:dyDescent="0.2">
      <c r="A2" s="3247" t="s">
        <v>1611</v>
      </c>
      <c r="B2" s="3247"/>
      <c r="C2" s="3247"/>
      <c r="D2" s="3247"/>
    </row>
    <row r="3" spans="1:4" ht="17" x14ac:dyDescent="0.2">
      <c r="A3" s="1696" t="s">
        <v>1612</v>
      </c>
      <c r="B3" s="1696" t="s">
        <v>1613</v>
      </c>
      <c r="C3" s="1696" t="s">
        <v>1614</v>
      </c>
      <c r="D3" s="1696" t="s">
        <v>1615</v>
      </c>
    </row>
    <row r="4" spans="1:4" ht="56.25" customHeight="1" x14ac:dyDescent="0.2">
      <c r="A4" s="1697" t="str">
        <f>项目基本情况!B4</f>
        <v>陈颖</v>
      </c>
      <c r="B4" s="1698">
        <f ca="1">项目基本情况!C4</f>
        <v>0</v>
      </c>
      <c r="C4" s="1699"/>
      <c r="D4" s="1700" t="s">
        <v>1616</v>
      </c>
    </row>
    <row r="5" spans="1:4" ht="56.25" customHeight="1" x14ac:dyDescent="0.2">
      <c r="A5" s="1697" t="str">
        <f>项目基本情况!D4</f>
        <v>叶凌</v>
      </c>
      <c r="B5" s="1698">
        <f ca="1">项目基本情况!E4</f>
        <v>1119970111</v>
      </c>
      <c r="C5" s="1701"/>
      <c r="D5" s="1700" t="s">
        <v>1616</v>
      </c>
    </row>
    <row r="6" spans="1:4" ht="18" x14ac:dyDescent="0.2">
      <c r="A6" s="3247" t="s">
        <v>1617</v>
      </c>
      <c r="B6" s="3247"/>
      <c r="C6" s="3247"/>
      <c r="D6" s="3247"/>
    </row>
    <row r="7" spans="1:4" ht="17" x14ac:dyDescent="0.2">
      <c r="A7" s="1696" t="s">
        <v>1612</v>
      </c>
      <c r="B7" s="1698" t="s">
        <v>1618</v>
      </c>
      <c r="C7" s="1696" t="s">
        <v>1614</v>
      </c>
      <c r="D7" s="1696" t="s">
        <v>1615</v>
      </c>
    </row>
    <row r="8" spans="1:4" ht="56.25" customHeight="1" x14ac:dyDescent="0.2">
      <c r="A8" s="1702" t="s">
        <v>837</v>
      </c>
      <c r="B8" s="1702" t="s">
        <v>1</v>
      </c>
      <c r="C8" s="1699"/>
      <c r="D8" s="1700" t="s">
        <v>1616</v>
      </c>
    </row>
    <row r="9" spans="1:4" x14ac:dyDescent="0.2">
      <c r="A9" s="684"/>
      <c r="B9" s="684"/>
      <c r="C9" s="684"/>
      <c r="D9" s="684"/>
    </row>
    <row r="10" spans="1:4" ht="18" x14ac:dyDescent="0.2">
      <c r="A10" s="1703" t="s">
        <v>1619</v>
      </c>
      <c r="B10" s="684"/>
      <c r="C10" s="684"/>
      <c r="D10" s="684"/>
    </row>
    <row r="11" spans="1:4" ht="30" customHeight="1" x14ac:dyDescent="0.2">
      <c r="A11" s="3248" t="s">
        <v>1620</v>
      </c>
      <c r="B11" s="3240"/>
      <c r="C11" s="3240"/>
      <c r="D11" s="3240"/>
    </row>
    <row r="12" spans="1:4" ht="16" x14ac:dyDescent="0.2">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5"/>
      <c r="C12" s="3245"/>
      <c r="D12" s="3245"/>
    </row>
    <row r="13" spans="1:4" ht="30" customHeight="1" x14ac:dyDescent="0.2">
      <c r="A13" s="3240" t="str">
        <f>IF(项目基本情况!B8="抵押","3.抵押双方在办理抵押登记手续时，应使用本公司出具的正式《房地产评估报告》，特提醒报告使用者注意。","——")</f>
        <v>——</v>
      </c>
      <c r="B13" s="3245"/>
      <c r="C13" s="3245"/>
      <c r="D13" s="3245"/>
    </row>
    <row r="14" spans="1:4" ht="15.75" customHeight="1" x14ac:dyDescent="0.2">
      <c r="A14" s="3240" t="str">
        <f>IF(项目基本情况!B8="抵押","4.本次评估估价师所知悉的法定优先受偿款情况说明如下：","——")</f>
        <v>——</v>
      </c>
      <c r="B14" s="3245"/>
      <c r="C14" s="3245"/>
      <c r="D14" s="3245"/>
    </row>
    <row r="15" spans="1:4" ht="42" customHeight="1" x14ac:dyDescent="0.2">
      <c r="A15" s="3240" t="str">
        <f>IF(项目基本情况!B8="抵押","（1）"&amp;CONCATENATE(项目基本情况!L20,项目基本情况!L21,项目基本情况!L22),"——")</f>
        <v>——</v>
      </c>
      <c r="B15" s="3240"/>
      <c r="C15" s="3240"/>
      <c r="D15" s="3240"/>
    </row>
    <row r="16" spans="1:4" ht="30" customHeight="1" x14ac:dyDescent="0.2">
      <c r="A16" s="3242" t="s">
        <v>1621</v>
      </c>
      <c r="B16" s="3242"/>
      <c r="C16" s="3242"/>
      <c r="D16" s="3242"/>
    </row>
    <row r="17" spans="1:4" ht="144" customHeight="1" x14ac:dyDescent="0.2">
      <c r="A17" s="3242" t="s">
        <v>1622</v>
      </c>
      <c r="B17" s="3242"/>
      <c r="C17" s="3242"/>
      <c r="D17" s="3242"/>
    </row>
    <row r="18" spans="1:4" ht="15.75" customHeight="1" x14ac:dyDescent="0.2">
      <c r="A18" s="3240" t="str">
        <f>IF(项目基本情况!B8="抵押",结果表!K120,"——")</f>
        <v>——</v>
      </c>
      <c r="B18" s="3240"/>
      <c r="C18" s="3240"/>
      <c r="D18" s="3240"/>
    </row>
    <row r="19" spans="1:4" ht="46.5" customHeight="1" x14ac:dyDescent="0.2">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x14ac:dyDescent="0.2">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0"/>
      <c r="C20" s="3240"/>
      <c r="D20" s="3240"/>
    </row>
    <row r="21" spans="1:4" ht="57.75" customHeight="1" x14ac:dyDescent="0.2">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3"/>
      <c r="C21" s="3243"/>
      <c r="D21" s="3243"/>
    </row>
    <row r="22" spans="1:4" ht="18.75" customHeight="1" x14ac:dyDescent="0.2">
      <c r="A22" s="3244" t="s">
        <v>1623</v>
      </c>
      <c r="B22" s="3244"/>
      <c r="C22" s="3244"/>
      <c r="D22" s="3244"/>
    </row>
    <row r="23" spans="1:4" x14ac:dyDescent="0.2">
      <c r="A23" s="1704"/>
      <c r="B23" s="1676"/>
      <c r="C23" s="1676"/>
      <c r="D23" s="1676"/>
    </row>
    <row r="24" spans="1:4" x14ac:dyDescent="0.2">
      <c r="A24" s="1704"/>
      <c r="B24" s="1676"/>
      <c r="C24" s="1676"/>
      <c r="D24" s="1676"/>
    </row>
    <row r="25" spans="1:4" ht="18" x14ac:dyDescent="0.2">
      <c r="A25" s="1705" t="s">
        <v>1624</v>
      </c>
    </row>
    <row r="26" spans="1:4" ht="18" x14ac:dyDescent="0.2">
      <c r="A26" s="1674"/>
    </row>
    <row r="27" spans="1:4" ht="18" x14ac:dyDescent="0.2">
      <c r="A27" s="1674" t="s">
        <v>1625</v>
      </c>
    </row>
    <row r="30" spans="1:4" ht="18" x14ac:dyDescent="0.2">
      <c r="D30" s="1705" t="s">
        <v>1626</v>
      </c>
    </row>
    <row r="31" spans="1:4" ht="13.5" customHeight="1" x14ac:dyDescent="0.2">
      <c r="C31" s="3241">
        <v>42551</v>
      </c>
      <c r="D31" s="3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2060"/>
  </sheetPr>
  <dimension ref="A1:J31"/>
  <sheetViews>
    <sheetView view="pageLayout" workbookViewId="0">
      <selection activeCell="C5" sqref="C5"/>
    </sheetView>
  </sheetViews>
  <sheetFormatPr baseColWidth="10" defaultColWidth="9" defaultRowHeight="15" x14ac:dyDescent="0.2"/>
  <cols>
    <col min="1" max="2" width="13.1640625" style="1662" customWidth="1"/>
    <col min="3" max="10" width="12.5" style="1662" customWidth="1"/>
    <col min="11" max="16384" width="9" style="1662"/>
  </cols>
  <sheetData>
    <row r="1" spans="1:10" ht="18" x14ac:dyDescent="0.2">
      <c r="A1" s="1695" t="s">
        <v>838</v>
      </c>
      <c r="B1" s="1706"/>
      <c r="C1" s="1706"/>
      <c r="D1" s="1706"/>
      <c r="E1" s="1706"/>
      <c r="F1" s="1706"/>
      <c r="G1" s="1706"/>
      <c r="H1" s="1706"/>
      <c r="I1" s="1706"/>
      <c r="J1" s="1706"/>
    </row>
    <row r="2" spans="1:10" ht="18" x14ac:dyDescent="0.2">
      <c r="A2" s="1707"/>
      <c r="B2" s="1706"/>
      <c r="C2" s="1706"/>
      <c r="D2" s="1706"/>
      <c r="E2" s="1706"/>
      <c r="F2" s="1706"/>
      <c r="G2" s="1706"/>
      <c r="H2" s="1706"/>
      <c r="I2" s="1706"/>
      <c r="J2" s="1706"/>
    </row>
    <row r="3" spans="1:10" x14ac:dyDescent="0.2">
      <c r="A3" s="1706"/>
      <c r="B3" s="1706"/>
      <c r="C3" s="1706"/>
      <c r="D3" s="1706"/>
      <c r="E3" s="1706"/>
      <c r="F3" s="1706"/>
      <c r="G3" s="1706"/>
      <c r="H3" s="1706"/>
      <c r="I3" s="1706"/>
      <c r="J3" s="1706"/>
    </row>
    <row r="4" spans="1:10" x14ac:dyDescent="0.2">
      <c r="A4" s="1706"/>
      <c r="B4" s="1706"/>
      <c r="C4" s="1706"/>
      <c r="D4" s="1706"/>
      <c r="E4" s="1706"/>
      <c r="F4" s="1706"/>
      <c r="G4" s="1706"/>
      <c r="H4" s="1706"/>
      <c r="I4" s="1706"/>
      <c r="J4" s="1706"/>
    </row>
    <row r="5" spans="1:10" x14ac:dyDescent="0.2">
      <c r="A5" s="1706"/>
      <c r="B5" s="1706"/>
      <c r="C5" s="1706"/>
      <c r="D5" s="1706"/>
      <c r="E5" s="1706"/>
      <c r="F5" s="1706"/>
      <c r="G5" s="1706"/>
      <c r="H5" s="1706"/>
      <c r="I5" s="1706"/>
      <c r="J5" s="1706"/>
    </row>
    <row r="6" spans="1:10" x14ac:dyDescent="0.2">
      <c r="A6" s="1706"/>
      <c r="B6" s="1706"/>
      <c r="C6" s="1706"/>
      <c r="D6" s="1706"/>
      <c r="E6" s="1706"/>
      <c r="F6" s="1706"/>
      <c r="G6" s="1706"/>
      <c r="H6" s="1706"/>
      <c r="I6" s="1706"/>
      <c r="J6" s="1706"/>
    </row>
    <row r="7" spans="1:10" x14ac:dyDescent="0.2">
      <c r="A7" s="1706"/>
      <c r="B7" s="1706"/>
      <c r="C7" s="1706"/>
      <c r="D7" s="1706"/>
      <c r="E7" s="1706"/>
      <c r="F7" s="1706"/>
      <c r="G7" s="1706"/>
      <c r="H7" s="1706"/>
      <c r="I7" s="1706"/>
      <c r="J7" s="1706"/>
    </row>
    <row r="8" spans="1:10" x14ac:dyDescent="0.2">
      <c r="A8" s="1706"/>
      <c r="B8" s="1706"/>
      <c r="C8" s="1706"/>
      <c r="D8" s="1706"/>
      <c r="E8" s="1706"/>
      <c r="F8" s="1706"/>
      <c r="G8" s="1706"/>
      <c r="H8" s="1706"/>
      <c r="I8" s="1706"/>
      <c r="J8" s="1706"/>
    </row>
    <row r="9" spans="1:10" x14ac:dyDescent="0.2">
      <c r="A9" s="1706"/>
      <c r="B9" s="1706"/>
      <c r="C9" s="1706"/>
      <c r="D9" s="1706"/>
      <c r="E9" s="1706"/>
      <c r="F9" s="1706"/>
      <c r="G9" s="1706"/>
      <c r="H9" s="1706"/>
      <c r="I9" s="1706"/>
      <c r="J9" s="1706"/>
    </row>
    <row r="10" spans="1:10" x14ac:dyDescent="0.2">
      <c r="A10" s="1706"/>
      <c r="B10" s="1706"/>
      <c r="C10" s="1706"/>
      <c r="D10" s="1706"/>
      <c r="E10" s="1706"/>
      <c r="F10" s="1706"/>
      <c r="G10" s="1706"/>
      <c r="H10" s="1706"/>
      <c r="I10" s="1706"/>
      <c r="J10" s="1706"/>
    </row>
    <row r="11" spans="1:10" x14ac:dyDescent="0.2">
      <c r="A11" s="1706"/>
      <c r="B11" s="1706"/>
      <c r="C11" s="1706"/>
      <c r="D11" s="1706"/>
      <c r="E11" s="1706"/>
      <c r="F11" s="1706"/>
      <c r="G11" s="1706"/>
      <c r="H11" s="1706"/>
      <c r="I11" s="1706"/>
      <c r="J11" s="1706"/>
    </row>
    <row r="12" spans="1:10" x14ac:dyDescent="0.2">
      <c r="A12" s="1706"/>
      <c r="B12" s="1706"/>
      <c r="C12" s="1706"/>
      <c r="D12" s="1706"/>
      <c r="E12" s="1706"/>
      <c r="F12" s="1706"/>
      <c r="G12" s="1706"/>
      <c r="H12" s="1706"/>
      <c r="I12" s="1706"/>
      <c r="J12" s="1706"/>
    </row>
    <row r="13" spans="1:10" x14ac:dyDescent="0.2">
      <c r="A13" s="1706"/>
      <c r="B13" s="1706"/>
      <c r="C13" s="1706"/>
      <c r="D13" s="1706"/>
      <c r="E13" s="1706"/>
      <c r="F13" s="1706"/>
      <c r="G13" s="1706"/>
      <c r="H13" s="1706"/>
      <c r="I13" s="1706"/>
      <c r="J13" s="1706"/>
    </row>
    <row r="14" spans="1:10" x14ac:dyDescent="0.2">
      <c r="A14" s="1706"/>
      <c r="B14" s="1706"/>
      <c r="C14" s="1706"/>
      <c r="D14" s="1706"/>
      <c r="E14" s="1706"/>
      <c r="F14" s="1706"/>
      <c r="G14" s="1706"/>
      <c r="H14" s="1706"/>
      <c r="I14" s="1706"/>
      <c r="J14" s="1706"/>
    </row>
    <row r="15" spans="1:10" x14ac:dyDescent="0.2">
      <c r="A15" s="1706"/>
      <c r="B15" s="1706"/>
      <c r="C15" s="1706"/>
      <c r="D15" s="1706"/>
      <c r="E15" s="1706"/>
      <c r="F15" s="1706"/>
      <c r="G15" s="1706"/>
      <c r="H15" s="1706"/>
      <c r="I15" s="1706"/>
      <c r="J15" s="1706"/>
    </row>
    <row r="16" spans="1:10" x14ac:dyDescent="0.2">
      <c r="A16" s="1706"/>
      <c r="B16" s="1706"/>
      <c r="C16" s="1706"/>
      <c r="D16" s="1706"/>
      <c r="E16" s="1706"/>
      <c r="F16" s="1706"/>
      <c r="G16" s="1706"/>
      <c r="H16" s="1706"/>
      <c r="I16" s="1706"/>
      <c r="J16" s="1706"/>
    </row>
    <row r="17" spans="1:10" x14ac:dyDescent="0.2">
      <c r="A17" s="1706"/>
      <c r="B17" s="1706"/>
      <c r="C17" s="1706"/>
      <c r="D17" s="1706"/>
      <c r="E17" s="1706"/>
      <c r="F17" s="1706"/>
      <c r="G17" s="1706"/>
      <c r="H17" s="1706"/>
      <c r="I17" s="1706"/>
      <c r="J17" s="1706"/>
    </row>
    <row r="18" spans="1:10" x14ac:dyDescent="0.2">
      <c r="A18" s="1706"/>
      <c r="B18" s="1706"/>
      <c r="C18" s="1706"/>
      <c r="D18" s="1706"/>
      <c r="E18" s="1706"/>
      <c r="F18" s="1706"/>
      <c r="G18" s="1706"/>
      <c r="H18" s="1706"/>
      <c r="I18" s="1706"/>
      <c r="J18" s="1706"/>
    </row>
    <row r="19" spans="1:10" x14ac:dyDescent="0.2">
      <c r="A19" s="1706"/>
      <c r="B19" s="1706"/>
      <c r="C19" s="1706"/>
      <c r="D19" s="1706"/>
      <c r="E19" s="1706"/>
      <c r="F19" s="1706"/>
      <c r="G19" s="1706"/>
      <c r="H19" s="1706"/>
      <c r="I19" s="1706"/>
      <c r="J19" s="1706"/>
    </row>
    <row r="20" spans="1:10" x14ac:dyDescent="0.2">
      <c r="A20" s="1706"/>
      <c r="B20" s="1706"/>
      <c r="C20" s="1706"/>
      <c r="D20" s="1706"/>
      <c r="E20" s="1706"/>
      <c r="F20" s="1706"/>
      <c r="G20" s="1706"/>
      <c r="H20" s="1706"/>
      <c r="I20" s="1706"/>
      <c r="J20" s="1706"/>
    </row>
    <row r="21" spans="1:10" x14ac:dyDescent="0.2">
      <c r="A21" s="1706"/>
      <c r="B21" s="1706"/>
      <c r="C21" s="1706"/>
      <c r="D21" s="1706"/>
      <c r="E21" s="1706"/>
      <c r="F21" s="1706"/>
      <c r="G21" s="1706"/>
      <c r="H21" s="1706"/>
      <c r="I21" s="1706"/>
      <c r="J21" s="1706"/>
    </row>
    <row r="22" spans="1:10" x14ac:dyDescent="0.2">
      <c r="A22" s="1706"/>
      <c r="B22" s="1706"/>
      <c r="C22" s="1706"/>
      <c r="D22" s="1706"/>
      <c r="E22" s="1706"/>
      <c r="F22" s="1706"/>
      <c r="G22" s="1706"/>
      <c r="H22" s="1706"/>
      <c r="I22" s="1706"/>
      <c r="J22" s="1706"/>
    </row>
    <row r="23" spans="1:10" x14ac:dyDescent="0.2">
      <c r="A23" s="1706"/>
      <c r="B23" s="1706"/>
      <c r="C23" s="1706"/>
      <c r="D23" s="1706"/>
      <c r="E23" s="1706"/>
      <c r="F23" s="1706"/>
      <c r="G23" s="1706"/>
      <c r="H23" s="1706"/>
      <c r="I23" s="1706"/>
      <c r="J23" s="1706"/>
    </row>
    <row r="24" spans="1:10" x14ac:dyDescent="0.2">
      <c r="A24" s="1706"/>
      <c r="B24" s="1706"/>
      <c r="C24" s="1706"/>
      <c r="D24" s="1706"/>
      <c r="E24" s="1706"/>
      <c r="F24" s="1706"/>
      <c r="G24" s="1706"/>
      <c r="H24" s="1706"/>
      <c r="I24" s="1706"/>
      <c r="J24" s="1706"/>
    </row>
    <row r="25" spans="1:10" x14ac:dyDescent="0.2">
      <c r="A25" s="1706"/>
      <c r="B25" s="1706"/>
      <c r="C25" s="1706"/>
      <c r="D25" s="1706"/>
      <c r="E25" s="1706"/>
      <c r="F25" s="1706"/>
      <c r="G25" s="1706"/>
      <c r="H25" s="1706"/>
      <c r="I25" s="1706"/>
      <c r="J25" s="1706"/>
    </row>
    <row r="26" spans="1:10" x14ac:dyDescent="0.2">
      <c r="A26" s="1706"/>
      <c r="B26" s="1706"/>
      <c r="C26" s="1706"/>
      <c r="D26" s="1706"/>
      <c r="E26" s="1706"/>
      <c r="F26" s="1706"/>
      <c r="G26" s="1706"/>
      <c r="H26" s="1706"/>
      <c r="I26" s="1706"/>
      <c r="J26" s="1706"/>
    </row>
    <row r="27" spans="1:10" x14ac:dyDescent="0.2">
      <c r="A27" s="1706"/>
      <c r="B27" s="1706"/>
      <c r="C27" s="1706"/>
      <c r="D27" s="1706"/>
      <c r="E27" s="1706"/>
      <c r="F27" s="1706"/>
      <c r="G27" s="1706"/>
      <c r="H27" s="1706"/>
      <c r="I27" s="1706"/>
      <c r="J27" s="1706"/>
    </row>
    <row r="28" spans="1:10" x14ac:dyDescent="0.2">
      <c r="A28" s="1706"/>
      <c r="B28" s="1706"/>
      <c r="C28" s="1706"/>
      <c r="D28" s="1706"/>
      <c r="E28" s="1706"/>
      <c r="F28" s="1706"/>
      <c r="G28" s="1706"/>
      <c r="H28" s="1706"/>
      <c r="I28" s="1706"/>
      <c r="J28" s="1706"/>
    </row>
    <row r="29" spans="1:10" x14ac:dyDescent="0.2">
      <c r="A29" s="1706"/>
      <c r="B29" s="1706"/>
      <c r="C29" s="1706"/>
      <c r="D29" s="1706"/>
      <c r="E29" s="1706"/>
      <c r="F29" s="1706"/>
      <c r="G29" s="1706"/>
      <c r="H29" s="1706"/>
      <c r="I29" s="1706"/>
      <c r="J29" s="1706"/>
    </row>
    <row r="30" spans="1:10" x14ac:dyDescent="0.2">
      <c r="A30" s="1706"/>
      <c r="B30" s="1706"/>
      <c r="C30" s="1706"/>
      <c r="D30" s="1706"/>
      <c r="E30" s="1706"/>
      <c r="F30" s="1706"/>
      <c r="G30" s="1706"/>
      <c r="H30" s="1706"/>
      <c r="I30" s="1706"/>
      <c r="J30" s="1706"/>
    </row>
    <row r="31" spans="1:10" x14ac:dyDescent="0.2">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enableFormatConditionsCalculation="0">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6" x14ac:dyDescent="0.2"/>
  <cols>
    <col min="1" max="1" width="14.5" style="1712" customWidth="1"/>
    <col min="2" max="16384" width="14.5" style="1694"/>
  </cols>
  <sheetData>
    <row r="1" spans="1:7" s="1709" customFormat="1" ht="18" x14ac:dyDescent="0.2">
      <c r="A1" s="1708" t="s">
        <v>1628</v>
      </c>
    </row>
    <row r="3" spans="1:7" x14ac:dyDescent="0.2">
      <c r="A3" s="1710" t="s">
        <v>82</v>
      </c>
      <c r="B3" s="1694" t="s">
        <v>1629</v>
      </c>
      <c r="G3" s="1711"/>
    </row>
    <row r="4" spans="1:7" x14ac:dyDescent="0.2">
      <c r="G4" s="1711"/>
    </row>
    <row r="5" spans="1:7" x14ac:dyDescent="0.2">
      <c r="A5" s="1713" t="s">
        <v>73</v>
      </c>
      <c r="B5" s="1694" t="s">
        <v>1630</v>
      </c>
      <c r="G5" s="1711"/>
    </row>
    <row r="6" spans="1:7" x14ac:dyDescent="0.2">
      <c r="G6" s="1711"/>
    </row>
    <row r="7" spans="1:7" x14ac:dyDescent="0.2">
      <c r="A7" s="1714" t="s">
        <v>135</v>
      </c>
      <c r="B7" s="1694" t="s">
        <v>1631</v>
      </c>
      <c r="G7" s="1711"/>
    </row>
    <row r="8" spans="1:7" x14ac:dyDescent="0.2">
      <c r="G8" s="1711"/>
    </row>
    <row r="9" spans="1:7" x14ac:dyDescent="0.2">
      <c r="A9" s="1715" t="s">
        <v>74</v>
      </c>
      <c r="B9" s="1694" t="s">
        <v>1632</v>
      </c>
    </row>
    <row r="11" spans="1:7" x14ac:dyDescent="0.2">
      <c r="A11" s="1716" t="s">
        <v>75</v>
      </c>
      <c r="B11" s="1717" t="s">
        <v>72</v>
      </c>
    </row>
    <row r="13" spans="1:7" x14ac:dyDescent="0.2">
      <c r="A13" s="1718" t="s">
        <v>1633</v>
      </c>
    </row>
    <row r="15" spans="1:7" ht="15" x14ac:dyDescent="0.2">
      <c r="A15" s="3254" t="s">
        <v>1634</v>
      </c>
      <c r="B15" s="3249" t="s">
        <v>136</v>
      </c>
      <c r="C15" s="3250"/>
    </row>
    <row r="16" spans="1:7" ht="15" x14ac:dyDescent="0.2">
      <c r="A16" s="3255"/>
      <c r="B16" s="3249" t="s">
        <v>69</v>
      </c>
      <c r="C16" s="3250"/>
    </row>
    <row r="17" spans="1:3" ht="15" x14ac:dyDescent="0.2">
      <c r="A17" s="3255"/>
      <c r="B17" s="3252" t="s">
        <v>1635</v>
      </c>
      <c r="C17" s="1719" t="s">
        <v>1634</v>
      </c>
    </row>
    <row r="18" spans="1:3" ht="15" x14ac:dyDescent="0.2">
      <c r="A18" s="3255"/>
      <c r="B18" s="3252"/>
      <c r="C18" s="1719" t="s">
        <v>1636</v>
      </c>
    </row>
    <row r="19" spans="1:3" ht="15" x14ac:dyDescent="0.2">
      <c r="A19" s="3255"/>
      <c r="B19" s="3252"/>
      <c r="C19" s="1719" t="s">
        <v>1637</v>
      </c>
    </row>
    <row r="20" spans="1:3" ht="15" x14ac:dyDescent="0.2">
      <c r="A20" s="3256"/>
      <c r="B20" s="3251" t="s">
        <v>1638</v>
      </c>
      <c r="C20" s="3250"/>
    </row>
    <row r="21" spans="1:3" ht="15" x14ac:dyDescent="0.2">
      <c r="A21" s="1720" t="s">
        <v>1639</v>
      </c>
      <c r="B21" s="1721"/>
      <c r="C21" s="1722"/>
    </row>
    <row r="22" spans="1:3" ht="15" x14ac:dyDescent="0.2">
      <c r="A22" s="3253" t="s">
        <v>1640</v>
      </c>
      <c r="B22" s="3251" t="s">
        <v>1641</v>
      </c>
      <c r="C22" s="3250"/>
    </row>
    <row r="23" spans="1:3" ht="15" x14ac:dyDescent="0.2">
      <c r="A23" s="3253"/>
      <c r="B23" s="3251" t="s">
        <v>1642</v>
      </c>
      <c r="C23" s="3250"/>
    </row>
    <row r="24" spans="1:3" ht="15" x14ac:dyDescent="0.2">
      <c r="A24" s="3253"/>
      <c r="B24" s="3251" t="s">
        <v>1643</v>
      </c>
      <c r="C24" s="3250"/>
    </row>
    <row r="25" spans="1:3" ht="15" x14ac:dyDescent="0.2">
      <c r="A25" s="3253"/>
      <c r="B25" s="3252" t="s">
        <v>1644</v>
      </c>
      <c r="C25" s="1719" t="s">
        <v>1645</v>
      </c>
    </row>
    <row r="26" spans="1:3" ht="15" x14ac:dyDescent="0.2">
      <c r="A26" s="3253"/>
      <c r="B26" s="3252"/>
      <c r="C26" s="1719" t="s">
        <v>1646</v>
      </c>
    </row>
    <row r="27" spans="1:3" ht="15" x14ac:dyDescent="0.2">
      <c r="A27" s="3253"/>
      <c r="B27" s="3252"/>
      <c r="C27" s="1719" t="s">
        <v>1647</v>
      </c>
    </row>
    <row r="28" spans="1:3" ht="15" x14ac:dyDescent="0.2">
      <c r="A28" s="3253"/>
      <c r="B28" s="3252"/>
      <c r="C28" s="1719" t="s">
        <v>1648</v>
      </c>
    </row>
    <row r="29" spans="1:3" ht="15" x14ac:dyDescent="0.2">
      <c r="A29" s="3253"/>
      <c r="B29" s="3252"/>
      <c r="C29" s="1719" t="s">
        <v>1649</v>
      </c>
    </row>
    <row r="30" spans="1:3" ht="15" x14ac:dyDescent="0.2">
      <c r="A30" s="3253"/>
      <c r="B30" s="3252"/>
      <c r="C30" s="1719" t="s">
        <v>1650</v>
      </c>
    </row>
    <row r="31" spans="1:3" ht="15" x14ac:dyDescent="0.2">
      <c r="A31" s="3253"/>
      <c r="B31" s="3252"/>
      <c r="C31" s="1719" t="s">
        <v>1651</v>
      </c>
    </row>
    <row r="32" spans="1:3" ht="15" x14ac:dyDescent="0.2">
      <c r="A32" s="3253"/>
      <c r="B32" s="3252"/>
      <c r="C32" s="1719" t="s">
        <v>1652</v>
      </c>
    </row>
    <row r="33" spans="1:3" ht="15" x14ac:dyDescent="0.2">
      <c r="A33" s="3253"/>
      <c r="B33" s="3252"/>
      <c r="C33" s="1719" t="s">
        <v>1653</v>
      </c>
    </row>
    <row r="34" spans="1:3" x14ac:dyDescent="0.2">
      <c r="A34" s="1723" t="s">
        <v>76</v>
      </c>
    </row>
    <row r="37" spans="1:3" x14ac:dyDescent="0.2">
      <c r="A37" s="1723" t="s">
        <v>1654</v>
      </c>
    </row>
    <row r="38" spans="1:3" ht="15" x14ac:dyDescent="0.2">
      <c r="A38" s="1724" t="s">
        <v>77</v>
      </c>
    </row>
    <row r="39" spans="1:3" ht="15" x14ac:dyDescent="0.2">
      <c r="A39" s="1724" t="s">
        <v>78</v>
      </c>
    </row>
    <row r="40" spans="1:3" ht="15" x14ac:dyDescent="0.2">
      <c r="A40" s="1724" t="s">
        <v>79</v>
      </c>
    </row>
    <row r="41" spans="1:3" ht="15" x14ac:dyDescent="0.2">
      <c r="A41" s="1725" t="s">
        <v>80</v>
      </c>
    </row>
    <row r="42" spans="1:3" ht="15" x14ac:dyDescent="0.2">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pageSetUpPr fitToPage="1"/>
  </sheetPr>
  <dimension ref="A1:H22"/>
  <sheetViews>
    <sheetView view="pageBreakPreview" zoomScale="60" workbookViewId="0">
      <selection activeCell="G22" sqref="G22"/>
    </sheetView>
  </sheetViews>
  <sheetFormatPr baseColWidth="10" defaultColWidth="22.6640625" defaultRowHeight="24" customHeight="1" x14ac:dyDescent="0.2"/>
  <cols>
    <col min="1" max="1" width="24.6640625" style="2562" customWidth="1"/>
    <col min="2" max="2" width="38.6640625" style="2562" customWidth="1"/>
    <col min="3" max="3" width="26" style="2562" customWidth="1"/>
    <col min="4" max="4" width="35" style="2562" hidden="1" customWidth="1"/>
    <col min="5" max="5" width="30.1640625" style="2562" customWidth="1"/>
    <col min="6" max="6" width="35.5" style="2562" customWidth="1"/>
    <col min="7" max="7" width="31" style="2562" customWidth="1"/>
    <col min="8" max="8" width="37.5" style="2562" hidden="1" customWidth="1"/>
    <col min="9" max="16384" width="22.6640625" style="2562"/>
  </cols>
  <sheetData>
    <row r="1" spans="1:8" ht="24" customHeight="1" x14ac:dyDescent="0.2">
      <c r="A1" s="2561"/>
      <c r="B1" s="2561"/>
      <c r="C1" s="2561"/>
      <c r="D1" s="2561"/>
      <c r="E1" s="2561"/>
      <c r="F1" s="2561"/>
      <c r="G1" s="2561"/>
      <c r="H1" s="2561"/>
    </row>
    <row r="2" spans="1:8" ht="24" customHeight="1" x14ac:dyDescent="0.2">
      <c r="A2" s="2563" t="s">
        <v>2880</v>
      </c>
      <c r="B2" s="2564">
        <f ca="1">TODAY()</f>
        <v>44606</v>
      </c>
      <c r="C2" s="2565" t="s">
        <v>2881</v>
      </c>
      <c r="D2" s="2565"/>
      <c r="E2" s="2565"/>
      <c r="F2" s="2561"/>
      <c r="G2" s="2561"/>
      <c r="H2" s="2561"/>
    </row>
    <row r="3" spans="1:8" ht="24" customHeight="1" x14ac:dyDescent="0.2">
      <c r="A3" s="2566" t="s">
        <v>2882</v>
      </c>
      <c r="B3" s="2567" t="s">
        <v>2883</v>
      </c>
      <c r="C3" s="2567" t="s">
        <v>2884</v>
      </c>
      <c r="D3" s="2568" t="s">
        <v>2885</v>
      </c>
      <c r="E3" s="2569" t="s">
        <v>2886</v>
      </c>
      <c r="F3" s="1474" t="s">
        <v>2887</v>
      </c>
      <c r="G3" s="2567" t="s">
        <v>2884</v>
      </c>
      <c r="H3" s="2568" t="s">
        <v>2888</v>
      </c>
    </row>
    <row r="4" spans="1:8" ht="24" customHeight="1" x14ac:dyDescent="0.2">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x14ac:dyDescent="0.2">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x14ac:dyDescent="0.2">
      <c r="A6" s="1474" t="s">
        <v>2891</v>
      </c>
      <c r="B6" s="1474" t="str">
        <f ca="1">IF(C6&lt;B2,"已过期",1120050019)</f>
        <v>已过期</v>
      </c>
      <c r="C6" s="2570">
        <v>44395</v>
      </c>
      <c r="D6" s="2571" t="str">
        <f t="shared" ca="1" si="0"/>
        <v>王鹏（注册号：已过期）</v>
      </c>
      <c r="E6" s="2572" t="s">
        <v>2891</v>
      </c>
      <c r="F6" s="1474">
        <f ca="1">IF(G6&lt;B2,"已过期",2002110030)</f>
        <v>2002110030</v>
      </c>
      <c r="G6" s="2573">
        <v>46387</v>
      </c>
      <c r="H6" s="2574" t="str">
        <f t="shared" ca="1" si="1"/>
        <v>王鹏（注册号：2002110030）</v>
      </c>
    </row>
    <row r="7" spans="1:8" ht="24" customHeight="1" x14ac:dyDescent="0.2">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x14ac:dyDescent="0.2">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x14ac:dyDescent="0.2">
      <c r="A9" s="1474" t="s">
        <v>2894</v>
      </c>
      <c r="B9" s="1474" t="str">
        <f ca="1">IF(C9&lt;B2,"已过期",1120060040)</f>
        <v>已过期</v>
      </c>
      <c r="C9" s="2575">
        <v>44554</v>
      </c>
      <c r="D9" s="2571" t="str">
        <f t="shared" ca="1" si="0"/>
        <v>陈颖（注册号：已过期）</v>
      </c>
      <c r="E9" s="2572" t="s">
        <v>2894</v>
      </c>
      <c r="F9" s="1474">
        <f ca="1">IF(G9&lt;B2,"已过期",2004110096)</f>
        <v>2004110096</v>
      </c>
      <c r="G9" s="2573">
        <v>47118</v>
      </c>
      <c r="H9" s="2574" t="str">
        <f t="shared" ca="1" si="1"/>
        <v>陈颖（注册号：2004110096）</v>
      </c>
    </row>
    <row r="10" spans="1:8" ht="24" customHeight="1" x14ac:dyDescent="0.2">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x14ac:dyDescent="0.2">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x14ac:dyDescent="0.2">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x14ac:dyDescent="0.2">
      <c r="A13" s="1474" t="s">
        <v>2898</v>
      </c>
      <c r="B13" s="1474" t="str">
        <f ca="1">IF(C13&lt;B2,"已过期",1120020033)</f>
        <v>已过期</v>
      </c>
      <c r="C13" s="2570">
        <v>44339</v>
      </c>
      <c r="D13" s="2571" t="str">
        <f t="shared" ca="1" si="0"/>
        <v>刘敬东（注册号：已过期）</v>
      </c>
      <c r="E13" s="2572" t="s">
        <v>2898</v>
      </c>
      <c r="F13" s="1474">
        <f ca="1">IF(G13&lt;B2,"已过期",2000110137)</f>
        <v>2000110137</v>
      </c>
      <c r="G13" s="2573">
        <v>46387</v>
      </c>
      <c r="H13" s="2574" t="str">
        <f t="shared" ca="1" si="1"/>
        <v>刘敬东（注册号：2000110137）</v>
      </c>
    </row>
    <row r="14" spans="1:8" ht="24" customHeight="1" x14ac:dyDescent="0.2">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x14ac:dyDescent="0.2">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x14ac:dyDescent="0.2">
      <c r="A16" s="1474"/>
      <c r="B16" s="1474"/>
      <c r="C16" s="1474"/>
      <c r="D16" s="2571" t="str">
        <f>A16&amp;"（注册号："&amp;B16&amp;"）"</f>
        <v>（注册号：）</v>
      </c>
      <c r="E16" s="2572"/>
      <c r="F16" s="1474"/>
      <c r="G16" s="1474"/>
      <c r="H16" s="2576" t="str">
        <f t="shared" si="1"/>
        <v>（注册号：）</v>
      </c>
    </row>
    <row r="17" spans="1:8" ht="24" customHeight="1" x14ac:dyDescent="0.2">
      <c r="A17" s="3257" t="s">
        <v>2901</v>
      </c>
      <c r="B17" s="3257"/>
      <c r="C17" s="3257"/>
      <c r="D17" s="3257"/>
      <c r="E17" s="3257"/>
      <c r="F17" s="3257"/>
      <c r="G17" s="3257"/>
      <c r="H17" s="3257"/>
    </row>
    <row r="18" spans="1:8" ht="24" customHeight="1" x14ac:dyDescent="0.2">
      <c r="A18" s="3258" t="s">
        <v>2902</v>
      </c>
      <c r="B18" s="3258"/>
      <c r="C18" s="3258"/>
      <c r="D18" s="2568"/>
      <c r="E18" s="3259" t="s">
        <v>2903</v>
      </c>
      <c r="F18" s="3258"/>
      <c r="G18" s="3258"/>
    </row>
    <row r="19" spans="1:8" s="2579" customFormat="1" ht="24" customHeight="1" x14ac:dyDescent="0.2">
      <c r="A19" s="2578" t="s">
        <v>2904</v>
      </c>
      <c r="B19" s="2567" t="s">
        <v>2905</v>
      </c>
      <c r="C19" s="2567" t="s">
        <v>2884</v>
      </c>
      <c r="D19" s="2568"/>
      <c r="E19" s="2572" t="s">
        <v>2904</v>
      </c>
      <c r="F19" s="2567" t="s">
        <v>2905</v>
      </c>
      <c r="G19" s="2567" t="s">
        <v>2884</v>
      </c>
    </row>
    <row r="20" spans="1:8" s="2579" customFormat="1" ht="24" customHeight="1" x14ac:dyDescent="0.2">
      <c r="A20" s="2580" t="s">
        <v>2906</v>
      </c>
      <c r="B20" s="2580" t="s">
        <v>2907</v>
      </c>
      <c r="C20" s="2573">
        <v>44820</v>
      </c>
      <c r="D20" s="2581"/>
      <c r="E20" s="2582" t="s">
        <v>2908</v>
      </c>
      <c r="F20" s="2580" t="s">
        <v>2909</v>
      </c>
      <c r="G20" s="2583">
        <v>44377</v>
      </c>
    </row>
    <row r="21" spans="1:8" s="2579" customFormat="1" ht="24" customHeight="1" x14ac:dyDescent="0.2">
      <c r="A21" s="2580"/>
      <c r="B21" s="2580"/>
      <c r="C21" s="2584"/>
      <c r="D21" s="2585"/>
      <c r="E21" s="2582" t="s">
        <v>2910</v>
      </c>
      <c r="F21" s="2586" t="s">
        <v>2911</v>
      </c>
      <c r="G21" s="2587">
        <v>44012</v>
      </c>
    </row>
    <row r="22" spans="1:8" ht="24" customHeight="1" x14ac:dyDescent="0.2">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成本法 (元)</vt:lpstr>
      <vt:lpstr>假设开发法</vt:lpstr>
      <vt:lpstr>租金比较法-商业</vt:lpstr>
      <vt:lpstr>租金案例</vt:lpstr>
      <vt:lpstr>租金案例位置图</vt:lpstr>
      <vt:lpstr>比较法-商业</vt:lpstr>
      <vt:lpstr>收益法倒推-商业</vt:lpstr>
      <vt:lpstr>收益法</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商业案例</vt:lpstr>
      <vt:lpstr>地价</vt:lpstr>
      <vt:lpstr>典型户型修正</vt:lpstr>
      <vt:lpstr>成本法（废）</vt:lpstr>
      <vt:lpstr>区片价</vt:lpstr>
      <vt:lpstr>因素修正幅度</vt:lpstr>
      <vt:lpstr>存贷款利率</vt:lpstr>
      <vt:lpstr>区片价（范围）</vt:lpstr>
      <vt:lpstr>售价比较法-办公</vt:lpstr>
      <vt:lpstr>售价案例</vt:lpstr>
      <vt:lpstr>案例位置图</vt:lpstr>
      <vt:lpstr>系统读取表</vt:lpstr>
      <vt:lpstr>Sheet3</vt:lpstr>
      <vt:lpstr>周边商铺价格调研表</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2017-03-01T09:15:43Z</cp:lastPrinted>
  <dcterms:created xsi:type="dcterms:W3CDTF">2015-07-13T07:17:23Z</dcterms:created>
  <dcterms:modified xsi:type="dcterms:W3CDTF">2022-02-14T07:44:21Z</dcterms:modified>
</cp:coreProperties>
</file>