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0" yWindow="0" windowWidth="14370" windowHeight="7005" tabRatio="895"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办公 (租金)" sheetId="80"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及位置" sheetId="77" r:id="rId46"/>
  </sheets>
  <definedNames>
    <definedName name="_xlnm._FilterDatabase" localSheetId="21" hidden="1">'比较法-办公'!$A$1:$L$50</definedName>
    <definedName name="_xlnm._FilterDatabase" localSheetId="38"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'比较法-办公 (租金)'!$B$119:$M$119</definedName>
    <definedName name="办公层高">'比较法-办公'!$B$119:$M$119</definedName>
    <definedName name="办公朝向" localSheetId="38">'比较法-办公 (租金)'!$B$91:$M$91</definedName>
    <definedName name="办公朝向">'比较法-办公'!$B$91:$M$91</definedName>
    <definedName name="办公道路级别" localSheetId="38">'比较法-办公 (租金)'!$B$87:$M$87</definedName>
    <definedName name="办公道路级别">'比较法-办公'!$B$87:$M$87</definedName>
    <definedName name="办公公共部分装修" localSheetId="38">'比较法-办公 (租金)'!$B$108:$M$108</definedName>
    <definedName name="办公公共部分装修">'比较法-办公'!$B$108:$M$108</definedName>
    <definedName name="办公基础设施水平" localSheetId="38">'比较法-办公 (租金)'!$B$117:$M$117</definedName>
    <definedName name="办公基础设施水平">'比较法-办公'!$B$117:$M$117</definedName>
    <definedName name="办公集聚程度">定义!$M$1:$M$6</definedName>
    <definedName name="办公建筑结构" localSheetId="38">'比较法-办公 (租金)'!$B$106:$M$106</definedName>
    <definedName name="办公建筑结构">'比较法-办公'!$B$106:$M$106</definedName>
    <definedName name="办公建筑类型" localSheetId="38">'比较法-办公 (租金)'!$B$101:$M$101</definedName>
    <definedName name="办公建筑类型">'比较法-办公'!$B$101:$M$101</definedName>
    <definedName name="办公交易情况" localSheetId="38">'比较法-办公 (租金)'!$A$62:$M$62</definedName>
    <definedName name="办公交易情况">'比较法-办公'!$A$62:$M$62</definedName>
    <definedName name="办公楼层" localSheetId="38">'比较法-办公 (租金)'!$B$89:$M$89</definedName>
    <definedName name="办公楼层">'比较法-办公'!$B$89:$M$89</definedName>
    <definedName name="办公内部装修" localSheetId="38">'比较法-办公 (租金)'!$B$123:$M$123</definedName>
    <definedName name="办公内部装修">'比较法-办公'!$B$123:$M$123</definedName>
    <definedName name="办公物业管理" localSheetId="38">'比较法-办公 (租金)'!$B$115:$M$115</definedName>
    <definedName name="办公物业管理">'比较法-办公'!$B$115:$M$115</definedName>
    <definedName name="办公用途" localSheetId="38">'比较法-办公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8">'比较法-办公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34" i="80"/>
  <c r="G25"/>
  <c r="E25"/>
  <c r="C25"/>
  <c r="J3" i="31" l="1"/>
  <c r="I3"/>
  <c r="H3"/>
  <c r="G3"/>
  <c r="F3"/>
  <c r="E3"/>
  <c r="D3"/>
  <c r="B25"/>
  <c r="B26"/>
  <c r="B27"/>
  <c r="B28"/>
  <c r="B29"/>
  <c r="B24"/>
  <c r="A25"/>
  <c r="A26"/>
  <c r="A27"/>
  <c r="A28"/>
  <c r="A29"/>
  <c r="A24"/>
  <c r="B131" i="80"/>
  <c r="B129"/>
  <c r="B127"/>
  <c r="D126"/>
  <c r="E126" s="1"/>
  <c r="F126" s="1"/>
  <c r="G126" s="1"/>
  <c r="D124"/>
  <c r="E124" s="1"/>
  <c r="F124" s="1"/>
  <c r="G124" s="1"/>
  <c r="H124" s="1"/>
  <c r="I124" s="1"/>
  <c r="J124" s="1"/>
  <c r="K124" s="1"/>
  <c r="L124" s="1"/>
  <c r="M124" s="1"/>
  <c r="D120"/>
  <c r="E120" s="1"/>
  <c r="F120" s="1"/>
  <c r="G120" s="1"/>
  <c r="H120" s="1"/>
  <c r="I120" s="1"/>
  <c r="J120" s="1"/>
  <c r="K120" s="1"/>
  <c r="L120" s="1"/>
  <c r="M120" s="1"/>
  <c r="D118"/>
  <c r="E118" s="1"/>
  <c r="F118" s="1"/>
  <c r="G118" s="1"/>
  <c r="D116"/>
  <c r="E116" s="1"/>
  <c r="F116" s="1"/>
  <c r="G116" s="1"/>
  <c r="H116" s="1"/>
  <c r="I116" s="1"/>
  <c r="J116" s="1"/>
  <c r="K116" s="1"/>
  <c r="L116" s="1"/>
  <c r="M116" s="1"/>
  <c r="D114"/>
  <c r="E114" s="1"/>
  <c r="F114" s="1"/>
  <c r="G114" s="1"/>
  <c r="H114" s="1"/>
  <c r="I114" s="1"/>
  <c r="J114" s="1"/>
  <c r="K114" s="1"/>
  <c r="L114" s="1"/>
  <c r="M114" s="1"/>
  <c r="D112"/>
  <c r="E112" s="1"/>
  <c r="F112" s="1"/>
  <c r="G112" s="1"/>
  <c r="H112" s="1"/>
  <c r="I112" s="1"/>
  <c r="J112" s="1"/>
  <c r="K112" s="1"/>
  <c r="L112" s="1"/>
  <c r="M112" s="1"/>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E102"/>
  <c r="F102" s="1"/>
  <c r="G102" s="1"/>
  <c r="H102" s="1"/>
  <c r="I102" s="1"/>
  <c r="J102" s="1"/>
  <c r="K102" s="1"/>
  <c r="L102" s="1"/>
  <c r="M102" s="1"/>
  <c r="D102"/>
  <c r="B99"/>
  <c r="B97"/>
  <c r="B95"/>
  <c r="B93"/>
  <c r="E92"/>
  <c r="F92" s="1"/>
  <c r="G92" s="1"/>
  <c r="H92" s="1"/>
  <c r="I92" s="1"/>
  <c r="J92" s="1"/>
  <c r="K92" s="1"/>
  <c r="L92" s="1"/>
  <c r="M92" s="1"/>
  <c r="D92"/>
  <c r="B91"/>
  <c r="D90"/>
  <c r="E90" s="1"/>
  <c r="F90" s="1"/>
  <c r="G90" s="1"/>
  <c r="H90" s="1"/>
  <c r="I90" s="1"/>
  <c r="J90" s="1"/>
  <c r="K90" s="1"/>
  <c r="L90" s="1"/>
  <c r="M90" s="1"/>
  <c r="B89"/>
  <c r="D88"/>
  <c r="E88" s="1"/>
  <c r="F88" s="1"/>
  <c r="D86"/>
  <c r="E86" s="1"/>
  <c r="F86" s="1"/>
  <c r="G86" s="1"/>
  <c r="D84"/>
  <c r="E84" s="1"/>
  <c r="F84" s="1"/>
  <c r="G84" s="1"/>
  <c r="D82"/>
  <c r="E82" s="1"/>
  <c r="F82" s="1"/>
  <c r="G82" s="1"/>
  <c r="D80"/>
  <c r="E80" s="1"/>
  <c r="F80" s="1"/>
  <c r="G80" s="1"/>
  <c r="D78"/>
  <c r="E78" s="1"/>
  <c r="F78" s="1"/>
  <c r="G78" s="1"/>
  <c r="B75"/>
  <c r="B73"/>
  <c r="B71"/>
  <c r="D70"/>
  <c r="E70" s="1"/>
  <c r="F70" s="1"/>
  <c r="G70" s="1"/>
  <c r="H70" s="1"/>
  <c r="I70" s="1"/>
  <c r="J70" s="1"/>
  <c r="K70" s="1"/>
  <c r="L70" s="1"/>
  <c r="M70" s="1"/>
  <c r="M68"/>
  <c r="L68"/>
  <c r="K68"/>
  <c r="J68"/>
  <c r="I68"/>
  <c r="H68"/>
  <c r="G68"/>
  <c r="F68"/>
  <c r="E68"/>
  <c r="D68"/>
  <c r="C68"/>
  <c r="F67"/>
  <c r="G67" s="1"/>
  <c r="H67" s="1"/>
  <c r="I67" s="1"/>
  <c r="C64"/>
  <c r="I55"/>
  <c r="J55" s="1"/>
  <c r="G55"/>
  <c r="H55" s="1"/>
  <c r="E55"/>
  <c r="F55" s="1"/>
  <c r="P50"/>
  <c r="P49"/>
  <c r="V48"/>
  <c r="T48"/>
  <c r="R48"/>
  <c r="P48"/>
  <c r="Q47"/>
  <c r="Z47" s="1"/>
  <c r="J47"/>
  <c r="AC47" s="1"/>
  <c r="H47"/>
  <c r="AB47" s="1"/>
  <c r="F47"/>
  <c r="AA47" s="1"/>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J34"/>
  <c r="AC34" s="1"/>
  <c r="H34"/>
  <c r="AB34" s="1"/>
  <c r="F34"/>
  <c r="AA34" s="1"/>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5"/>
  <c r="Z25" s="1"/>
  <c r="Q23"/>
  <c r="Z23" s="1"/>
  <c r="J23"/>
  <c r="AC23" s="1"/>
  <c r="H23"/>
  <c r="AB23" s="1"/>
  <c r="F23"/>
  <c r="AA23" s="1"/>
  <c r="C23"/>
  <c r="Q21"/>
  <c r="Z21" s="1"/>
  <c r="J21"/>
  <c r="AC21" s="1"/>
  <c r="H21"/>
  <c r="AB21" s="1"/>
  <c r="F21"/>
  <c r="AA21" s="1"/>
  <c r="C21"/>
  <c r="Q19"/>
  <c r="Z19" s="1"/>
  <c r="J19"/>
  <c r="AC19" s="1"/>
  <c r="H19"/>
  <c r="AB19" s="1"/>
  <c r="F19"/>
  <c r="AA19" s="1"/>
  <c r="C19"/>
  <c r="Q17"/>
  <c r="Z17" s="1"/>
  <c r="J17"/>
  <c r="AC17" s="1"/>
  <c r="H17"/>
  <c r="AB17" s="1"/>
  <c r="F17"/>
  <c r="AA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J11"/>
  <c r="AC11" s="1"/>
  <c r="H11"/>
  <c r="AB11" s="1"/>
  <c r="F11"/>
  <c r="AA11" s="1"/>
  <c r="Q10"/>
  <c r="Z10" s="1"/>
  <c r="J10"/>
  <c r="AC10" s="1"/>
  <c r="H10"/>
  <c r="AB10" s="1"/>
  <c r="F10"/>
  <c r="AA10" s="1"/>
  <c r="Q9"/>
  <c r="Z9" s="1"/>
  <c r="J9"/>
  <c r="AC9" s="1"/>
  <c r="H9"/>
  <c r="AB9" s="1"/>
  <c r="F9"/>
  <c r="AA9" s="1"/>
  <c r="J8"/>
  <c r="W8" s="1"/>
  <c r="H8"/>
  <c r="AB8" s="1"/>
  <c r="F8"/>
  <c r="S8" s="1"/>
  <c r="D14" i="9"/>
  <c r="D2" i="80"/>
  <c r="G88" l="1"/>
  <c r="H88" s="1"/>
  <c r="I88" s="1"/>
  <c r="J88" s="1"/>
  <c r="K88" s="1"/>
  <c r="L88" s="1"/>
  <c r="M88" s="1"/>
  <c r="H25"/>
  <c r="AB25" s="1"/>
  <c r="J25"/>
  <c r="AC25" s="1"/>
  <c r="F25"/>
  <c r="AA25" s="1"/>
  <c r="U8"/>
  <c r="AA8"/>
  <c r="AC8"/>
  <c r="U9"/>
  <c r="S10"/>
  <c r="W10"/>
  <c r="U11"/>
  <c r="S12"/>
  <c r="W12"/>
  <c r="U13"/>
  <c r="S14"/>
  <c r="W14"/>
  <c r="S15"/>
  <c r="W15"/>
  <c r="S17"/>
  <c r="W17"/>
  <c r="S19"/>
  <c r="W19"/>
  <c r="S21"/>
  <c r="S9"/>
  <c r="W9"/>
  <c r="U10"/>
  <c r="S11"/>
  <c r="W11"/>
  <c r="U12"/>
  <c r="S13"/>
  <c r="W13"/>
  <c r="U14"/>
  <c r="U15"/>
  <c r="U17"/>
  <c r="U19"/>
  <c r="W21"/>
  <c r="U21"/>
  <c r="U23"/>
  <c r="W25"/>
  <c r="U27"/>
  <c r="S28"/>
  <c r="W28"/>
  <c r="U29"/>
  <c r="S30"/>
  <c r="W30"/>
  <c r="U31"/>
  <c r="S32"/>
  <c r="W32"/>
  <c r="U33"/>
  <c r="S34"/>
  <c r="W34"/>
  <c r="U35"/>
  <c r="S36"/>
  <c r="W36"/>
  <c r="U37"/>
  <c r="S38"/>
  <c r="W38"/>
  <c r="U39"/>
  <c r="S40"/>
  <c r="W40"/>
  <c r="U41"/>
  <c r="S42"/>
  <c r="W42"/>
  <c r="U43"/>
  <c r="S44"/>
  <c r="W44"/>
  <c r="U45"/>
  <c r="S46"/>
  <c r="W46"/>
  <c r="U47"/>
  <c r="S23"/>
  <c r="W23"/>
  <c r="U25"/>
  <c r="S27"/>
  <c r="W27"/>
  <c r="U28"/>
  <c r="S29"/>
  <c r="W29"/>
  <c r="U30"/>
  <c r="S31"/>
  <c r="W31"/>
  <c r="U32"/>
  <c r="S33"/>
  <c r="W33"/>
  <c r="U34"/>
  <c r="S35"/>
  <c r="W35"/>
  <c r="U36"/>
  <c r="S37"/>
  <c r="W37"/>
  <c r="U38"/>
  <c r="S39"/>
  <c r="W39"/>
  <c r="U40"/>
  <c r="S41"/>
  <c r="W41"/>
  <c r="U42"/>
  <c r="S43"/>
  <c r="W43"/>
  <c r="U44"/>
  <c r="S45"/>
  <c r="W45"/>
  <c r="U46"/>
  <c r="S47"/>
  <c r="W47"/>
  <c r="S25" l="1"/>
  <c r="F19" i="6"/>
  <c r="C11" i="4" l="1"/>
  <c r="B7"/>
  <c r="D3"/>
  <c r="I5" i="71" l="1"/>
  <c r="I4" s="1"/>
  <c r="N4" s="1"/>
  <c r="L5"/>
  <c r="K5"/>
  <c r="J5"/>
  <c r="N5" l="1"/>
  <c r="P5"/>
  <c r="K4"/>
  <c r="P4" s="1"/>
  <c r="O5"/>
  <c r="J4"/>
  <c r="O4" s="1"/>
  <c r="Q5"/>
  <c r="L4"/>
  <c r="Q4" s="1"/>
  <c r="A2" i="53"/>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6" i="71" l="1"/>
  <c r="P6"/>
  <c r="O6"/>
  <c r="N6"/>
  <c r="D5" i="43" l="1"/>
  <c r="A15" i="51" l="1"/>
  <c r="E12" i="76"/>
  <c r="E10"/>
  <c r="E8"/>
  <c r="E9"/>
  <c r="E11"/>
  <c r="E7"/>
  <c r="B10"/>
  <c r="B12"/>
  <c r="B11"/>
  <c r="B7"/>
  <c r="E13"/>
  <c r="B9"/>
  <c r="B8"/>
  <c r="B13"/>
  <c r="C76" i="9" l="1"/>
  <c r="I107" i="40" l="1"/>
  <c r="K6" i="4" l="1"/>
  <c r="B22" i="31" l="1"/>
  <c r="N56" i="9" l="1"/>
  <c r="M56"/>
  <c r="K56"/>
  <c r="E15" i="74" l="1"/>
  <c r="F15"/>
  <c r="E16"/>
  <c r="F16"/>
  <c r="E17"/>
  <c r="F17"/>
  <c r="E18"/>
  <c r="F18"/>
  <c r="E19"/>
  <c r="F19"/>
  <c r="E20"/>
  <c r="F20"/>
  <c r="E21"/>
  <c r="F21"/>
  <c r="E22"/>
  <c r="F22"/>
  <c r="E23"/>
  <c r="F23"/>
  <c r="B3" l="1"/>
  <c r="C91" i="9" l="1"/>
  <c r="B8" i="72" l="1"/>
  <c r="M19" i="43" l="1"/>
  <c r="O7" i="71" l="1"/>
  <c r="P7"/>
  <c r="Q7"/>
  <c r="N7"/>
  <c r="AD3"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H19"/>
  <c r="AG19"/>
  <c r="AE19"/>
  <c r="AF19" s="1"/>
  <c r="AD19"/>
  <c r="AD20"/>
  <c r="AE20"/>
  <c r="AF20"/>
  <c r="AG20"/>
  <c r="AH20"/>
  <c r="S2" i="31" l="1"/>
  <c r="M2"/>
  <c r="N2"/>
  <c r="O2"/>
  <c r="P2"/>
  <c r="Q2"/>
  <c r="R2"/>
  <c r="C1" i="73" l="1"/>
  <c r="L1" s="1"/>
  <c r="F7"/>
  <c r="J1" l="1"/>
  <c r="B74" i="72"/>
  <c r="F6" i="73"/>
  <c r="F4"/>
  <c r="D6"/>
  <c r="F3"/>
  <c r="D3"/>
  <c r="F5"/>
  <c r="I1" l="1"/>
  <c r="B39" i="1" s="1"/>
  <c r="D7" i="73"/>
  <c r="D5"/>
  <c r="D4"/>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69" i="71"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P48" s="1"/>
  <c r="C48"/>
  <c r="B48"/>
  <c r="S48" s="1"/>
  <c r="F47"/>
  <c r="F46" s="1"/>
  <c r="Q46" s="1"/>
  <c r="B47"/>
  <c r="D45"/>
  <c r="Q44"/>
  <c r="P44"/>
  <c r="O44"/>
  <c r="N44"/>
  <c r="Q43"/>
  <c r="P43"/>
  <c r="O43"/>
  <c r="N43"/>
  <c r="Q42"/>
  <c r="P42"/>
  <c r="O42"/>
  <c r="N42"/>
  <c r="Q41"/>
  <c r="F42" s="1"/>
  <c r="F43" s="1"/>
  <c r="P41"/>
  <c r="E42" s="1"/>
  <c r="O41"/>
  <c r="C42" s="1"/>
  <c r="N41"/>
  <c r="B42" s="1"/>
  <c r="B43" s="1"/>
  <c r="B44" s="1"/>
  <c r="S44" s="1"/>
  <c r="D41"/>
  <c r="Q40"/>
  <c r="P40"/>
  <c r="O40"/>
  <c r="N40"/>
  <c r="Q39"/>
  <c r="P39"/>
  <c r="O39"/>
  <c r="N39"/>
  <c r="Q38"/>
  <c r="P38"/>
  <c r="O38"/>
  <c r="N38"/>
  <c r="Q37"/>
  <c r="F38" s="1"/>
  <c r="F39" s="1"/>
  <c r="F40" s="1"/>
  <c r="V40" s="1"/>
  <c r="P37"/>
  <c r="E38" s="1"/>
  <c r="O37"/>
  <c r="C38" s="1"/>
  <c r="N37"/>
  <c r="B38" s="1"/>
  <c r="B39" s="1"/>
  <c r="B40" s="1"/>
  <c r="S40" s="1"/>
  <c r="D37"/>
  <c r="Q36"/>
  <c r="P36"/>
  <c r="O36"/>
  <c r="N36"/>
  <c r="Q35"/>
  <c r="P35"/>
  <c r="O35"/>
  <c r="N35"/>
  <c r="Q34"/>
  <c r="P34"/>
  <c r="O34"/>
  <c r="N34"/>
  <c r="Q33"/>
  <c r="F34" s="1"/>
  <c r="F35" s="1"/>
  <c r="F36" s="1"/>
  <c r="V36" s="1"/>
  <c r="P33"/>
  <c r="E34" s="1"/>
  <c r="O33"/>
  <c r="C34" s="1"/>
  <c r="N33"/>
  <c r="B34" s="1"/>
  <c r="D33"/>
  <c r="Q32"/>
  <c r="P32"/>
  <c r="O32"/>
  <c r="N32"/>
  <c r="Q31"/>
  <c r="P31"/>
  <c r="O31"/>
  <c r="N31"/>
  <c r="Q30"/>
  <c r="P30"/>
  <c r="O30"/>
  <c r="N30"/>
  <c r="Q29"/>
  <c r="F30" s="1"/>
  <c r="P29"/>
  <c r="E30" s="1"/>
  <c r="E31" s="1"/>
  <c r="E32" s="1"/>
  <c r="U32" s="1"/>
  <c r="O29"/>
  <c r="C30" s="1"/>
  <c r="N29"/>
  <c r="B30" s="1"/>
  <c r="B31" s="1"/>
  <c r="B32" s="1"/>
  <c r="S32" s="1"/>
  <c r="D29"/>
  <c r="T28"/>
  <c r="Q28"/>
  <c r="P28"/>
  <c r="O28"/>
  <c r="N28"/>
  <c r="D28"/>
  <c r="Q27"/>
  <c r="P27"/>
  <c r="O27"/>
  <c r="N27"/>
  <c r="Q26"/>
  <c r="P26"/>
  <c r="O26"/>
  <c r="N26"/>
  <c r="F26"/>
  <c r="F27" s="1"/>
  <c r="F28" s="1"/>
  <c r="V28" s="1"/>
  <c r="Q25"/>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Q17"/>
  <c r="F18" s="1"/>
  <c r="F19" s="1"/>
  <c r="F20" s="1"/>
  <c r="V20" s="1"/>
  <c r="P17"/>
  <c r="O17"/>
  <c r="N17"/>
  <c r="D17"/>
  <c r="Q16"/>
  <c r="P16"/>
  <c r="O16"/>
  <c r="Y16" s="1"/>
  <c r="Z16" s="1"/>
  <c r="N16"/>
  <c r="Q15"/>
  <c r="AB15" s="1"/>
  <c r="P15"/>
  <c r="O15"/>
  <c r="Y15" s="1"/>
  <c r="Z15" s="1"/>
  <c r="N15"/>
  <c r="Q14"/>
  <c r="AB14" s="1"/>
  <c r="P14"/>
  <c r="O14"/>
  <c r="Y14" s="1"/>
  <c r="Z14" s="1"/>
  <c r="N14"/>
  <c r="F14"/>
  <c r="F15" s="1"/>
  <c r="F16" s="1"/>
  <c r="V16" s="1"/>
  <c r="Q13"/>
  <c r="P13"/>
  <c r="O13"/>
  <c r="N13"/>
  <c r="D13"/>
  <c r="Q12"/>
  <c r="AB12" s="1"/>
  <c r="P12"/>
  <c r="O12"/>
  <c r="Y12" s="1"/>
  <c r="Z12" s="1"/>
  <c r="N12"/>
  <c r="Q11"/>
  <c r="AB11" s="1"/>
  <c r="P11"/>
  <c r="O11"/>
  <c r="Y11" s="1"/>
  <c r="Z11" s="1"/>
  <c r="N11"/>
  <c r="Q10"/>
  <c r="AB10" s="1"/>
  <c r="P10"/>
  <c r="O10"/>
  <c r="Y10" s="1"/>
  <c r="Z10" s="1"/>
  <c r="N10"/>
  <c r="F10"/>
  <c r="F11" s="1"/>
  <c r="F12" s="1"/>
  <c r="V12" s="1"/>
  <c r="Q9"/>
  <c r="P9"/>
  <c r="O9"/>
  <c r="N9"/>
  <c r="D9"/>
  <c r="O8"/>
  <c r="N8"/>
  <c r="F44" l="1"/>
  <c r="V44" s="1"/>
  <c r="AB16"/>
  <c r="B35"/>
  <c r="B36" s="1"/>
  <c r="S36" s="1"/>
  <c r="B10"/>
  <c r="B11" s="1"/>
  <c r="B12" s="1"/>
  <c r="S12" s="1"/>
  <c r="X9"/>
  <c r="E10"/>
  <c r="E11" s="1"/>
  <c r="E12" s="1"/>
  <c r="U12" s="1"/>
  <c r="AA9"/>
  <c r="B14"/>
  <c r="B15" s="1"/>
  <c r="B16" s="1"/>
  <c r="S16" s="1"/>
  <c r="X13"/>
  <c r="B18"/>
  <c r="B19" s="1"/>
  <c r="B20" s="1"/>
  <c r="S20" s="1"/>
  <c r="X17"/>
  <c r="E18"/>
  <c r="E19" s="1"/>
  <c r="E20" s="1"/>
  <c r="U20" s="1"/>
  <c r="AA17"/>
  <c r="N48"/>
  <c r="E14"/>
  <c r="E15" s="1"/>
  <c r="E16" s="1"/>
  <c r="U16" s="1"/>
  <c r="AA13"/>
  <c r="C10"/>
  <c r="Y9"/>
  <c r="Z9" s="1"/>
  <c r="AB9"/>
  <c r="X10"/>
  <c r="AA10"/>
  <c r="X11"/>
  <c r="AA11"/>
  <c r="X12"/>
  <c r="AA12"/>
  <c r="C14"/>
  <c r="C15" s="1"/>
  <c r="Y13"/>
  <c r="Z13" s="1"/>
  <c r="AB13"/>
  <c r="X14"/>
  <c r="AA14"/>
  <c r="X15"/>
  <c r="AA15"/>
  <c r="X16"/>
  <c r="AA16"/>
  <c r="C18"/>
  <c r="Y17"/>
  <c r="Z17" s="1"/>
  <c r="AB17"/>
  <c r="X18"/>
  <c r="AA18"/>
  <c r="F31"/>
  <c r="F32" s="1"/>
  <c r="V32" s="1"/>
  <c r="C8"/>
  <c r="Y3"/>
  <c r="Z3" s="1"/>
  <c r="Y5"/>
  <c r="Z5" s="1"/>
  <c r="Y6"/>
  <c r="Z6" s="1"/>
  <c r="Y7"/>
  <c r="Z7" s="1"/>
  <c r="Y8"/>
  <c r="Z8" s="1"/>
  <c r="B8"/>
  <c r="B7" s="1"/>
  <c r="B6" s="1"/>
  <c r="B5" s="1"/>
  <c r="B4" s="1"/>
  <c r="X5"/>
  <c r="X6"/>
  <c r="X7"/>
  <c r="X3"/>
  <c r="X8"/>
  <c r="C11"/>
  <c r="D10"/>
  <c r="C19"/>
  <c r="D18"/>
  <c r="C23"/>
  <c r="D22"/>
  <c r="C27"/>
  <c r="D27" s="1"/>
  <c r="D26"/>
  <c r="C31"/>
  <c r="D30"/>
  <c r="P8"/>
  <c r="E35"/>
  <c r="E36" s="1"/>
  <c r="U36" s="1"/>
  <c r="E39"/>
  <c r="E40" s="1"/>
  <c r="U40" s="1"/>
  <c r="E43"/>
  <c r="E44" s="1"/>
  <c r="U44" s="1"/>
  <c r="Q45"/>
  <c r="U48"/>
  <c r="E47"/>
  <c r="Q8"/>
  <c r="C35"/>
  <c r="D34"/>
  <c r="C39"/>
  <c r="D38"/>
  <c r="C43"/>
  <c r="D42"/>
  <c r="N47"/>
  <c r="B46"/>
  <c r="Q47"/>
  <c r="T48"/>
  <c r="O48"/>
  <c r="D48"/>
  <c r="C47"/>
  <c r="Q48"/>
  <c r="C51"/>
  <c r="E51"/>
  <c r="E50" s="1"/>
  <c r="D52"/>
  <c r="C55"/>
  <c r="E55"/>
  <c r="E54" s="1"/>
  <c r="D56"/>
  <c r="C59"/>
  <c r="E59"/>
  <c r="E58" s="1"/>
  <c r="D60"/>
  <c r="C63"/>
  <c r="C67"/>
  <c r="D14" l="1"/>
  <c r="T8"/>
  <c r="C7"/>
  <c r="S8"/>
  <c r="F8"/>
  <c r="F7" s="1"/>
  <c r="F6" s="1"/>
  <c r="F5" s="1"/>
  <c r="F4" s="1"/>
  <c r="AB3"/>
  <c r="AB5"/>
  <c r="AB6"/>
  <c r="AB7"/>
  <c r="AB8"/>
  <c r="E8"/>
  <c r="E7" s="1"/>
  <c r="E6" s="1"/>
  <c r="E5" s="1"/>
  <c r="E4" s="1"/>
  <c r="AA3"/>
  <c r="AA5"/>
  <c r="AA6"/>
  <c r="AA7"/>
  <c r="AA8"/>
  <c r="D8"/>
  <c r="U8" s="1"/>
  <c r="C46"/>
  <c r="O47"/>
  <c r="D47"/>
  <c r="C44"/>
  <c r="D43"/>
  <c r="D63"/>
  <c r="C62"/>
  <c r="D62" s="1"/>
  <c r="D55"/>
  <c r="C54"/>
  <c r="D54" s="1"/>
  <c r="N45"/>
  <c r="N46"/>
  <c r="D67"/>
  <c r="C66"/>
  <c r="D66" s="1"/>
  <c r="D59"/>
  <c r="C58"/>
  <c r="D58" s="1"/>
  <c r="D51"/>
  <c r="C50"/>
  <c r="D50" s="1"/>
  <c r="C40"/>
  <c r="D39"/>
  <c r="C36"/>
  <c r="D35"/>
  <c r="P47"/>
  <c r="E46"/>
  <c r="C32"/>
  <c r="D31"/>
  <c r="C24"/>
  <c r="D23"/>
  <c r="C20"/>
  <c r="D19"/>
  <c r="C16"/>
  <c r="D15"/>
  <c r="C12"/>
  <c r="D11"/>
  <c r="C6" l="1"/>
  <c r="D7"/>
  <c r="V8"/>
  <c r="P45"/>
  <c r="P46"/>
  <c r="O46"/>
  <c r="D46"/>
  <c r="O45"/>
  <c r="T12"/>
  <c r="D12"/>
  <c r="T16"/>
  <c r="D16"/>
  <c r="T20"/>
  <c r="D20"/>
  <c r="T24"/>
  <c r="D24"/>
  <c r="T32"/>
  <c r="D32"/>
  <c r="T36"/>
  <c r="D36"/>
  <c r="T40"/>
  <c r="D40"/>
  <c r="T44"/>
  <c r="D44"/>
  <c r="D6" l="1"/>
  <c r="C5"/>
  <c r="O27" i="6"/>
  <c r="N27"/>
  <c r="P20"/>
  <c r="P21"/>
  <c r="P22"/>
  <c r="P23"/>
  <c r="P24"/>
  <c r="P25"/>
  <c r="P26"/>
  <c r="P19"/>
  <c r="AP8" i="1"/>
  <c r="AP9"/>
  <c r="AP10"/>
  <c r="AP11"/>
  <c r="AP12"/>
  <c r="AP13"/>
  <c r="L21" i="6"/>
  <c r="L22"/>
  <c r="L23"/>
  <c r="L24"/>
  <c r="L25"/>
  <c r="L26"/>
  <c r="D5" i="71" l="1"/>
  <c r="C4"/>
  <c r="D4" s="1"/>
  <c r="P27" i="6"/>
  <c r="A7" i="70"/>
  <c r="A8"/>
  <c r="E8" s="1"/>
  <c r="A9"/>
  <c r="E9" s="1"/>
  <c r="A10"/>
  <c r="E10" s="1"/>
  <c r="A11"/>
  <c r="E11" s="1"/>
  <c r="A12"/>
  <c r="E12" s="1"/>
  <c r="A13"/>
  <c r="E13" s="1"/>
  <c r="A6"/>
  <c r="Q25" i="40" l="1"/>
  <c r="Z25" s="1"/>
  <c r="D94"/>
  <c r="E94" s="1"/>
  <c r="F25"/>
  <c r="AA25" s="1"/>
  <c r="Q29" i="39"/>
  <c r="Z29" s="1"/>
  <c r="D103"/>
  <c r="E103" s="1"/>
  <c r="F29"/>
  <c r="AA29" s="1"/>
  <c r="Q18" i="36"/>
  <c r="Z18" s="1"/>
  <c r="D66"/>
  <c r="E66" s="1"/>
  <c r="F66" s="1"/>
  <c r="H18"/>
  <c r="AB18" s="1"/>
  <c r="F18"/>
  <c r="AA18" s="1"/>
  <c r="C18"/>
  <c r="Q18" i="35"/>
  <c r="Z18" s="1"/>
  <c r="D68"/>
  <c r="E68" s="1"/>
  <c r="F18"/>
  <c r="AA18" s="1"/>
  <c r="C18"/>
  <c r="Q21" i="37"/>
  <c r="Z21" s="1"/>
  <c r="D77"/>
  <c r="E77" s="1"/>
  <c r="C21"/>
  <c r="Q21" i="34"/>
  <c r="Z21" s="1"/>
  <c r="D84"/>
  <c r="E84" s="1"/>
  <c r="F21"/>
  <c r="AA21" s="1"/>
  <c r="C21"/>
  <c r="Q21" i="33"/>
  <c r="Z21" s="1"/>
  <c r="D83"/>
  <c r="E83" s="1"/>
  <c r="C21"/>
  <c r="C21" i="21"/>
  <c r="Q21"/>
  <c r="Z21" s="1"/>
  <c r="H19"/>
  <c r="D83"/>
  <c r="F21" s="1"/>
  <c r="AA21" s="1"/>
  <c r="D81"/>
  <c r="G20" i="20"/>
  <c r="B86" i="43" s="1"/>
  <c r="C22" i="20"/>
  <c r="AO9" i="1"/>
  <c r="AO10"/>
  <c r="AO13"/>
  <c r="AO11"/>
  <c r="AO12"/>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BT99"/>
  <c r="BS99"/>
  <c r="BR99"/>
  <c r="BQ99"/>
  <c r="BP99"/>
  <c r="BO99"/>
  <c r="BN99"/>
  <c r="BM99"/>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s="1"/>
  <c r="AX98"/>
  <c r="AW98"/>
  <c r="AV98"/>
  <c r="AC98"/>
  <c r="H98"/>
  <c r="BT97"/>
  <c r="BS97"/>
  <c r="BR97"/>
  <c r="BQ97"/>
  <c r="BP97"/>
  <c r="BO97"/>
  <c r="BN97"/>
  <c r="BM97"/>
  <c r="BL97" s="1"/>
  <c r="BK97"/>
  <c r="BJ97"/>
  <c r="BI97"/>
  <c r="BH97"/>
  <c r="BG97"/>
  <c r="BF97"/>
  <c r="BE97"/>
  <c r="BD97"/>
  <c r="BC97"/>
  <c r="BB97"/>
  <c r="AX97"/>
  <c r="AW97"/>
  <c r="AV97"/>
  <c r="AC97"/>
  <c r="H97"/>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BT75"/>
  <c r="BS75"/>
  <c r="BR75"/>
  <c r="BQ75"/>
  <c r="BP75"/>
  <c r="BO75"/>
  <c r="BN75"/>
  <c r="BM75"/>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s="1"/>
  <c r="AX72"/>
  <c r="AW72"/>
  <c r="AV72"/>
  <c r="AC72"/>
  <c r="H72"/>
  <c r="G72" s="1"/>
  <c r="BT71"/>
  <c r="BS71"/>
  <c r="BR71"/>
  <c r="BQ71"/>
  <c r="BP71"/>
  <c r="BO71"/>
  <c r="BN71"/>
  <c r="BM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BT69"/>
  <c r="BS69"/>
  <c r="BR69"/>
  <c r="BQ69"/>
  <c r="BP69"/>
  <c r="BO69"/>
  <c r="BN69"/>
  <c r="BM69"/>
  <c r="BL69" s="1"/>
  <c r="BK69"/>
  <c r="BJ69"/>
  <c r="BI69"/>
  <c r="BH69"/>
  <c r="BG69"/>
  <c r="BF69"/>
  <c r="BE69"/>
  <c r="BD69"/>
  <c r="BC69"/>
  <c r="BB69"/>
  <c r="AX69"/>
  <c r="AW69"/>
  <c r="AV69"/>
  <c r="AC69"/>
  <c r="H69"/>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G67" s="1"/>
  <c r="BT66"/>
  <c r="BS66"/>
  <c r="BR66"/>
  <c r="BQ66"/>
  <c r="BP66"/>
  <c r="BO66"/>
  <c r="BN66"/>
  <c r="BM66"/>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AX65"/>
  <c r="AW65"/>
  <c r="AV65"/>
  <c r="AC65"/>
  <c r="H65"/>
  <c r="G65" s="1"/>
  <c r="BT64"/>
  <c r="BS64"/>
  <c r="BR64"/>
  <c r="BQ64"/>
  <c r="BP64"/>
  <c r="BO64"/>
  <c r="BN64"/>
  <c r="BM64"/>
  <c r="BL64" s="1"/>
  <c r="BK64"/>
  <c r="BJ64"/>
  <c r="BI64"/>
  <c r="BH64"/>
  <c r="BG64"/>
  <c r="BF64"/>
  <c r="BE64"/>
  <c r="BD64"/>
  <c r="BC64"/>
  <c r="BB64"/>
  <c r="AX64"/>
  <c r="AW64"/>
  <c r="AV64"/>
  <c r="AC64"/>
  <c r="H64"/>
  <c r="BT63"/>
  <c r="BS63"/>
  <c r="BR63"/>
  <c r="BQ63"/>
  <c r="BP63"/>
  <c r="BO63"/>
  <c r="BN63"/>
  <c r="BM63"/>
  <c r="BK63"/>
  <c r="BJ63"/>
  <c r="BI63"/>
  <c r="BH63"/>
  <c r="BG63"/>
  <c r="BF63"/>
  <c r="BE63"/>
  <c r="BD63"/>
  <c r="BC63"/>
  <c r="BB63"/>
  <c r="AX63"/>
  <c r="AW63"/>
  <c r="AV63"/>
  <c r="AC63"/>
  <c r="H63"/>
  <c r="G63" s="1"/>
  <c r="BT62"/>
  <c r="BS62"/>
  <c r="BR62"/>
  <c r="BQ62"/>
  <c r="BP62"/>
  <c r="BO62"/>
  <c r="BN62"/>
  <c r="BM62"/>
  <c r="BK62"/>
  <c r="BJ62"/>
  <c r="BI62"/>
  <c r="BH62"/>
  <c r="BG62"/>
  <c r="BF62"/>
  <c r="BE62"/>
  <c r="BD62"/>
  <c r="BC62"/>
  <c r="BB62"/>
  <c r="BA62" s="1"/>
  <c r="AX62"/>
  <c r="AW62"/>
  <c r="AV62"/>
  <c r="AC62"/>
  <c r="H62"/>
  <c r="BT61"/>
  <c r="BS61"/>
  <c r="BR61"/>
  <c r="BQ61"/>
  <c r="BP61"/>
  <c r="BO61"/>
  <c r="BN61"/>
  <c r="BM61"/>
  <c r="BL61" s="1"/>
  <c r="BK61"/>
  <c r="BJ61"/>
  <c r="BI61"/>
  <c r="BH61"/>
  <c r="BG61"/>
  <c r="BF61"/>
  <c r="BE61"/>
  <c r="BD61"/>
  <c r="BC61"/>
  <c r="BB61"/>
  <c r="AX61"/>
  <c r="AW61"/>
  <c r="AV61"/>
  <c r="AC61"/>
  <c r="H61"/>
  <c r="BT60"/>
  <c r="BS60"/>
  <c r="BR60"/>
  <c r="BQ60"/>
  <c r="BP60"/>
  <c r="BO60"/>
  <c r="BN60"/>
  <c r="BM60"/>
  <c r="BL60" s="1"/>
  <c r="BK60"/>
  <c r="BJ60"/>
  <c r="BI60"/>
  <c r="BH60"/>
  <c r="BG60"/>
  <c r="BF60"/>
  <c r="BE60"/>
  <c r="BD60"/>
  <c r="BC60"/>
  <c r="BB60"/>
  <c r="AX60"/>
  <c r="AW60"/>
  <c r="AV60"/>
  <c r="AC60"/>
  <c r="H60"/>
  <c r="G60" s="1"/>
  <c r="BT59"/>
  <c r="BS59"/>
  <c r="BR59"/>
  <c r="BQ59"/>
  <c r="BP59"/>
  <c r="BO59"/>
  <c r="BN59"/>
  <c r="BM59"/>
  <c r="BK59"/>
  <c r="BJ59"/>
  <c r="BI59"/>
  <c r="BH59"/>
  <c r="BG59"/>
  <c r="BF59"/>
  <c r="BE59"/>
  <c r="BD59"/>
  <c r="BC59"/>
  <c r="BB59"/>
  <c r="AX59"/>
  <c r="AW59"/>
  <c r="AV59"/>
  <c r="AC59"/>
  <c r="H59"/>
  <c r="G59" s="1"/>
  <c r="BT58"/>
  <c r="BS58"/>
  <c r="BR58"/>
  <c r="BQ58"/>
  <c r="BP58"/>
  <c r="BO58"/>
  <c r="BN58"/>
  <c r="BM58"/>
  <c r="BK58"/>
  <c r="BJ58"/>
  <c r="BI58"/>
  <c r="BH58"/>
  <c r="BG58"/>
  <c r="BF58"/>
  <c r="BE58"/>
  <c r="BD58"/>
  <c r="BC58"/>
  <c r="BB58"/>
  <c r="BA58" s="1"/>
  <c r="AX58"/>
  <c r="AW58"/>
  <c r="AV58"/>
  <c r="AC58"/>
  <c r="H58"/>
  <c r="G58" s="1"/>
  <c r="BT57"/>
  <c r="BS57"/>
  <c r="BR57"/>
  <c r="BQ57"/>
  <c r="BP57"/>
  <c r="BO57"/>
  <c r="BN57"/>
  <c r="BM57"/>
  <c r="BK57"/>
  <c r="BJ57"/>
  <c r="BI57"/>
  <c r="BH57"/>
  <c r="BG57"/>
  <c r="BF57"/>
  <c r="BE57"/>
  <c r="BD57"/>
  <c r="BC57"/>
  <c r="BB57"/>
  <c r="AX57"/>
  <c r="AW57"/>
  <c r="AV57"/>
  <c r="AC57"/>
  <c r="H57"/>
  <c r="G57" s="1"/>
  <c r="BT56"/>
  <c r="BS56"/>
  <c r="BR56"/>
  <c r="BQ56"/>
  <c r="BP56"/>
  <c r="BO56"/>
  <c r="BN56"/>
  <c r="BM56"/>
  <c r="BL56" s="1"/>
  <c r="BK56"/>
  <c r="BJ56"/>
  <c r="BI56"/>
  <c r="BH56"/>
  <c r="BG56"/>
  <c r="BF56"/>
  <c r="BE56"/>
  <c r="BD56"/>
  <c r="BC56"/>
  <c r="BB56"/>
  <c r="AX56"/>
  <c r="AW56"/>
  <c r="AV56"/>
  <c r="AC56"/>
  <c r="H56"/>
  <c r="BT55"/>
  <c r="BS55"/>
  <c r="BR55"/>
  <c r="BQ55"/>
  <c r="BP55"/>
  <c r="BO55"/>
  <c r="BN55"/>
  <c r="BM55"/>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s="1"/>
  <c r="AZ54" s="1"/>
  <c r="AX54"/>
  <c r="AW54"/>
  <c r="AV54"/>
  <c r="AC54"/>
  <c r="H54"/>
  <c r="BT53"/>
  <c r="BS53"/>
  <c r="BR53"/>
  <c r="BQ53"/>
  <c r="BP53"/>
  <c r="BO53"/>
  <c r="BN53"/>
  <c r="BM53"/>
  <c r="BK53"/>
  <c r="BJ53"/>
  <c r="BI53"/>
  <c r="BH53"/>
  <c r="BG53"/>
  <c r="BF53"/>
  <c r="BE53"/>
  <c r="BD53"/>
  <c r="BC53"/>
  <c r="BB53"/>
  <c r="AX53"/>
  <c r="AW53"/>
  <c r="AV53"/>
  <c r="AC53"/>
  <c r="H53"/>
  <c r="G53" s="1"/>
  <c r="BT52"/>
  <c r="BS52"/>
  <c r="BR52"/>
  <c r="BQ52"/>
  <c r="BP52"/>
  <c r="BO52"/>
  <c r="BN52"/>
  <c r="BM52"/>
  <c r="BL52" s="1"/>
  <c r="BK52"/>
  <c r="BJ52"/>
  <c r="BI52"/>
  <c r="BH52"/>
  <c r="BG52"/>
  <c r="BF52"/>
  <c r="BE52"/>
  <c r="BD52"/>
  <c r="BC52"/>
  <c r="BB52"/>
  <c r="AX52"/>
  <c r="AW52"/>
  <c r="AV52"/>
  <c r="AC52"/>
  <c r="H52"/>
  <c r="BT51"/>
  <c r="BS51"/>
  <c r="BR51"/>
  <c r="BQ51"/>
  <c r="BP51"/>
  <c r="BO51"/>
  <c r="BN51"/>
  <c r="BM5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s="1"/>
  <c r="AX50"/>
  <c r="AW50"/>
  <c r="AV50"/>
  <c r="AC50"/>
  <c r="H50"/>
  <c r="BT49"/>
  <c r="BS49"/>
  <c r="BR49"/>
  <c r="BQ49"/>
  <c r="BP49"/>
  <c r="BO49"/>
  <c r="BN49"/>
  <c r="BM49"/>
  <c r="BK49"/>
  <c r="BJ49"/>
  <c r="BI49"/>
  <c r="BH49"/>
  <c r="BG49"/>
  <c r="BF49"/>
  <c r="BE49"/>
  <c r="BD49"/>
  <c r="BC49"/>
  <c r="BB49"/>
  <c r="BA49"/>
  <c r="AX49"/>
  <c r="AW49"/>
  <c r="AV49"/>
  <c r="AC49"/>
  <c r="H49"/>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s="1"/>
  <c r="AX47"/>
  <c r="AW47"/>
  <c r="AV47"/>
  <c r="AC47"/>
  <c r="H47"/>
  <c r="BT46"/>
  <c r="BS46"/>
  <c r="BR46"/>
  <c r="BQ46"/>
  <c r="BP46"/>
  <c r="BO46"/>
  <c r="BN46"/>
  <c r="BM46"/>
  <c r="BK46"/>
  <c r="BJ46"/>
  <c r="BI46"/>
  <c r="BH46"/>
  <c r="BG46"/>
  <c r="BF46"/>
  <c r="BE46"/>
  <c r="BD46"/>
  <c r="BC46"/>
  <c r="BB46"/>
  <c r="BA46"/>
  <c r="AX46"/>
  <c r="AW46"/>
  <c r="AV46"/>
  <c r="AC46"/>
  <c r="H46"/>
  <c r="BT45"/>
  <c r="BS45"/>
  <c r="BR45"/>
  <c r="BQ45"/>
  <c r="BP45"/>
  <c r="BO45"/>
  <c r="BN45"/>
  <c r="BM45"/>
  <c r="BL45"/>
  <c r="BK45"/>
  <c r="BJ45"/>
  <c r="BI45"/>
  <c r="BH45"/>
  <c r="BG45"/>
  <c r="BF45"/>
  <c r="BE45"/>
  <c r="BD45"/>
  <c r="BC45"/>
  <c r="BB45"/>
  <c r="BA45" s="1"/>
  <c r="AX45"/>
  <c r="AW45"/>
  <c r="AV45"/>
  <c r="AC45"/>
  <c r="H45"/>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s="1"/>
  <c r="AX43"/>
  <c r="AW43"/>
  <c r="AV43"/>
  <c r="AC43"/>
  <c r="H43"/>
  <c r="BT42"/>
  <c r="BS42"/>
  <c r="BR42"/>
  <c r="BQ42"/>
  <c r="BP42"/>
  <c r="BO42"/>
  <c r="BN42"/>
  <c r="BM42"/>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s="1"/>
  <c r="AX41"/>
  <c r="AW41"/>
  <c r="AV41"/>
  <c r="AC41"/>
  <c r="H41"/>
  <c r="BT40"/>
  <c r="BS40"/>
  <c r="BR40"/>
  <c r="BQ40"/>
  <c r="BP40"/>
  <c r="BO40"/>
  <c r="BN40"/>
  <c r="BM40"/>
  <c r="BK40"/>
  <c r="BJ40"/>
  <c r="BI40"/>
  <c r="BH40"/>
  <c r="BG40"/>
  <c r="BF40"/>
  <c r="BE40"/>
  <c r="BD40"/>
  <c r="BC40"/>
  <c r="BB40"/>
  <c r="AX40"/>
  <c r="AW40"/>
  <c r="AV40"/>
  <c r="AC40"/>
  <c r="H40"/>
  <c r="G40" s="1"/>
  <c r="BT39"/>
  <c r="BS39"/>
  <c r="BR39"/>
  <c r="BQ39"/>
  <c r="BP39"/>
  <c r="BO39"/>
  <c r="BN39"/>
  <c r="BM39"/>
  <c r="BK39"/>
  <c r="BJ39"/>
  <c r="BI39"/>
  <c r="BH39"/>
  <c r="BG39"/>
  <c r="BF39"/>
  <c r="BE39"/>
  <c r="BD39"/>
  <c r="BC39"/>
  <c r="BB39"/>
  <c r="BA39" s="1"/>
  <c r="AX39"/>
  <c r="AW39"/>
  <c r="AV39"/>
  <c r="AC39"/>
  <c r="H39"/>
  <c r="G39" s="1"/>
  <c r="BT38"/>
  <c r="BS38"/>
  <c r="BR38"/>
  <c r="BQ38"/>
  <c r="BP38"/>
  <c r="BO38"/>
  <c r="BN38"/>
  <c r="BM38"/>
  <c r="BK38"/>
  <c r="BJ38"/>
  <c r="BI38"/>
  <c r="BH38"/>
  <c r="BG38"/>
  <c r="BF38"/>
  <c r="BE38"/>
  <c r="BD38"/>
  <c r="BC38"/>
  <c r="BB38"/>
  <c r="AX38"/>
  <c r="AW38"/>
  <c r="AV38"/>
  <c r="AC38"/>
  <c r="H38"/>
  <c r="G38" s="1"/>
  <c r="BT37"/>
  <c r="BS37"/>
  <c r="BR37"/>
  <c r="BQ37"/>
  <c r="BP37"/>
  <c r="BO37"/>
  <c r="BN37"/>
  <c r="BM37"/>
  <c r="BL37" s="1"/>
  <c r="BK37"/>
  <c r="BJ37"/>
  <c r="BI37"/>
  <c r="BH37"/>
  <c r="BG37"/>
  <c r="BF37"/>
  <c r="BE37"/>
  <c r="BD37"/>
  <c r="BC37"/>
  <c r="BB37"/>
  <c r="AX37"/>
  <c r="AW37"/>
  <c r="AV37"/>
  <c r="AC37"/>
  <c r="H37"/>
  <c r="BT36"/>
  <c r="BS36"/>
  <c r="BR36"/>
  <c r="BQ36"/>
  <c r="BP36"/>
  <c r="BO36"/>
  <c r="BN36"/>
  <c r="BM36"/>
  <c r="BK36"/>
  <c r="BJ36"/>
  <c r="BI36"/>
  <c r="BH36"/>
  <c r="BG36"/>
  <c r="BF36"/>
  <c r="BE36"/>
  <c r="BD36"/>
  <c r="BC36"/>
  <c r="BB36"/>
  <c r="AX36"/>
  <c r="AW36"/>
  <c r="AV36"/>
  <c r="AC36"/>
  <c r="H36"/>
  <c r="G36" s="1"/>
  <c r="BT35"/>
  <c r="BS35"/>
  <c r="BR35"/>
  <c r="BQ35"/>
  <c r="BP35"/>
  <c r="BO35"/>
  <c r="BN35"/>
  <c r="BM35"/>
  <c r="BK35"/>
  <c r="BJ35"/>
  <c r="BI35"/>
  <c r="BH35"/>
  <c r="BG35"/>
  <c r="BF35"/>
  <c r="BE35"/>
  <c r="BD35"/>
  <c r="BC35"/>
  <c r="BB35"/>
  <c r="AX35"/>
  <c r="AW35"/>
  <c r="AV35"/>
  <c r="AC35"/>
  <c r="H35"/>
  <c r="G35" s="1"/>
  <c r="BT34"/>
  <c r="BS34"/>
  <c r="BR34"/>
  <c r="BQ34"/>
  <c r="BP34"/>
  <c r="BO34"/>
  <c r="BN34"/>
  <c r="BM34"/>
  <c r="BL34" s="1"/>
  <c r="BK34"/>
  <c r="BJ34"/>
  <c r="BI34"/>
  <c r="BH34"/>
  <c r="BG34"/>
  <c r="BF34"/>
  <c r="BE34"/>
  <c r="BD34"/>
  <c r="BC34"/>
  <c r="BB34"/>
  <c r="AX34"/>
  <c r="AW34"/>
  <c r="AV34"/>
  <c r="AC34"/>
  <c r="H34"/>
  <c r="G34"/>
  <c r="BT33"/>
  <c r="BS33"/>
  <c r="BR33"/>
  <c r="BQ33"/>
  <c r="BP33"/>
  <c r="BO33"/>
  <c r="BN33"/>
  <c r="BM33"/>
  <c r="BL33" s="1"/>
  <c r="BK33"/>
  <c r="BJ33"/>
  <c r="BI33"/>
  <c r="BH33"/>
  <c r="BG33"/>
  <c r="BF33"/>
  <c r="BE33"/>
  <c r="BD33"/>
  <c r="BC33"/>
  <c r="BB33"/>
  <c r="BA33" s="1"/>
  <c r="AX33"/>
  <c r="AW33"/>
  <c r="AV33"/>
  <c r="AC33"/>
  <c r="H33"/>
  <c r="BT32"/>
  <c r="BS32"/>
  <c r="BR32"/>
  <c r="BQ32"/>
  <c r="BP32"/>
  <c r="BO32"/>
  <c r="BN32"/>
  <c r="BM32"/>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s="1"/>
  <c r="AX31"/>
  <c r="AW31"/>
  <c r="AV31"/>
  <c r="AC31"/>
  <c r="H31"/>
  <c r="BT30"/>
  <c r="BS30"/>
  <c r="BR30"/>
  <c r="BQ30"/>
  <c r="BP30"/>
  <c r="BO30"/>
  <c r="BN30"/>
  <c r="BM30"/>
  <c r="BK30"/>
  <c r="BJ30"/>
  <c r="BI30"/>
  <c r="BH30"/>
  <c r="BG30"/>
  <c r="BF30"/>
  <c r="BE30"/>
  <c r="BD30"/>
  <c r="BC30"/>
  <c r="BB30"/>
  <c r="BA30"/>
  <c r="AX30"/>
  <c r="AW30"/>
  <c r="AV30"/>
  <c r="AC30"/>
  <c r="H30"/>
  <c r="BT29"/>
  <c r="BS29"/>
  <c r="BR29"/>
  <c r="BQ29"/>
  <c r="BP29"/>
  <c r="BO29"/>
  <c r="BN29"/>
  <c r="BM29"/>
  <c r="BL29"/>
  <c r="BK29"/>
  <c r="BJ29"/>
  <c r="BI29"/>
  <c r="BH29"/>
  <c r="BG29"/>
  <c r="BF29"/>
  <c r="BE29"/>
  <c r="BD29"/>
  <c r="BC29"/>
  <c r="BB29"/>
  <c r="BA29" s="1"/>
  <c r="AX29"/>
  <c r="AW29"/>
  <c r="AV29"/>
  <c r="AC29"/>
  <c r="H29"/>
  <c r="BT28"/>
  <c r="BS28"/>
  <c r="BR28"/>
  <c r="BQ28"/>
  <c r="BP28"/>
  <c r="BO28"/>
  <c r="BN28"/>
  <c r="BM28"/>
  <c r="BL28"/>
  <c r="BK28"/>
  <c r="BJ28"/>
  <c r="BI28"/>
  <c r="BH28"/>
  <c r="BG28"/>
  <c r="BF28"/>
  <c r="BE28"/>
  <c r="BD28"/>
  <c r="BC28"/>
  <c r="BB28"/>
  <c r="BA28" s="1"/>
  <c r="AX28"/>
  <c r="AW28"/>
  <c r="AV28"/>
  <c r="AC28"/>
  <c r="H28"/>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s="1"/>
  <c r="AX26"/>
  <c r="AW26"/>
  <c r="AV26"/>
  <c r="AC26"/>
  <c r="H26"/>
  <c r="BT25"/>
  <c r="BS25"/>
  <c r="BR25"/>
  <c r="BQ25"/>
  <c r="BP25"/>
  <c r="BO25"/>
  <c r="BN25"/>
  <c r="BM25"/>
  <c r="BK25"/>
  <c r="BJ25"/>
  <c r="BI25"/>
  <c r="BH25"/>
  <c r="BG25"/>
  <c r="BF25"/>
  <c r="BE25"/>
  <c r="BD25"/>
  <c r="BC25"/>
  <c r="BB25"/>
  <c r="AX25"/>
  <c r="AW25"/>
  <c r="AV25"/>
  <c r="AC25"/>
  <c r="H25"/>
  <c r="BT24"/>
  <c r="BS24"/>
  <c r="BR24"/>
  <c r="BQ24"/>
  <c r="BP24"/>
  <c r="BO24"/>
  <c r="BN24"/>
  <c r="BM24"/>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s="1"/>
  <c r="AZ23" s="1"/>
  <c r="AX23"/>
  <c r="AW23"/>
  <c r="AV23"/>
  <c r="AC23"/>
  <c r="H23"/>
  <c r="BT22"/>
  <c r="BS22"/>
  <c r="BR22"/>
  <c r="BQ22"/>
  <c r="BP22"/>
  <c r="BO22"/>
  <c r="BN22"/>
  <c r="BM22"/>
  <c r="BK22"/>
  <c r="BJ22"/>
  <c r="BI22"/>
  <c r="BH22"/>
  <c r="BG22"/>
  <c r="BF22"/>
  <c r="BE22"/>
  <c r="BD22"/>
  <c r="BC22"/>
  <c r="BB22"/>
  <c r="AX22"/>
  <c r="AW22"/>
  <c r="AV22"/>
  <c r="AC22"/>
  <c r="H22"/>
  <c r="G22" s="1"/>
  <c r="BT21"/>
  <c r="BS21"/>
  <c r="BR21"/>
  <c r="BQ21"/>
  <c r="BP21"/>
  <c r="BO21"/>
  <c r="BN21"/>
  <c r="BM21"/>
  <c r="BK21"/>
  <c r="BJ21"/>
  <c r="BI21"/>
  <c r="BH21"/>
  <c r="BG21"/>
  <c r="BF21"/>
  <c r="BE21"/>
  <c r="BD21"/>
  <c r="BC21"/>
  <c r="BB21"/>
  <c r="BA21" s="1"/>
  <c r="AX21"/>
  <c r="AW21"/>
  <c r="AV21"/>
  <c r="AC21"/>
  <c r="H21"/>
  <c r="G21" s="1"/>
  <c r="BT20"/>
  <c r="BS20"/>
  <c r="BR20"/>
  <c r="BQ20"/>
  <c r="BP20"/>
  <c r="BO20"/>
  <c r="BN20"/>
  <c r="BM20"/>
  <c r="BK20"/>
  <c r="BJ20"/>
  <c r="BI20"/>
  <c r="BH20"/>
  <c r="BG20"/>
  <c r="BF20"/>
  <c r="BE20"/>
  <c r="BD20"/>
  <c r="BC20"/>
  <c r="BB20"/>
  <c r="AX20"/>
  <c r="AW20"/>
  <c r="AV20"/>
  <c r="AC20"/>
  <c r="H20"/>
  <c r="G20" s="1"/>
  <c r="BT19"/>
  <c r="BS19"/>
  <c r="BR19"/>
  <c r="BQ19"/>
  <c r="BP19"/>
  <c r="BO19"/>
  <c r="BN19"/>
  <c r="BM19"/>
  <c r="BK19"/>
  <c r="BJ19"/>
  <c r="BI19"/>
  <c r="BH19"/>
  <c r="BG19"/>
  <c r="BF19"/>
  <c r="BE19"/>
  <c r="BD19"/>
  <c r="BC19"/>
  <c r="BB19"/>
  <c r="BA19" s="1"/>
  <c r="AX19"/>
  <c r="AW19"/>
  <c r="AV19"/>
  <c r="AC19"/>
  <c r="H19"/>
  <c r="BT18"/>
  <c r="BS18"/>
  <c r="BR18"/>
  <c r="BQ18"/>
  <c r="BP18"/>
  <c r="BO18"/>
  <c r="BN18"/>
  <c r="BM18"/>
  <c r="BL18" s="1"/>
  <c r="BK18"/>
  <c r="BJ18"/>
  <c r="BI18"/>
  <c r="BH18"/>
  <c r="BG18"/>
  <c r="BF18"/>
  <c r="BE18"/>
  <c r="BD18"/>
  <c r="BC18"/>
  <c r="BB18"/>
  <c r="AX18"/>
  <c r="AW18"/>
  <c r="AV18"/>
  <c r="AC18"/>
  <c r="H18"/>
  <c r="G18" s="1"/>
  <c r="BT207"/>
  <c r="BS207"/>
  <c r="BR207"/>
  <c r="BQ207"/>
  <c r="BP207"/>
  <c r="BO207"/>
  <c r="BN207"/>
  <c r="BM207"/>
  <c r="BL207" s="1"/>
  <c r="BK207"/>
  <c r="BJ207"/>
  <c r="BI207"/>
  <c r="BH207"/>
  <c r="BG207"/>
  <c r="BF207"/>
  <c r="BE207"/>
  <c r="BD207"/>
  <c r="BC207"/>
  <c r="BB207"/>
  <c r="BA207" s="1"/>
  <c r="AZ207" s="1"/>
  <c r="AX207"/>
  <c r="AW207"/>
  <c r="AV207"/>
  <c r="AC207"/>
  <c r="H207"/>
  <c r="BT206"/>
  <c r="BS206"/>
  <c r="BR206"/>
  <c r="BQ206"/>
  <c r="BP206"/>
  <c r="BO206"/>
  <c r="BN206"/>
  <c r="BM206"/>
  <c r="BK206"/>
  <c r="BJ206"/>
  <c r="BI206"/>
  <c r="BH206"/>
  <c r="BG206"/>
  <c r="BF206"/>
  <c r="BE206"/>
  <c r="BD206"/>
  <c r="BC206"/>
  <c r="BB206"/>
  <c r="AX206"/>
  <c r="AW206"/>
  <c r="AV206"/>
  <c r="AC206"/>
  <c r="H206"/>
  <c r="G206" s="1"/>
  <c r="BT205"/>
  <c r="BS205"/>
  <c r="BR205"/>
  <c r="BQ205"/>
  <c r="BP205"/>
  <c r="BO205"/>
  <c r="BN205"/>
  <c r="BM205"/>
  <c r="BL205" s="1"/>
  <c r="BK205"/>
  <c r="BJ205"/>
  <c r="BI205"/>
  <c r="BH205"/>
  <c r="BG205"/>
  <c r="BF205"/>
  <c r="BE205"/>
  <c r="BD205"/>
  <c r="BC205"/>
  <c r="BB205"/>
  <c r="AX205"/>
  <c r="AW205"/>
  <c r="AV205"/>
  <c r="AC205"/>
  <c r="H205"/>
  <c r="BT204"/>
  <c r="BS204"/>
  <c r="BR204"/>
  <c r="BQ204"/>
  <c r="BP204"/>
  <c r="BO204"/>
  <c r="BN204"/>
  <c r="BM204"/>
  <c r="BK204"/>
  <c r="BJ204"/>
  <c r="BI204"/>
  <c r="BH204"/>
  <c r="BG204"/>
  <c r="BF204"/>
  <c r="BE204"/>
  <c r="BD204"/>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BT198"/>
  <c r="BS198"/>
  <c r="BR198"/>
  <c r="BQ198"/>
  <c r="BP198"/>
  <c r="BO198"/>
  <c r="BN198"/>
  <c r="BM198"/>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AX194"/>
  <c r="AW194"/>
  <c r="AV194"/>
  <c r="AC194"/>
  <c r="H194"/>
  <c r="G194" s="1"/>
  <c r="BT193"/>
  <c r="BS193"/>
  <c r="BR193"/>
  <c r="BQ193"/>
  <c r="BP193"/>
  <c r="BO193"/>
  <c r="BN193"/>
  <c r="BM193"/>
  <c r="BK193"/>
  <c r="BJ193"/>
  <c r="BI193"/>
  <c r="BH193"/>
  <c r="BG193"/>
  <c r="BF193"/>
  <c r="BE193"/>
  <c r="BD193"/>
  <c r="BC193"/>
  <c r="BB193"/>
  <c r="BA193" s="1"/>
  <c r="AX193"/>
  <c r="AW193"/>
  <c r="AV193"/>
  <c r="AC193"/>
  <c r="H193"/>
  <c r="BT192"/>
  <c r="BS192"/>
  <c r="BR192"/>
  <c r="BQ192"/>
  <c r="BP192"/>
  <c r="BO192"/>
  <c r="BN192"/>
  <c r="BM192"/>
  <c r="BK192"/>
  <c r="BJ192"/>
  <c r="BI192"/>
  <c r="BH192"/>
  <c r="BG192"/>
  <c r="BF192"/>
  <c r="BE192"/>
  <c r="BD192"/>
  <c r="BC192"/>
  <c r="BB192"/>
  <c r="AX192"/>
  <c r="AW192"/>
  <c r="AV192"/>
  <c r="AC192"/>
  <c r="H192"/>
  <c r="BT191"/>
  <c r="BS191"/>
  <c r="BR191"/>
  <c r="BQ191"/>
  <c r="BP191"/>
  <c r="BO191"/>
  <c r="BN191"/>
  <c r="BM191"/>
  <c r="BK191"/>
  <c r="BJ191"/>
  <c r="BI191"/>
  <c r="BH191"/>
  <c r="BG191"/>
  <c r="BF191"/>
  <c r="BE191"/>
  <c r="BD191"/>
  <c r="BC191"/>
  <c r="BB191"/>
  <c r="AX191"/>
  <c r="AW191"/>
  <c r="AV191"/>
  <c r="AC191"/>
  <c r="H191"/>
  <c r="G191" s="1"/>
  <c r="BT190"/>
  <c r="BS190"/>
  <c r="BR190"/>
  <c r="BQ190"/>
  <c r="BP190"/>
  <c r="BO190"/>
  <c r="BN190"/>
  <c r="BM190"/>
  <c r="BK190"/>
  <c r="BJ190"/>
  <c r="BI190"/>
  <c r="BH190"/>
  <c r="BG190"/>
  <c r="BF190"/>
  <c r="BE190"/>
  <c r="BD190"/>
  <c r="BC190"/>
  <c r="BB190"/>
  <c r="BA190" s="1"/>
  <c r="AX190"/>
  <c r="AW190"/>
  <c r="AV190"/>
  <c r="AC190"/>
  <c r="H190"/>
  <c r="G190" s="1"/>
  <c r="BT189"/>
  <c r="BS189"/>
  <c r="BR189"/>
  <c r="BQ189"/>
  <c r="BP189"/>
  <c r="BO189"/>
  <c r="BN189"/>
  <c r="BM189"/>
  <c r="BK189"/>
  <c r="BJ189"/>
  <c r="BI189"/>
  <c r="BH189"/>
  <c r="BG189"/>
  <c r="BF189"/>
  <c r="BE189"/>
  <c r="BD189"/>
  <c r="BC189"/>
  <c r="BB189"/>
  <c r="AX189"/>
  <c r="AW189"/>
  <c r="AV189"/>
  <c r="AC189"/>
  <c r="H189"/>
  <c r="BT188"/>
  <c r="BS188"/>
  <c r="BR188"/>
  <c r="BQ188"/>
  <c r="BP188"/>
  <c r="BO188"/>
  <c r="BN188"/>
  <c r="BM188"/>
  <c r="BK188"/>
  <c r="BJ188"/>
  <c r="BI188"/>
  <c r="BH188"/>
  <c r="BG188"/>
  <c r="BF188"/>
  <c r="BE188"/>
  <c r="BD188"/>
  <c r="BC188"/>
  <c r="BB188"/>
  <c r="BA188" s="1"/>
  <c r="AX188"/>
  <c r="AW188"/>
  <c r="AV188"/>
  <c r="AC188"/>
  <c r="H188"/>
  <c r="BT187"/>
  <c r="BS187"/>
  <c r="BR187"/>
  <c r="BQ187"/>
  <c r="BP187"/>
  <c r="BO187"/>
  <c r="BN187"/>
  <c r="BM187"/>
  <c r="BK187"/>
  <c r="BJ187"/>
  <c r="BI187"/>
  <c r="BH187"/>
  <c r="BG187"/>
  <c r="BF187"/>
  <c r="BE187"/>
  <c r="BD187"/>
  <c r="BC187"/>
  <c r="BB187"/>
  <c r="AX187"/>
  <c r="AW187"/>
  <c r="AV187"/>
  <c r="AC187"/>
  <c r="H187"/>
  <c r="G187" s="1"/>
  <c r="BT186"/>
  <c r="BS186"/>
  <c r="BR186"/>
  <c r="BQ186"/>
  <c r="BP186"/>
  <c r="BO186"/>
  <c r="BN186"/>
  <c r="BM186"/>
  <c r="BK186"/>
  <c r="BJ186"/>
  <c r="BI186"/>
  <c r="BH186"/>
  <c r="BG186"/>
  <c r="BF186"/>
  <c r="BE186"/>
  <c r="BD186"/>
  <c r="BC186"/>
  <c r="BB186"/>
  <c r="BA186" s="1"/>
  <c r="AX186"/>
  <c r="AW186"/>
  <c r="AV186"/>
  <c r="AC186"/>
  <c r="H186"/>
  <c r="G186" s="1"/>
  <c r="BT185"/>
  <c r="BS185"/>
  <c r="BR185"/>
  <c r="BQ185"/>
  <c r="BP185"/>
  <c r="BO185"/>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s="1"/>
  <c r="AX182"/>
  <c r="AW182"/>
  <c r="AV182"/>
  <c r="AC182"/>
  <c r="H182"/>
  <c r="BT181"/>
  <c r="BS181"/>
  <c r="BR181"/>
  <c r="BQ181"/>
  <c r="BP181"/>
  <c r="BO181"/>
  <c r="BN181"/>
  <c r="BM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L179" s="1"/>
  <c r="BK179"/>
  <c r="BJ179"/>
  <c r="BI179"/>
  <c r="BH179"/>
  <c r="BG179"/>
  <c r="BF179"/>
  <c r="BE179"/>
  <c r="BD179"/>
  <c r="BC179"/>
  <c r="BB179"/>
  <c r="AX179"/>
  <c r="AW179"/>
  <c r="AV179"/>
  <c r="AC179"/>
  <c r="H179"/>
  <c r="BT178"/>
  <c r="BS178"/>
  <c r="BR178"/>
  <c r="BQ178"/>
  <c r="BP178"/>
  <c r="BO178"/>
  <c r="BN178"/>
  <c r="BM178"/>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AX176"/>
  <c r="AW176"/>
  <c r="AV176"/>
  <c r="AC176"/>
  <c r="H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AX172"/>
  <c r="AW172"/>
  <c r="AV172"/>
  <c r="AC172"/>
  <c r="H172"/>
  <c r="BT171"/>
  <c r="BS171"/>
  <c r="BR171"/>
  <c r="BQ171"/>
  <c r="BP171"/>
  <c r="BO171"/>
  <c r="BN171"/>
  <c r="BM171"/>
  <c r="BK171"/>
  <c r="BJ171"/>
  <c r="BI171"/>
  <c r="BH171"/>
  <c r="BG171"/>
  <c r="BF171"/>
  <c r="BE171"/>
  <c r="BD171"/>
  <c r="BC171"/>
  <c r="BB171"/>
  <c r="AX171"/>
  <c r="AW171"/>
  <c r="AV171"/>
  <c r="AC171"/>
  <c r="H171"/>
  <c r="G171" s="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BA168" s="1"/>
  <c r="AX168"/>
  <c r="AW168"/>
  <c r="AV168"/>
  <c r="AC168"/>
  <c r="H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s="1"/>
  <c r="AX166"/>
  <c r="AW166"/>
  <c r="AV166"/>
  <c r="AC166"/>
  <c r="H166"/>
  <c r="BT165"/>
  <c r="BS165"/>
  <c r="BR165"/>
  <c r="BQ165"/>
  <c r="BP165"/>
  <c r="BO165"/>
  <c r="BN165"/>
  <c r="BM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AX160"/>
  <c r="AW160"/>
  <c r="AV160"/>
  <c r="AC160"/>
  <c r="H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K158"/>
  <c r="BJ158"/>
  <c r="BI158"/>
  <c r="BH158"/>
  <c r="BG158"/>
  <c r="BF158"/>
  <c r="BE158"/>
  <c r="BD158"/>
  <c r="BC158"/>
  <c r="BB158"/>
  <c r="AX158"/>
  <c r="AW158"/>
  <c r="AV158"/>
  <c r="AC158"/>
  <c r="H158"/>
  <c r="G158" s="1"/>
  <c r="BT157"/>
  <c r="BS157"/>
  <c r="BR157"/>
  <c r="BQ157"/>
  <c r="BP157"/>
  <c r="BO157"/>
  <c r="BN157"/>
  <c r="BM157"/>
  <c r="BK157"/>
  <c r="BJ157"/>
  <c r="BI157"/>
  <c r="BH157"/>
  <c r="BG157"/>
  <c r="BF157"/>
  <c r="BE157"/>
  <c r="BD157"/>
  <c r="BC157"/>
  <c r="BB157"/>
  <c r="BA157" s="1"/>
  <c r="AX157"/>
  <c r="AW157"/>
  <c r="AV157"/>
  <c r="AC157"/>
  <c r="H157"/>
  <c r="BT156"/>
  <c r="BS156"/>
  <c r="BR156"/>
  <c r="BQ156"/>
  <c r="BP156"/>
  <c r="BO156"/>
  <c r="BN156"/>
  <c r="BM156"/>
  <c r="BK156"/>
  <c r="BJ156"/>
  <c r="BI156"/>
  <c r="BH156"/>
  <c r="BG156"/>
  <c r="BF156"/>
  <c r="BE156"/>
  <c r="BD156"/>
  <c r="BC156"/>
  <c r="BB156"/>
  <c r="AX156"/>
  <c r="AW156"/>
  <c r="AV156"/>
  <c r="AC156"/>
  <c r="H156"/>
  <c r="BT155"/>
  <c r="BS155"/>
  <c r="BR155"/>
  <c r="BQ155"/>
  <c r="BP155"/>
  <c r="BO155"/>
  <c r="BN155"/>
  <c r="BM155"/>
  <c r="BK155"/>
  <c r="BJ155"/>
  <c r="BI155"/>
  <c r="BH155"/>
  <c r="BG155"/>
  <c r="BF155"/>
  <c r="BE155"/>
  <c r="BD155"/>
  <c r="BC155"/>
  <c r="BB155"/>
  <c r="AX155"/>
  <c r="AW155"/>
  <c r="AV155"/>
  <c r="AC155"/>
  <c r="H155"/>
  <c r="G155" s="1"/>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s="1"/>
  <c r="AX150"/>
  <c r="AW150"/>
  <c r="AV150"/>
  <c r="AC150"/>
  <c r="H150"/>
  <c r="BT149"/>
  <c r="BS149"/>
  <c r="BR149"/>
  <c r="BQ149"/>
  <c r="BP149"/>
  <c r="BO149"/>
  <c r="BN149"/>
  <c r="BM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AX148"/>
  <c r="AW148"/>
  <c r="AV148"/>
  <c r="AC148"/>
  <c r="H148"/>
  <c r="G148" s="1"/>
  <c r="BT147"/>
  <c r="BS147"/>
  <c r="BR147"/>
  <c r="BQ147"/>
  <c r="BP147"/>
  <c r="BO147"/>
  <c r="BN147"/>
  <c r="BM147"/>
  <c r="BL147" s="1"/>
  <c r="BK147"/>
  <c r="BJ147"/>
  <c r="BI147"/>
  <c r="BH147"/>
  <c r="BG147"/>
  <c r="BF147"/>
  <c r="BE147"/>
  <c r="BD147"/>
  <c r="BC147"/>
  <c r="BB147"/>
  <c r="AX147"/>
  <c r="AW147"/>
  <c r="AV147"/>
  <c r="AC147"/>
  <c r="H147"/>
  <c r="BT146"/>
  <c r="BS146"/>
  <c r="BR146"/>
  <c r="BQ146"/>
  <c r="BP146"/>
  <c r="BO146"/>
  <c r="BN146"/>
  <c r="BM146"/>
  <c r="BK146"/>
  <c r="BJ146"/>
  <c r="BI146"/>
  <c r="BH146"/>
  <c r="BG146"/>
  <c r="BF146"/>
  <c r="BE146"/>
  <c r="BD146"/>
  <c r="BC146"/>
  <c r="BB146"/>
  <c r="AX146"/>
  <c r="AW146"/>
  <c r="AV146"/>
  <c r="AC146"/>
  <c r="H146"/>
  <c r="G146" s="1"/>
  <c r="BT145"/>
  <c r="BS145"/>
  <c r="BR145"/>
  <c r="BQ145"/>
  <c r="BP145"/>
  <c r="BO145"/>
  <c r="BN145"/>
  <c r="BM145"/>
  <c r="BL145" s="1"/>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AX144"/>
  <c r="AW144"/>
  <c r="AV144"/>
  <c r="AC144"/>
  <c r="H144"/>
  <c r="G144" s="1"/>
  <c r="BT143"/>
  <c r="BS143"/>
  <c r="BR143"/>
  <c r="BQ143"/>
  <c r="BP143"/>
  <c r="BO143"/>
  <c r="BN143"/>
  <c r="BM143"/>
  <c r="BK143"/>
  <c r="BJ143"/>
  <c r="BI143"/>
  <c r="BH143"/>
  <c r="BG143"/>
  <c r="BF143"/>
  <c r="BE143"/>
  <c r="BD143"/>
  <c r="BC143"/>
  <c r="BB143"/>
  <c r="AX143"/>
  <c r="AW143"/>
  <c r="AV143"/>
  <c r="AC143"/>
  <c r="H143"/>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AX140"/>
  <c r="AW140"/>
  <c r="AV140"/>
  <c r="AC140"/>
  <c r="H140"/>
  <c r="G140" s="1"/>
  <c r="BT139"/>
  <c r="BS139"/>
  <c r="BR139"/>
  <c r="BQ139"/>
  <c r="BP139"/>
  <c r="BO139"/>
  <c r="BN139"/>
  <c r="BM139"/>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AX138"/>
  <c r="AW138"/>
  <c r="AV138"/>
  <c r="AC138"/>
  <c r="H138"/>
  <c r="G138" s="1"/>
  <c r="BT137"/>
  <c r="BS137"/>
  <c r="BR137"/>
  <c r="BQ137"/>
  <c r="BP137"/>
  <c r="BO137"/>
  <c r="BN137"/>
  <c r="BM137"/>
  <c r="BL137" s="1"/>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AX136"/>
  <c r="AW136"/>
  <c r="AV136"/>
  <c r="AC136"/>
  <c r="H136"/>
  <c r="G136" s="1"/>
  <c r="BT135"/>
  <c r="BS135"/>
  <c r="BR135"/>
  <c r="BQ135"/>
  <c r="BP135"/>
  <c r="BO135"/>
  <c r="BN135"/>
  <c r="BM135"/>
  <c r="BK135"/>
  <c r="BJ135"/>
  <c r="BI135"/>
  <c r="BH135"/>
  <c r="BG135"/>
  <c r="BF135"/>
  <c r="BE135"/>
  <c r="BD135"/>
  <c r="BC135"/>
  <c r="BB135"/>
  <c r="AX135"/>
  <c r="AW135"/>
  <c r="AV135"/>
  <c r="AC135"/>
  <c r="H135"/>
  <c r="BT134"/>
  <c r="BS134"/>
  <c r="BR134"/>
  <c r="BQ134"/>
  <c r="BP134"/>
  <c r="BO134"/>
  <c r="BN134"/>
  <c r="BM134"/>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BA132" s="1"/>
  <c r="AX132"/>
  <c r="AW132"/>
  <c r="AV132"/>
  <c r="AC132"/>
  <c r="H132"/>
  <c r="G132" s="1"/>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L130" s="1"/>
  <c r="BK130"/>
  <c r="BJ130"/>
  <c r="BI130"/>
  <c r="BH130"/>
  <c r="BG130"/>
  <c r="BF130"/>
  <c r="BE130"/>
  <c r="BD130"/>
  <c r="BC130"/>
  <c r="BB130"/>
  <c r="AX130"/>
  <c r="AW130"/>
  <c r="AV130"/>
  <c r="AC130"/>
  <c r="H130"/>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s="1"/>
  <c r="BT127"/>
  <c r="BS127"/>
  <c r="BR127"/>
  <c r="BQ127"/>
  <c r="BP127"/>
  <c r="BO127"/>
  <c r="BN127"/>
  <c r="BM127"/>
  <c r="BK127"/>
  <c r="BJ127"/>
  <c r="BI127"/>
  <c r="BH127"/>
  <c r="BG127"/>
  <c r="BF127"/>
  <c r="BE127"/>
  <c r="BD127"/>
  <c r="BC127"/>
  <c r="BB127"/>
  <c r="AX127"/>
  <c r="AW127"/>
  <c r="AV127"/>
  <c r="AC127"/>
  <c r="H127"/>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AX125"/>
  <c r="AW125"/>
  <c r="AV125"/>
  <c r="AC125"/>
  <c r="H125"/>
  <c r="BT124"/>
  <c r="BS124"/>
  <c r="BR124"/>
  <c r="BQ124"/>
  <c r="BP124"/>
  <c r="BO124"/>
  <c r="BN124"/>
  <c r="BM124"/>
  <c r="BK124"/>
  <c r="BJ124"/>
  <c r="BI124"/>
  <c r="BH124"/>
  <c r="BG124"/>
  <c r="BF124"/>
  <c r="BE124"/>
  <c r="BD124"/>
  <c r="BC124"/>
  <c r="BB124"/>
  <c r="BA124" s="1"/>
  <c r="AX124"/>
  <c r="AW124"/>
  <c r="AV124"/>
  <c r="AC124"/>
  <c r="H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s="1"/>
  <c r="AZ122" s="1"/>
  <c r="AX122"/>
  <c r="AW122"/>
  <c r="AV122"/>
  <c r="AC122"/>
  <c r="H122"/>
  <c r="BT121"/>
  <c r="BS121"/>
  <c r="BR121"/>
  <c r="BQ121"/>
  <c r="BP121"/>
  <c r="BO12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L118" s="1"/>
  <c r="BK118"/>
  <c r="BJ118"/>
  <c r="BI118"/>
  <c r="BH118"/>
  <c r="BG118"/>
  <c r="BF118"/>
  <c r="BE118"/>
  <c r="BD118"/>
  <c r="BC118"/>
  <c r="BB118"/>
  <c r="AX118"/>
  <c r="AW118"/>
  <c r="AV118"/>
  <c r="AC118"/>
  <c r="H118"/>
  <c r="BT117"/>
  <c r="BS117"/>
  <c r="BR117"/>
  <c r="BQ117"/>
  <c r="BP117"/>
  <c r="BO117"/>
  <c r="BN117"/>
  <c r="BM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BT114"/>
  <c r="BS114"/>
  <c r="BR114"/>
  <c r="BQ114"/>
  <c r="BP114"/>
  <c r="BO114"/>
  <c r="BN114"/>
  <c r="BM114"/>
  <c r="BL114"/>
  <c r="BK114"/>
  <c r="BJ114"/>
  <c r="BI114"/>
  <c r="BH114"/>
  <c r="BG114"/>
  <c r="BF114"/>
  <c r="BE114"/>
  <c r="BD114"/>
  <c r="BC114"/>
  <c r="BB114"/>
  <c r="BA114" s="1"/>
  <c r="AX114"/>
  <c r="AW114"/>
  <c r="AV114"/>
  <c r="AC114"/>
  <c r="H114"/>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s="1"/>
  <c r="AZ300" s="1"/>
  <c r="AX300"/>
  <c r="AW300"/>
  <c r="AV300"/>
  <c r="AC300"/>
  <c r="H300"/>
  <c r="BT299"/>
  <c r="BS299"/>
  <c r="BR299"/>
  <c r="BQ299"/>
  <c r="BP299"/>
  <c r="BO299"/>
  <c r="BN299"/>
  <c r="BM299"/>
  <c r="BK299"/>
  <c r="BJ299"/>
  <c r="BI299"/>
  <c r="BH299"/>
  <c r="BG299"/>
  <c r="BF299"/>
  <c r="BE299"/>
  <c r="BD299"/>
  <c r="BC299"/>
  <c r="BB299"/>
  <c r="AX299"/>
  <c r="AW299"/>
  <c r="AV299"/>
  <c r="AC299"/>
  <c r="H299"/>
  <c r="G299" s="1"/>
  <c r="BT298"/>
  <c r="BS298"/>
  <c r="BR298"/>
  <c r="BQ298"/>
  <c r="BP298"/>
  <c r="BO298"/>
  <c r="BN298"/>
  <c r="BM298"/>
  <c r="BL298" s="1"/>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296"/>
  <c r="BS296"/>
  <c r="BR296"/>
  <c r="BQ296"/>
  <c r="BP296"/>
  <c r="BO296"/>
  <c r="BN296"/>
  <c r="BM296"/>
  <c r="BL296"/>
  <c r="BK296"/>
  <c r="BJ296"/>
  <c r="BI296"/>
  <c r="BH296"/>
  <c r="BG296"/>
  <c r="BF296"/>
  <c r="BE296"/>
  <c r="BD296"/>
  <c r="BC296"/>
  <c r="BB296"/>
  <c r="BA296" s="1"/>
  <c r="AX296"/>
  <c r="AW296"/>
  <c r="AV296"/>
  <c r="AC296"/>
  <c r="H296"/>
  <c r="BT295"/>
  <c r="BS295"/>
  <c r="BR295"/>
  <c r="BQ295"/>
  <c r="BP295"/>
  <c r="BO295"/>
  <c r="BN295"/>
  <c r="BM295"/>
  <c r="BL295"/>
  <c r="BK295"/>
  <c r="BJ295"/>
  <c r="BI295"/>
  <c r="BH295"/>
  <c r="BG295"/>
  <c r="BF295"/>
  <c r="BE295"/>
  <c r="BD295"/>
  <c r="BC295"/>
  <c r="BB295"/>
  <c r="BA295" s="1"/>
  <c r="AX295"/>
  <c r="AW295"/>
  <c r="AV295"/>
  <c r="AC295"/>
  <c r="H295"/>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BT292"/>
  <c r="BS292"/>
  <c r="BR292"/>
  <c r="BQ292"/>
  <c r="BP292"/>
  <c r="BO292"/>
  <c r="BN292"/>
  <c r="BM292"/>
  <c r="BK292"/>
  <c r="BJ292"/>
  <c r="BI292"/>
  <c r="BH292"/>
  <c r="BG292"/>
  <c r="BF292"/>
  <c r="BE292"/>
  <c r="BD292"/>
  <c r="BC292"/>
  <c r="BB292"/>
  <c r="AX292"/>
  <c r="AW292"/>
  <c r="AV292"/>
  <c r="AC292"/>
  <c r="H292"/>
  <c r="G292" s="1"/>
  <c r="BT291"/>
  <c r="BS291"/>
  <c r="BR291"/>
  <c r="BQ291"/>
  <c r="BP291"/>
  <c r="BO291"/>
  <c r="BN291"/>
  <c r="BM291"/>
  <c r="BK291"/>
  <c r="BJ291"/>
  <c r="BI291"/>
  <c r="BH291"/>
  <c r="BG291"/>
  <c r="BF291"/>
  <c r="BE291"/>
  <c r="BD291"/>
  <c r="BC291"/>
  <c r="BB291"/>
  <c r="BA291" s="1"/>
  <c r="AX291"/>
  <c r="AW291"/>
  <c r="AV291"/>
  <c r="AC291"/>
  <c r="H291"/>
  <c r="G291" s="1"/>
  <c r="BT290"/>
  <c r="BS290"/>
  <c r="BR290"/>
  <c r="BQ290"/>
  <c r="BP290"/>
  <c r="BO290"/>
  <c r="BN290"/>
  <c r="BM290"/>
  <c r="BK290"/>
  <c r="BJ290"/>
  <c r="BI290"/>
  <c r="BH290"/>
  <c r="BG290"/>
  <c r="BF290"/>
  <c r="BE290"/>
  <c r="BD290"/>
  <c r="BC290"/>
  <c r="BB290"/>
  <c r="AX290"/>
  <c r="AW290"/>
  <c r="AV290"/>
  <c r="AC290"/>
  <c r="H290"/>
  <c r="G290" s="1"/>
  <c r="BT289"/>
  <c r="BS289"/>
  <c r="BR289"/>
  <c r="BQ289"/>
  <c r="BP289"/>
  <c r="BO289"/>
  <c r="BN289"/>
  <c r="BM289"/>
  <c r="BL289" s="1"/>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s="1"/>
  <c r="AX287"/>
  <c r="AW287"/>
  <c r="AV287"/>
  <c r="AC287"/>
  <c r="H287"/>
  <c r="BT286"/>
  <c r="BS286"/>
  <c r="BR286"/>
  <c r="BQ286"/>
  <c r="BP286"/>
  <c r="BO286"/>
  <c r="BN286"/>
  <c r="BM286"/>
  <c r="BK286"/>
  <c r="BJ286"/>
  <c r="BI286"/>
  <c r="BH286"/>
  <c r="BG286"/>
  <c r="BF286"/>
  <c r="BE286"/>
  <c r="BD286"/>
  <c r="BC286"/>
  <c r="BB286"/>
  <c r="BA286"/>
  <c r="AX286"/>
  <c r="AW286"/>
  <c r="AV286"/>
  <c r="AC286"/>
  <c r="H286"/>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s="1"/>
  <c r="AZ284" s="1"/>
  <c r="AX284"/>
  <c r="AW284"/>
  <c r="AV284"/>
  <c r="AC284"/>
  <c r="H284"/>
  <c r="BT283"/>
  <c r="BS283"/>
  <c r="BR283"/>
  <c r="BQ283"/>
  <c r="BP283"/>
  <c r="BO283"/>
  <c r="BN283"/>
  <c r="BM283"/>
  <c r="BK283"/>
  <c r="BJ283"/>
  <c r="BI283"/>
  <c r="BH283"/>
  <c r="BG283"/>
  <c r="BF283"/>
  <c r="BE283"/>
  <c r="BD283"/>
  <c r="BC283"/>
  <c r="BB283"/>
  <c r="AX283"/>
  <c r="AW283"/>
  <c r="AV283"/>
  <c r="AC283"/>
  <c r="H283"/>
  <c r="G283" s="1"/>
  <c r="BT282"/>
  <c r="BS282"/>
  <c r="BR282"/>
  <c r="BQ282"/>
  <c r="BP282"/>
  <c r="BO282"/>
  <c r="BN282"/>
  <c r="BM282"/>
  <c r="BL282" s="1"/>
  <c r="BK282"/>
  <c r="BJ282"/>
  <c r="BI282"/>
  <c r="BH282"/>
  <c r="BG282"/>
  <c r="BF282"/>
  <c r="BE282"/>
  <c r="BD282"/>
  <c r="BC282"/>
  <c r="BB282"/>
  <c r="AX282"/>
  <c r="AW282"/>
  <c r="AV282"/>
  <c r="AC282"/>
  <c r="H282"/>
  <c r="BT281"/>
  <c r="BS281"/>
  <c r="BR281"/>
  <c r="BQ281"/>
  <c r="BP281"/>
  <c r="BO281"/>
  <c r="BN281"/>
  <c r="BM281"/>
  <c r="BK281"/>
  <c r="BJ281"/>
  <c r="BI281"/>
  <c r="BH281"/>
  <c r="BG281"/>
  <c r="BF281"/>
  <c r="BE281"/>
  <c r="BD281"/>
  <c r="BC281"/>
  <c r="BB281"/>
  <c r="BA281"/>
  <c r="AX281"/>
  <c r="AW281"/>
  <c r="AV281"/>
  <c r="AC281"/>
  <c r="H281"/>
  <c r="BT280"/>
  <c r="BS280"/>
  <c r="BR280"/>
  <c r="BQ280"/>
  <c r="BP280"/>
  <c r="BO280"/>
  <c r="BN280"/>
  <c r="BM280"/>
  <c r="BL280"/>
  <c r="BK280"/>
  <c r="BJ280"/>
  <c r="BI280"/>
  <c r="BH280"/>
  <c r="BG280"/>
  <c r="BF280"/>
  <c r="BE280"/>
  <c r="BD280"/>
  <c r="BC280"/>
  <c r="BB280"/>
  <c r="BA280" s="1"/>
  <c r="AX280"/>
  <c r="AW280"/>
  <c r="AV280"/>
  <c r="AC280"/>
  <c r="H280"/>
  <c r="BT279"/>
  <c r="BS279"/>
  <c r="BR279"/>
  <c r="BQ279"/>
  <c r="BP279"/>
  <c r="BO279"/>
  <c r="BN279"/>
  <c r="BM279"/>
  <c r="BL279"/>
  <c r="BK279"/>
  <c r="BJ279"/>
  <c r="BI279"/>
  <c r="BH279"/>
  <c r="BG279"/>
  <c r="BF279"/>
  <c r="BE279"/>
  <c r="BD279"/>
  <c r="BC279"/>
  <c r="BB279"/>
  <c r="BA279" s="1"/>
  <c r="AX279"/>
  <c r="AW279"/>
  <c r="AV279"/>
  <c r="AC279"/>
  <c r="H279"/>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BT276"/>
  <c r="BS276"/>
  <c r="BR276"/>
  <c r="BQ276"/>
  <c r="BP276"/>
  <c r="BO276"/>
  <c r="BN276"/>
  <c r="BM276"/>
  <c r="BK276"/>
  <c r="BJ276"/>
  <c r="BI276"/>
  <c r="BH276"/>
  <c r="BG276"/>
  <c r="BF276"/>
  <c r="BE276"/>
  <c r="BD276"/>
  <c r="BC276"/>
  <c r="BB276"/>
  <c r="AX276"/>
  <c r="AW276"/>
  <c r="AV276"/>
  <c r="AC276"/>
  <c r="H276"/>
  <c r="G276" s="1"/>
  <c r="BT275"/>
  <c r="BS275"/>
  <c r="BR275"/>
  <c r="BQ275"/>
  <c r="BP275"/>
  <c r="BO275"/>
  <c r="BN275"/>
  <c r="BM275"/>
  <c r="BK275"/>
  <c r="BJ275"/>
  <c r="BI275"/>
  <c r="BH275"/>
  <c r="BG275"/>
  <c r="BF275"/>
  <c r="BE275"/>
  <c r="BD275"/>
  <c r="BC275"/>
  <c r="BB275"/>
  <c r="BA275" s="1"/>
  <c r="AX275"/>
  <c r="AW275"/>
  <c r="AV275"/>
  <c r="AC275"/>
  <c r="H275"/>
  <c r="G275" s="1"/>
  <c r="BT274"/>
  <c r="BS274"/>
  <c r="BR274"/>
  <c r="BQ274"/>
  <c r="BP274"/>
  <c r="BO274"/>
  <c r="BN274"/>
  <c r="BM274"/>
  <c r="BK274"/>
  <c r="BJ274"/>
  <c r="BI274"/>
  <c r="BH274"/>
  <c r="BG274"/>
  <c r="BF274"/>
  <c r="BE274"/>
  <c r="BD274"/>
  <c r="BC274"/>
  <c r="BB274"/>
  <c r="AX274"/>
  <c r="AW274"/>
  <c r="AV274"/>
  <c r="AC274"/>
  <c r="H274"/>
  <c r="G274" s="1"/>
  <c r="BT273"/>
  <c r="BS273"/>
  <c r="BR273"/>
  <c r="BQ273"/>
  <c r="BP273"/>
  <c r="BO273"/>
  <c r="BN273"/>
  <c r="BM273"/>
  <c r="BL273" s="1"/>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AX272"/>
  <c r="AW272"/>
  <c r="AV272"/>
  <c r="AC272"/>
  <c r="H272"/>
  <c r="G272" s="1"/>
  <c r="BT271"/>
  <c r="BS271"/>
  <c r="BR271"/>
  <c r="BQ271"/>
  <c r="BP271"/>
  <c r="BO271"/>
  <c r="BN271"/>
  <c r="BM271"/>
  <c r="BK271"/>
  <c r="BJ271"/>
  <c r="BI271"/>
  <c r="BH271"/>
  <c r="BG271"/>
  <c r="BF271"/>
  <c r="BE271"/>
  <c r="BD271"/>
  <c r="BC271"/>
  <c r="BB271"/>
  <c r="BA271" s="1"/>
  <c r="AX271"/>
  <c r="AW271"/>
  <c r="AV271"/>
  <c r="AC271"/>
  <c r="H271"/>
  <c r="G271" s="1"/>
  <c r="BT270"/>
  <c r="BS270"/>
  <c r="BR270"/>
  <c r="BQ270"/>
  <c r="BP270"/>
  <c r="BO270"/>
  <c r="BN270"/>
  <c r="BM270"/>
  <c r="BK270"/>
  <c r="BJ270"/>
  <c r="BI270"/>
  <c r="BH270"/>
  <c r="BG270"/>
  <c r="BF270"/>
  <c r="BE270"/>
  <c r="BD270"/>
  <c r="BC270"/>
  <c r="BB270"/>
  <c r="AX270"/>
  <c r="AW270"/>
  <c r="AV270"/>
  <c r="AC270"/>
  <c r="H270"/>
  <c r="G270" s="1"/>
  <c r="BT269"/>
  <c r="BS269"/>
  <c r="BR269"/>
  <c r="BQ269"/>
  <c r="BP269"/>
  <c r="BO269"/>
  <c r="BN269"/>
  <c r="BM269"/>
  <c r="BL269" s="1"/>
  <c r="BK269"/>
  <c r="BJ269"/>
  <c r="BI269"/>
  <c r="BH269"/>
  <c r="BG269"/>
  <c r="BF269"/>
  <c r="BE269"/>
  <c r="BD269"/>
  <c r="BC269"/>
  <c r="BB269"/>
  <c r="AX269"/>
  <c r="AW269"/>
  <c r="AV269"/>
  <c r="AC269"/>
  <c r="H269"/>
  <c r="BT268"/>
  <c r="BS268"/>
  <c r="BR268"/>
  <c r="BQ268"/>
  <c r="BP268"/>
  <c r="BO268"/>
  <c r="BN268"/>
  <c r="BM268"/>
  <c r="BK268"/>
  <c r="BJ268"/>
  <c r="BI268"/>
  <c r="BH268"/>
  <c r="BG268"/>
  <c r="BF268"/>
  <c r="BE268"/>
  <c r="BD268"/>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BA266"/>
  <c r="AX266"/>
  <c r="AW266"/>
  <c r="AV266"/>
  <c r="AC266"/>
  <c r="H266"/>
  <c r="BT265"/>
  <c r="BS265"/>
  <c r="BR265"/>
  <c r="BQ265"/>
  <c r="BP265"/>
  <c r="BO265"/>
  <c r="BN265"/>
  <c r="BM265"/>
  <c r="BL265"/>
  <c r="BK265"/>
  <c r="BJ265"/>
  <c r="BI265"/>
  <c r="BH265"/>
  <c r="BG265"/>
  <c r="BF265"/>
  <c r="BE265"/>
  <c r="BD265"/>
  <c r="BC265"/>
  <c r="BB265"/>
  <c r="BA265" s="1"/>
  <c r="AX265"/>
  <c r="AW265"/>
  <c r="AV265"/>
  <c r="AC265"/>
  <c r="H265"/>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s="1"/>
  <c r="AX263"/>
  <c r="AW263"/>
  <c r="AV263"/>
  <c r="AC263"/>
  <c r="H263"/>
  <c r="BT262"/>
  <c r="BS262"/>
  <c r="BR262"/>
  <c r="BQ262"/>
  <c r="BP262"/>
  <c r="BO262"/>
  <c r="BN262"/>
  <c r="BM262"/>
  <c r="BK262"/>
  <c r="BJ262"/>
  <c r="BI262"/>
  <c r="BH262"/>
  <c r="BG262"/>
  <c r="BF262"/>
  <c r="BE262"/>
  <c r="BD262"/>
  <c r="BC262"/>
  <c r="BB262"/>
  <c r="BA262"/>
  <c r="AX262"/>
  <c r="AW262"/>
  <c r="AV262"/>
  <c r="AC262"/>
  <c r="H262"/>
  <c r="BT261"/>
  <c r="BS261"/>
  <c r="BR261"/>
  <c r="BQ261"/>
  <c r="BP261"/>
  <c r="BO261"/>
  <c r="BN261"/>
  <c r="BM261"/>
  <c r="BL261"/>
  <c r="BK261"/>
  <c r="BJ261"/>
  <c r="BI261"/>
  <c r="BH261"/>
  <c r="BG261"/>
  <c r="BF261"/>
  <c r="BE261"/>
  <c r="BD261"/>
  <c r="BC261"/>
  <c r="BB261"/>
  <c r="BA261" s="1"/>
  <c r="AX261"/>
  <c r="AW261"/>
  <c r="AV261"/>
  <c r="AC261"/>
  <c r="H26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s="1"/>
  <c r="AX259"/>
  <c r="AW259"/>
  <c r="AV259"/>
  <c r="AC259"/>
  <c r="H259"/>
  <c r="BT258"/>
  <c r="BS258"/>
  <c r="BR258"/>
  <c r="BQ258"/>
  <c r="BP258"/>
  <c r="BO258"/>
  <c r="BN258"/>
  <c r="BM258"/>
  <c r="BK258"/>
  <c r="BJ258"/>
  <c r="BI258"/>
  <c r="BH258"/>
  <c r="BG258"/>
  <c r="BF258"/>
  <c r="BE258"/>
  <c r="BD258"/>
  <c r="BC258"/>
  <c r="BB258"/>
  <c r="BA258"/>
  <c r="AX258"/>
  <c r="AW258"/>
  <c r="AV258"/>
  <c r="AC258"/>
  <c r="H258"/>
  <c r="BT257"/>
  <c r="BS257"/>
  <c r="BR257"/>
  <c r="BQ257"/>
  <c r="BP257"/>
  <c r="BO257"/>
  <c r="BN257"/>
  <c r="BM257"/>
  <c r="BL257"/>
  <c r="BK257"/>
  <c r="BJ257"/>
  <c r="BI257"/>
  <c r="BH257"/>
  <c r="BG257"/>
  <c r="BF257"/>
  <c r="BE257"/>
  <c r="BD257"/>
  <c r="BC257"/>
  <c r="BB257"/>
  <c r="BA257" s="1"/>
  <c r="AX257"/>
  <c r="AW257"/>
  <c r="AV257"/>
  <c r="AC257"/>
  <c r="H257"/>
  <c r="BT256"/>
  <c r="BS256"/>
  <c r="BR256"/>
  <c r="BQ256"/>
  <c r="BP256"/>
  <c r="BO256"/>
  <c r="BN256"/>
  <c r="BM256"/>
  <c r="BL256"/>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BT253"/>
  <c r="BS253"/>
  <c r="BR253"/>
  <c r="BQ253"/>
  <c r="BP253"/>
  <c r="BO253"/>
  <c r="BN253"/>
  <c r="BM253"/>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BT249"/>
  <c r="BS249"/>
  <c r="BR249"/>
  <c r="BQ249"/>
  <c r="BP249"/>
  <c r="BO249"/>
  <c r="BN249"/>
  <c r="BM249"/>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s="1"/>
  <c r="AZ246" s="1"/>
  <c r="AX246"/>
  <c r="AW246"/>
  <c r="AV246"/>
  <c r="AC246"/>
  <c r="H246"/>
  <c r="BT245"/>
  <c r="BS245"/>
  <c r="BR245"/>
  <c r="BQ245"/>
  <c r="BP245"/>
  <c r="BO245"/>
  <c r="BN245"/>
  <c r="BM245"/>
  <c r="BK245"/>
  <c r="BJ245"/>
  <c r="BI245"/>
  <c r="BH245"/>
  <c r="BG245"/>
  <c r="BF245"/>
  <c r="BE245"/>
  <c r="BD245"/>
  <c r="BC245"/>
  <c r="BB245"/>
  <c r="AX245"/>
  <c r="AW245"/>
  <c r="AV245"/>
  <c r="AC245"/>
  <c r="H245"/>
  <c r="G245" s="1"/>
  <c r="BT244"/>
  <c r="BS244"/>
  <c r="BR244"/>
  <c r="BQ244"/>
  <c r="BP244"/>
  <c r="BO244"/>
  <c r="BN244"/>
  <c r="BM244"/>
  <c r="BL244" s="1"/>
  <c r="BK244"/>
  <c r="BJ244"/>
  <c r="BI244"/>
  <c r="BH244"/>
  <c r="BG244"/>
  <c r="BF244"/>
  <c r="BE244"/>
  <c r="BD244"/>
  <c r="BC244"/>
  <c r="BB244"/>
  <c r="AX244"/>
  <c r="AW244"/>
  <c r="AV244"/>
  <c r="AC244"/>
  <c r="H244"/>
  <c r="BT243"/>
  <c r="BS243"/>
  <c r="BR243"/>
  <c r="BQ243"/>
  <c r="BP243"/>
  <c r="BO243"/>
  <c r="BN243"/>
  <c r="BM243"/>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s="1"/>
  <c r="AZ242" s="1"/>
  <c r="AX242"/>
  <c r="AW242"/>
  <c r="AV242"/>
  <c r="AC242"/>
  <c r="H242"/>
  <c r="BT241"/>
  <c r="BS241"/>
  <c r="BR241"/>
  <c r="BQ241"/>
  <c r="BP241"/>
  <c r="BO241"/>
  <c r="BN241"/>
  <c r="BM241"/>
  <c r="BK241"/>
  <c r="BJ241"/>
  <c r="BI241"/>
  <c r="BH241"/>
  <c r="BG241"/>
  <c r="BF241"/>
  <c r="BE241"/>
  <c r="BD241"/>
  <c r="BC241"/>
  <c r="BB241"/>
  <c r="AX241"/>
  <c r="AW241"/>
  <c r="AV241"/>
  <c r="AC241"/>
  <c r="H241"/>
  <c r="G241" s="1"/>
  <c r="BT240"/>
  <c r="BS240"/>
  <c r="BR240"/>
  <c r="BQ240"/>
  <c r="BP240"/>
  <c r="BO240"/>
  <c r="BN240"/>
  <c r="BM240"/>
  <c r="BL240" s="1"/>
  <c r="BK240"/>
  <c r="BJ240"/>
  <c r="BI240"/>
  <c r="BH240"/>
  <c r="BG240"/>
  <c r="BF240"/>
  <c r="BE240"/>
  <c r="BD240"/>
  <c r="BC240"/>
  <c r="BB240"/>
  <c r="AX240"/>
  <c r="AW240"/>
  <c r="AV240"/>
  <c r="AC240"/>
  <c r="H240"/>
  <c r="BT239"/>
  <c r="BS239"/>
  <c r="BR239"/>
  <c r="BQ239"/>
  <c r="BP239"/>
  <c r="BO239"/>
  <c r="BN239"/>
  <c r="BM239"/>
  <c r="BK239"/>
  <c r="BJ239"/>
  <c r="BI239"/>
  <c r="BH239"/>
  <c r="BG239"/>
  <c r="BF239"/>
  <c r="BE239"/>
  <c r="BD239"/>
  <c r="BC239"/>
  <c r="BB239"/>
  <c r="AX239"/>
  <c r="AW239"/>
  <c r="AV239"/>
  <c r="AC239"/>
  <c r="H239"/>
  <c r="G239" s="1"/>
  <c r="BT238"/>
  <c r="BS238"/>
  <c r="BR238"/>
  <c r="BQ238"/>
  <c r="BP238"/>
  <c r="BO238"/>
  <c r="BN238"/>
  <c r="BM238"/>
  <c r="BK238"/>
  <c r="BJ238"/>
  <c r="BI238"/>
  <c r="BH238"/>
  <c r="BG238"/>
  <c r="BF238"/>
  <c r="BE238"/>
  <c r="BD238"/>
  <c r="BC238"/>
  <c r="BB238"/>
  <c r="BA238" s="1"/>
  <c r="AX238"/>
  <c r="AW238"/>
  <c r="AV238"/>
  <c r="AC238"/>
  <c r="H238"/>
  <c r="BT237"/>
  <c r="BS237"/>
  <c r="BR237"/>
  <c r="BQ237"/>
  <c r="BP237"/>
  <c r="BO237"/>
  <c r="BN237"/>
  <c r="BM237"/>
  <c r="BL237" s="1"/>
  <c r="BK237"/>
  <c r="BJ237"/>
  <c r="BI237"/>
  <c r="BH237"/>
  <c r="BG237"/>
  <c r="BF237"/>
  <c r="BE237"/>
  <c r="BD237"/>
  <c r="BC237"/>
  <c r="BB237"/>
  <c r="AX237"/>
  <c r="AW237"/>
  <c r="AV237"/>
  <c r="AC237"/>
  <c r="H237"/>
  <c r="BT236"/>
  <c r="BS236"/>
  <c r="BR236"/>
  <c r="BQ236"/>
  <c r="BP236"/>
  <c r="BO236"/>
  <c r="BN236"/>
  <c r="BM236"/>
  <c r="BL236" s="1"/>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AX235"/>
  <c r="AW235"/>
  <c r="AV235"/>
  <c r="AC235"/>
  <c r="H235"/>
  <c r="G235" s="1"/>
  <c r="BT234"/>
  <c r="BS234"/>
  <c r="BR234"/>
  <c r="BQ234"/>
  <c r="BP234"/>
  <c r="BO234"/>
  <c r="BN234"/>
  <c r="BM234"/>
  <c r="BK234"/>
  <c r="BJ234"/>
  <c r="BI234"/>
  <c r="BH234"/>
  <c r="BG234"/>
  <c r="BF234"/>
  <c r="BE234"/>
  <c r="BD234"/>
  <c r="BC234"/>
  <c r="BB234"/>
  <c r="BA234" s="1"/>
  <c r="AX234"/>
  <c r="AW234"/>
  <c r="AV234"/>
  <c r="AC234"/>
  <c r="H234"/>
  <c r="BT233"/>
  <c r="BS233"/>
  <c r="BR233"/>
  <c r="BQ233"/>
  <c r="BP233"/>
  <c r="BO233"/>
  <c r="BN233"/>
  <c r="BM233"/>
  <c r="BL233" s="1"/>
  <c r="BK233"/>
  <c r="BJ233"/>
  <c r="BI233"/>
  <c r="BH233"/>
  <c r="BG233"/>
  <c r="BF233"/>
  <c r="BE233"/>
  <c r="BD233"/>
  <c r="BC233"/>
  <c r="BB233"/>
  <c r="AX233"/>
  <c r="AW233"/>
  <c r="AV233"/>
  <c r="AC233"/>
  <c r="H233"/>
  <c r="BT232"/>
  <c r="BS232"/>
  <c r="BR232"/>
  <c r="BQ232"/>
  <c r="BP232"/>
  <c r="BO232"/>
  <c r="BN232"/>
  <c r="BM232"/>
  <c r="BL232" s="1"/>
  <c r="BK232"/>
  <c r="BJ232"/>
  <c r="BI232"/>
  <c r="BH232"/>
  <c r="BG232"/>
  <c r="BF232"/>
  <c r="BE232"/>
  <c r="BD232"/>
  <c r="BC232"/>
  <c r="BB232"/>
  <c r="AX232"/>
  <c r="AW232"/>
  <c r="AV232"/>
  <c r="AC232"/>
  <c r="H232"/>
  <c r="BT231"/>
  <c r="BS231"/>
  <c r="BR231"/>
  <c r="BQ231"/>
  <c r="BP231"/>
  <c r="BO231"/>
  <c r="BN231"/>
  <c r="BM231"/>
  <c r="BL231" s="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AX230"/>
  <c r="AW230"/>
  <c r="AV230"/>
  <c r="AC230"/>
  <c r="H230"/>
  <c r="G230" s="1"/>
  <c r="BT229"/>
  <c r="BS229"/>
  <c r="BR229"/>
  <c r="BQ229"/>
  <c r="BP229"/>
  <c r="BO229"/>
  <c r="BN229"/>
  <c r="BM229"/>
  <c r="BL229" s="1"/>
  <c r="BK229"/>
  <c r="BJ229"/>
  <c r="BI229"/>
  <c r="BH229"/>
  <c r="BG229"/>
  <c r="BF229"/>
  <c r="BE229"/>
  <c r="BD229"/>
  <c r="BC229"/>
  <c r="BB229"/>
  <c r="AX229"/>
  <c r="AW229"/>
  <c r="AV229"/>
  <c r="AC229"/>
  <c r="H229"/>
  <c r="BT228"/>
  <c r="BS228"/>
  <c r="BR228"/>
  <c r="BQ228"/>
  <c r="BP228"/>
  <c r="BO228"/>
  <c r="BN228"/>
  <c r="BM228"/>
  <c r="BK228"/>
  <c r="BJ228"/>
  <c r="BI228"/>
  <c r="BH228"/>
  <c r="BG228"/>
  <c r="BF228"/>
  <c r="BE228"/>
  <c r="BD228"/>
  <c r="BC228"/>
  <c r="BB228"/>
  <c r="AX228"/>
  <c r="AW228"/>
  <c r="AV228"/>
  <c r="AC228"/>
  <c r="H228"/>
  <c r="G228" s="1"/>
  <c r="BT227"/>
  <c r="BS227"/>
  <c r="BR227"/>
  <c r="BQ227"/>
  <c r="BP227"/>
  <c r="BO227"/>
  <c r="BN227"/>
  <c r="BM227"/>
  <c r="BK227"/>
  <c r="BJ227"/>
  <c r="BI227"/>
  <c r="BH227"/>
  <c r="BG227"/>
  <c r="BF227"/>
  <c r="BE227"/>
  <c r="BD227"/>
  <c r="BC227"/>
  <c r="BB227"/>
  <c r="BA227" s="1"/>
  <c r="AX227"/>
  <c r="AW227"/>
  <c r="AV227"/>
  <c r="AC227"/>
  <c r="H227"/>
  <c r="G227" s="1"/>
  <c r="BT226"/>
  <c r="BS226"/>
  <c r="BR226"/>
  <c r="BQ226"/>
  <c r="BP226"/>
  <c r="BO226"/>
  <c r="BN226"/>
  <c r="BM226"/>
  <c r="BK226"/>
  <c r="BJ226"/>
  <c r="BI226"/>
  <c r="BH226"/>
  <c r="BG226"/>
  <c r="BF226"/>
  <c r="BE226"/>
  <c r="BD226"/>
  <c r="BC226"/>
  <c r="BB226"/>
  <c r="AX226"/>
  <c r="AW226"/>
  <c r="AV226"/>
  <c r="AC226"/>
  <c r="H226"/>
  <c r="G226" s="1"/>
  <c r="BT225"/>
  <c r="BS225"/>
  <c r="BR225"/>
  <c r="BQ225"/>
  <c r="BP225"/>
  <c r="BO225"/>
  <c r="BN225"/>
  <c r="BM225"/>
  <c r="BL225" s="1"/>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c r="AX224"/>
  <c r="AW224"/>
  <c r="AV224"/>
  <c r="AC224"/>
  <c r="H224"/>
  <c r="BT223"/>
  <c r="BS223"/>
  <c r="BR223"/>
  <c r="BQ223"/>
  <c r="BP223"/>
  <c r="BO223"/>
  <c r="BN223"/>
  <c r="BM223"/>
  <c r="BL223"/>
  <c r="BK223"/>
  <c r="BJ223"/>
  <c r="BI223"/>
  <c r="BH223"/>
  <c r="BG223"/>
  <c r="BF223"/>
  <c r="BE223"/>
  <c r="BD223"/>
  <c r="BC223"/>
  <c r="BB223"/>
  <c r="BA223" s="1"/>
  <c r="AX223"/>
  <c r="AW223"/>
  <c r="AV223"/>
  <c r="AC223"/>
  <c r="H223"/>
  <c r="BT222"/>
  <c r="BS222"/>
  <c r="BR222"/>
  <c r="BQ222"/>
  <c r="BP222"/>
  <c r="BO222"/>
  <c r="BN222"/>
  <c r="BM222"/>
  <c r="BL222"/>
  <c r="BK222"/>
  <c r="BJ222"/>
  <c r="BI222"/>
  <c r="BH222"/>
  <c r="BG222"/>
  <c r="BF222"/>
  <c r="BE222"/>
  <c r="BD222"/>
  <c r="BC222"/>
  <c r="BB222"/>
  <c r="BA222" s="1"/>
  <c r="AX222"/>
  <c r="AW222"/>
  <c r="AV222"/>
  <c r="AC222"/>
  <c r="H222"/>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s="1"/>
  <c r="AZ220" s="1"/>
  <c r="AX220"/>
  <c r="AW220"/>
  <c r="AV220"/>
  <c r="AC220"/>
  <c r="H220"/>
  <c r="BT219"/>
  <c r="BS219"/>
  <c r="BR219"/>
  <c r="BQ219"/>
  <c r="BP219"/>
  <c r="BO219"/>
  <c r="BN219"/>
  <c r="BM219"/>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N217"/>
  <c r="BM217"/>
  <c r="BK217"/>
  <c r="BJ217"/>
  <c r="BI217"/>
  <c r="BH217"/>
  <c r="BG217"/>
  <c r="BF217"/>
  <c r="BE217"/>
  <c r="BD217"/>
  <c r="BC217"/>
  <c r="BB217"/>
  <c r="AX217"/>
  <c r="AW217"/>
  <c r="AV217"/>
  <c r="AC217"/>
  <c r="H217"/>
  <c r="G217" s="1"/>
  <c r="BT216"/>
  <c r="BS216"/>
  <c r="BR216"/>
  <c r="BQ216"/>
  <c r="BP216"/>
  <c r="BO216"/>
  <c r="BN216"/>
  <c r="BM216"/>
  <c r="BL216" s="1"/>
  <c r="BK216"/>
  <c r="BJ216"/>
  <c r="BI216"/>
  <c r="BH216"/>
  <c r="BG216"/>
  <c r="BF216"/>
  <c r="BE216"/>
  <c r="BD216"/>
  <c r="BC216"/>
  <c r="BB216"/>
  <c r="AX216"/>
  <c r="AW216"/>
  <c r="AV216"/>
  <c r="AC216"/>
  <c r="H216"/>
  <c r="BT215"/>
  <c r="BS215"/>
  <c r="BR215"/>
  <c r="BQ215"/>
  <c r="BP215"/>
  <c r="BO215"/>
  <c r="BN215"/>
  <c r="BM215"/>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s="1"/>
  <c r="AX214"/>
  <c r="AW214"/>
  <c r="AV214"/>
  <c r="AC214"/>
  <c r="H214"/>
  <c r="BT213"/>
  <c r="BS213"/>
  <c r="BR213"/>
  <c r="BQ213"/>
  <c r="BP213"/>
  <c r="BO213"/>
  <c r="BN213"/>
  <c r="BM213"/>
  <c r="BK213"/>
  <c r="BJ213"/>
  <c r="BI213"/>
  <c r="BH213"/>
  <c r="BG213"/>
  <c r="BF213"/>
  <c r="BE213"/>
  <c r="BD213"/>
  <c r="BC213"/>
  <c r="BB213"/>
  <c r="BA213"/>
  <c r="AX213"/>
  <c r="AW213"/>
  <c r="AV213"/>
  <c r="AC213"/>
  <c r="H213"/>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s="1"/>
  <c r="AZ211" s="1"/>
  <c r="AX211"/>
  <c r="AW211"/>
  <c r="AV211"/>
  <c r="AC211"/>
  <c r="H211"/>
  <c r="BT210"/>
  <c r="BS210"/>
  <c r="BR210"/>
  <c r="BQ210"/>
  <c r="BP210"/>
  <c r="BO210"/>
  <c r="BN210"/>
  <c r="BM210"/>
  <c r="BK210"/>
  <c r="BJ210"/>
  <c r="BI210"/>
  <c r="BH210"/>
  <c r="BG210"/>
  <c r="BF210"/>
  <c r="BE210"/>
  <c r="BD210"/>
  <c r="BC210"/>
  <c r="BB210"/>
  <c r="AX210"/>
  <c r="AW210"/>
  <c r="AV210"/>
  <c r="AC210"/>
  <c r="H210"/>
  <c r="G210" s="1"/>
  <c r="BT209"/>
  <c r="BS209"/>
  <c r="BR209"/>
  <c r="BQ209"/>
  <c r="BP209"/>
  <c r="BO209"/>
  <c r="BN209"/>
  <c r="BM209"/>
  <c r="BK209"/>
  <c r="BJ209"/>
  <c r="BI209"/>
  <c r="BH209"/>
  <c r="BG209"/>
  <c r="BF209"/>
  <c r="BE209"/>
  <c r="BD209"/>
  <c r="BC209"/>
  <c r="BB209"/>
  <c r="BA209" s="1"/>
  <c r="AX209"/>
  <c r="AW209"/>
  <c r="AV209"/>
  <c r="AC209"/>
  <c r="H209"/>
  <c r="G209" s="1"/>
  <c r="BT208"/>
  <c r="BS208"/>
  <c r="BR208"/>
  <c r="BQ208"/>
  <c r="BP208"/>
  <c r="BO208"/>
  <c r="BN208"/>
  <c r="BM208"/>
  <c r="BK208"/>
  <c r="BJ208"/>
  <c r="BI208"/>
  <c r="BH208"/>
  <c r="BG208"/>
  <c r="BF208"/>
  <c r="BE208"/>
  <c r="BD208"/>
  <c r="BC208"/>
  <c r="BB208"/>
  <c r="AX208"/>
  <c r="AW208"/>
  <c r="AV208"/>
  <c r="AC208"/>
  <c r="H208"/>
  <c r="G208" s="1"/>
  <c r="BT397"/>
  <c r="BS397"/>
  <c r="BR397"/>
  <c r="BQ397"/>
  <c r="BP397"/>
  <c r="BO397"/>
  <c r="BN397"/>
  <c r="BM397"/>
  <c r="BL397" s="1"/>
  <c r="BK397"/>
  <c r="BJ397"/>
  <c r="BI397"/>
  <c r="BH397"/>
  <c r="BG397"/>
  <c r="BF397"/>
  <c r="BE397"/>
  <c r="BD397"/>
  <c r="BC397"/>
  <c r="BB397"/>
  <c r="AX397"/>
  <c r="AW397"/>
  <c r="AV397"/>
  <c r="AC397"/>
  <c r="H397"/>
  <c r="BT396"/>
  <c r="BS396"/>
  <c r="BR396"/>
  <c r="BQ396"/>
  <c r="BP396"/>
  <c r="BO396"/>
  <c r="BN396"/>
  <c r="BM396"/>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s="1"/>
  <c r="AZ395" s="1"/>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BT386"/>
  <c r="BS386"/>
  <c r="BR386"/>
  <c r="BQ386"/>
  <c r="BP386"/>
  <c r="BO386"/>
  <c r="BN386"/>
  <c r="BM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s="1"/>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AX351"/>
  <c r="AW351"/>
  <c r="AV351"/>
  <c r="AC351"/>
  <c r="H351"/>
  <c r="BT350"/>
  <c r="BS350"/>
  <c r="BR350"/>
  <c r="BQ350"/>
  <c r="BP350"/>
  <c r="BO350"/>
  <c r="BN350"/>
  <c r="BM350"/>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BA349" s="1"/>
  <c r="AX349"/>
  <c r="AW349"/>
  <c r="AV349"/>
  <c r="AC349"/>
  <c r="H349"/>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s="1"/>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BA331" s="1"/>
  <c r="AX331"/>
  <c r="AW331"/>
  <c r="AV331"/>
  <c r="AC331"/>
  <c r="H33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s="1"/>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B316"/>
  <c r="BA316" s="1"/>
  <c r="AX316"/>
  <c r="AW316"/>
  <c r="AV316"/>
  <c r="AC316"/>
  <c r="H316"/>
  <c r="BT315"/>
  <c r="BS315"/>
  <c r="BR315"/>
  <c r="BQ315"/>
  <c r="BP315"/>
  <c r="BO315"/>
  <c r="BN315"/>
  <c r="BM315"/>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B491"/>
  <c r="AX491"/>
  <c r="AW491"/>
  <c r="AV491"/>
  <c r="AC491"/>
  <c r="H491"/>
  <c r="G491" s="1"/>
  <c r="BT490"/>
  <c r="BS490"/>
  <c r="BR490"/>
  <c r="BQ490"/>
  <c r="BP490"/>
  <c r="BO490"/>
  <c r="BN490"/>
  <c r="BM490"/>
  <c r="BK490"/>
  <c r="BJ490"/>
  <c r="BI490"/>
  <c r="BH490"/>
  <c r="BG490"/>
  <c r="BF490"/>
  <c r="BE490"/>
  <c r="BD490"/>
  <c r="BC490"/>
  <c r="BB490"/>
  <c r="BA490" s="1"/>
  <c r="AX490"/>
  <c r="AW490"/>
  <c r="AV490"/>
  <c r="AC490"/>
  <c r="H490"/>
  <c r="G490" s="1"/>
  <c r="BT489"/>
  <c r="BS489"/>
  <c r="BR489"/>
  <c r="BQ489"/>
  <c r="BP489"/>
  <c r="BO489"/>
  <c r="BN489"/>
  <c r="BM489"/>
  <c r="BL489" s="1"/>
  <c r="BK489"/>
  <c r="BJ489"/>
  <c r="BI489"/>
  <c r="BH489"/>
  <c r="BG489"/>
  <c r="BF489"/>
  <c r="BE489"/>
  <c r="BD489"/>
  <c r="BC489"/>
  <c r="BB489"/>
  <c r="BA489" s="1"/>
  <c r="AX489"/>
  <c r="AW489"/>
  <c r="AV489"/>
  <c r="AC489"/>
  <c r="H489"/>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BK487"/>
  <c r="BJ487"/>
  <c r="BI487"/>
  <c r="BH487"/>
  <c r="BG487"/>
  <c r="BF487"/>
  <c r="BE487"/>
  <c r="BD487"/>
  <c r="BC487"/>
  <c r="BB487"/>
  <c r="BA487" s="1"/>
  <c r="AX487"/>
  <c r="AW487"/>
  <c r="AV487"/>
  <c r="AC487"/>
  <c r="H487"/>
  <c r="BT486"/>
  <c r="BS486"/>
  <c r="BR486"/>
  <c r="BQ486"/>
  <c r="BP486"/>
  <c r="BO486"/>
  <c r="BN486"/>
  <c r="BM486"/>
  <c r="BK486"/>
  <c r="BJ486"/>
  <c r="BI486"/>
  <c r="BH486"/>
  <c r="BG486"/>
  <c r="BF486"/>
  <c r="BE486"/>
  <c r="BD486"/>
  <c r="BC486"/>
  <c r="BB486"/>
  <c r="BA486"/>
  <c r="AX486"/>
  <c r="AW486"/>
  <c r="AV486"/>
  <c r="AC486"/>
  <c r="H486"/>
  <c r="BT485"/>
  <c r="BS485"/>
  <c r="BR485"/>
  <c r="BQ485"/>
  <c r="BP485"/>
  <c r="BO485"/>
  <c r="BN485"/>
  <c r="BM485"/>
  <c r="BL485"/>
  <c r="BK485"/>
  <c r="BJ485"/>
  <c r="BI485"/>
  <c r="BH485"/>
  <c r="BG485"/>
  <c r="BF485"/>
  <c r="BE485"/>
  <c r="BD485"/>
  <c r="BC485"/>
  <c r="BB485"/>
  <c r="BA485" s="1"/>
  <c r="AZ485" s="1"/>
  <c r="AX485"/>
  <c r="AW485"/>
  <c r="AV485"/>
  <c r="AC485"/>
  <c r="H485"/>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s="1"/>
  <c r="BK483"/>
  <c r="BJ483"/>
  <c r="BI483"/>
  <c r="BH483"/>
  <c r="BG483"/>
  <c r="BF483"/>
  <c r="BE483"/>
  <c r="BD483"/>
  <c r="BC483"/>
  <c r="BB483"/>
  <c r="AX483"/>
  <c r="AW483"/>
  <c r="AV483"/>
  <c r="AC483"/>
  <c r="H483"/>
  <c r="BT482"/>
  <c r="BS482"/>
  <c r="BR482"/>
  <c r="BQ482"/>
  <c r="BP482"/>
  <c r="BO482"/>
  <c r="BN482"/>
  <c r="BM482"/>
  <c r="BK482"/>
  <c r="BJ482"/>
  <c r="BI482"/>
  <c r="BH482"/>
  <c r="BG482"/>
  <c r="BF482"/>
  <c r="BE482"/>
  <c r="BD482"/>
  <c r="BC482"/>
  <c r="BB482"/>
  <c r="AX482"/>
  <c r="AW482"/>
  <c r="AV482"/>
  <c r="AC482"/>
  <c r="H482"/>
  <c r="G482" s="1"/>
  <c r="BT481"/>
  <c r="BS481"/>
  <c r="BR481"/>
  <c r="BQ481"/>
  <c r="BP481"/>
  <c r="BO481"/>
  <c r="BN481"/>
  <c r="BM481"/>
  <c r="BK481"/>
  <c r="BJ481"/>
  <c r="BI481"/>
  <c r="BH481"/>
  <c r="BG481"/>
  <c r="BF481"/>
  <c r="BE481"/>
  <c r="BD481"/>
  <c r="BC481"/>
  <c r="BB481"/>
  <c r="BA481" s="1"/>
  <c r="AX481"/>
  <c r="AW481"/>
  <c r="AV481"/>
  <c r="AC481"/>
  <c r="H481"/>
  <c r="G481" s="1"/>
  <c r="BT480"/>
  <c r="BS480"/>
  <c r="BR480"/>
  <c r="BQ480"/>
  <c r="BP480"/>
  <c r="BO480"/>
  <c r="BN480"/>
  <c r="BM480"/>
  <c r="BK480"/>
  <c r="BJ480"/>
  <c r="BI480"/>
  <c r="BH480"/>
  <c r="BG480"/>
  <c r="BF480"/>
  <c r="BE480"/>
  <c r="BD480"/>
  <c r="BC480"/>
  <c r="BB480"/>
  <c r="AX480"/>
  <c r="AW480"/>
  <c r="AV480"/>
  <c r="AC480"/>
  <c r="H480"/>
  <c r="G480" s="1"/>
  <c r="BT479"/>
  <c r="BS479"/>
  <c r="BR479"/>
  <c r="BQ479"/>
  <c r="BP479"/>
  <c r="BO479"/>
  <c r="BN479"/>
  <c r="BM479"/>
  <c r="BL479" s="1"/>
  <c r="BK479"/>
  <c r="BJ479"/>
  <c r="BI479"/>
  <c r="BH479"/>
  <c r="BG479"/>
  <c r="BF479"/>
  <c r="BE479"/>
  <c r="BD479"/>
  <c r="BC479"/>
  <c r="BB479"/>
  <c r="AX479"/>
  <c r="AW479"/>
  <c r="AV479"/>
  <c r="AC479"/>
  <c r="H479"/>
  <c r="BT478"/>
  <c r="BS478"/>
  <c r="BR478"/>
  <c r="BQ478"/>
  <c r="BP478"/>
  <c r="BO478"/>
  <c r="BN478"/>
  <c r="BM478"/>
  <c r="BK478"/>
  <c r="BJ478"/>
  <c r="BI478"/>
  <c r="BH478"/>
  <c r="BG478"/>
  <c r="BF478"/>
  <c r="BE478"/>
  <c r="BD478"/>
  <c r="BC478"/>
  <c r="BB478"/>
  <c r="AX478"/>
  <c r="AW478"/>
  <c r="AV478"/>
  <c r="AC478"/>
  <c r="H478"/>
  <c r="G478" s="1"/>
  <c r="BT477"/>
  <c r="BS477"/>
  <c r="BR477"/>
  <c r="BQ477"/>
  <c r="BP477"/>
  <c r="BO477"/>
  <c r="BN477"/>
  <c r="BM477"/>
  <c r="BK477"/>
  <c r="BJ477"/>
  <c r="BI477"/>
  <c r="BH477"/>
  <c r="BG477"/>
  <c r="BF477"/>
  <c r="BE477"/>
  <c r="BD477"/>
  <c r="BC477"/>
  <c r="BB477"/>
  <c r="BA477" s="1"/>
  <c r="AX477"/>
  <c r="AW477"/>
  <c r="AV477"/>
  <c r="AC477"/>
  <c r="H477"/>
  <c r="G477" s="1"/>
  <c r="BT476"/>
  <c r="BS476"/>
  <c r="BR476"/>
  <c r="BQ476"/>
  <c r="BP476"/>
  <c r="BO476"/>
  <c r="BN476"/>
  <c r="BM476"/>
  <c r="BK476"/>
  <c r="BJ476"/>
  <c r="BI476"/>
  <c r="BH476"/>
  <c r="BG476"/>
  <c r="BF476"/>
  <c r="BE476"/>
  <c r="BD476"/>
  <c r="BC476"/>
  <c r="BB476"/>
  <c r="AX476"/>
  <c r="AW476"/>
  <c r="AV476"/>
  <c r="AC476"/>
  <c r="H476"/>
  <c r="G476" s="1"/>
  <c r="BT475"/>
  <c r="BS475"/>
  <c r="BR475"/>
  <c r="BQ475"/>
  <c r="BP475"/>
  <c r="BO475"/>
  <c r="BN475"/>
  <c r="BM475"/>
  <c r="BL475" s="1"/>
  <c r="BK475"/>
  <c r="BJ475"/>
  <c r="BI475"/>
  <c r="BH475"/>
  <c r="BG475"/>
  <c r="BF475"/>
  <c r="BE475"/>
  <c r="BD475"/>
  <c r="BC475"/>
  <c r="BB475"/>
  <c r="AX475"/>
  <c r="AW475"/>
  <c r="AV475"/>
  <c r="AC475"/>
  <c r="H475"/>
  <c r="BT474"/>
  <c r="BS474"/>
  <c r="BR474"/>
  <c r="BQ474"/>
  <c r="BP474"/>
  <c r="BO474"/>
  <c r="BN474"/>
  <c r="BM474"/>
  <c r="BK474"/>
  <c r="BJ474"/>
  <c r="BI474"/>
  <c r="BH474"/>
  <c r="BG474"/>
  <c r="BF474"/>
  <c r="BE474"/>
  <c r="BD474"/>
  <c r="BC474"/>
  <c r="BB474"/>
  <c r="AX474"/>
  <c r="AW474"/>
  <c r="AV474"/>
  <c r="AC474"/>
  <c r="H474"/>
  <c r="G474" s="1"/>
  <c r="BT473"/>
  <c r="BS473"/>
  <c r="BR473"/>
  <c r="BQ473"/>
  <c r="BP473"/>
  <c r="BO473"/>
  <c r="BN473"/>
  <c r="BM473"/>
  <c r="BK473"/>
  <c r="BJ473"/>
  <c r="BI473"/>
  <c r="BH473"/>
  <c r="BG473"/>
  <c r="BF473"/>
  <c r="BE473"/>
  <c r="BD473"/>
  <c r="BC473"/>
  <c r="BB473"/>
  <c r="BA473" s="1"/>
  <c r="AX473"/>
  <c r="AW473"/>
  <c r="AV473"/>
  <c r="AC473"/>
  <c r="H473"/>
  <c r="BT472"/>
  <c r="BS472"/>
  <c r="BR472"/>
  <c r="BQ472"/>
  <c r="BP472"/>
  <c r="BO472"/>
  <c r="BN472"/>
  <c r="BM472"/>
  <c r="BL472" s="1"/>
  <c r="BK472"/>
  <c r="BJ472"/>
  <c r="BI472"/>
  <c r="BH472"/>
  <c r="BG472"/>
  <c r="BF472"/>
  <c r="BE472"/>
  <c r="BD472"/>
  <c r="BC472"/>
  <c r="BB472"/>
  <c r="AX472"/>
  <c r="AW472"/>
  <c r="AV472"/>
  <c r="AC472"/>
  <c r="H472"/>
  <c r="BT471"/>
  <c r="BS471"/>
  <c r="BR471"/>
  <c r="BQ471"/>
  <c r="BP471"/>
  <c r="BO471"/>
  <c r="BN471"/>
  <c r="BM471"/>
  <c r="BL471" s="1"/>
  <c r="BK471"/>
  <c r="BJ471"/>
  <c r="BI471"/>
  <c r="BH471"/>
  <c r="BG471"/>
  <c r="BF471"/>
  <c r="BE471"/>
  <c r="BD471"/>
  <c r="BC471"/>
  <c r="BB471"/>
  <c r="AX471"/>
  <c r="AW471"/>
  <c r="AV471"/>
  <c r="AC471"/>
  <c r="H471"/>
  <c r="BT470"/>
  <c r="BS470"/>
  <c r="BR470"/>
  <c r="BQ470"/>
  <c r="BP470"/>
  <c r="BO470"/>
  <c r="BN470"/>
  <c r="BM470"/>
  <c r="BL470" s="1"/>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AX469"/>
  <c r="AW469"/>
  <c r="AV469"/>
  <c r="AC469"/>
  <c r="H469"/>
  <c r="G469" s="1"/>
  <c r="BT468"/>
  <c r="BS468"/>
  <c r="BR468"/>
  <c r="BQ468"/>
  <c r="BP468"/>
  <c r="BO468"/>
  <c r="BN468"/>
  <c r="BM468"/>
  <c r="BK468"/>
  <c r="BJ468"/>
  <c r="BI468"/>
  <c r="BH468"/>
  <c r="BG468"/>
  <c r="BF468"/>
  <c r="BE468"/>
  <c r="BD468"/>
  <c r="BC468"/>
  <c r="BB468"/>
  <c r="BA468" s="1"/>
  <c r="AX468"/>
  <c r="AW468"/>
  <c r="AV468"/>
  <c r="AC468"/>
  <c r="H468"/>
  <c r="BT467"/>
  <c r="BS467"/>
  <c r="BR467"/>
  <c r="BQ467"/>
  <c r="BP467"/>
  <c r="BO467"/>
  <c r="BN467"/>
  <c r="BM467"/>
  <c r="BL467" s="1"/>
  <c r="BK467"/>
  <c r="BJ467"/>
  <c r="BI467"/>
  <c r="BH467"/>
  <c r="BG467"/>
  <c r="BF467"/>
  <c r="BE467"/>
  <c r="BD467"/>
  <c r="BC467"/>
  <c r="BB467"/>
  <c r="AX467"/>
  <c r="AW467"/>
  <c r="AV467"/>
  <c r="AC467"/>
  <c r="H467"/>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s="1"/>
  <c r="AX465"/>
  <c r="AW465"/>
  <c r="AV465"/>
  <c r="AC465"/>
  <c r="H465"/>
  <c r="BT464"/>
  <c r="BS464"/>
  <c r="BR464"/>
  <c r="BQ464"/>
  <c r="BP464"/>
  <c r="BO464"/>
  <c r="BN464"/>
  <c r="BM464"/>
  <c r="BK464"/>
  <c r="BJ464"/>
  <c r="BI464"/>
  <c r="BH464"/>
  <c r="BG464"/>
  <c r="BF464"/>
  <c r="BE464"/>
  <c r="BD464"/>
  <c r="BC464"/>
  <c r="BB464"/>
  <c r="AX464"/>
  <c r="AW464"/>
  <c r="AV464"/>
  <c r="AC464"/>
  <c r="H464"/>
  <c r="G464" s="1"/>
  <c r="BT463"/>
  <c r="BS463"/>
  <c r="BR463"/>
  <c r="BQ463"/>
  <c r="BP463"/>
  <c r="BO463"/>
  <c r="BN463"/>
  <c r="BM463"/>
  <c r="BL463" s="1"/>
  <c r="BK463"/>
  <c r="BJ463"/>
  <c r="BI463"/>
  <c r="BH463"/>
  <c r="BG463"/>
  <c r="BF463"/>
  <c r="BE463"/>
  <c r="BD463"/>
  <c r="BC463"/>
  <c r="BB463"/>
  <c r="AX463"/>
  <c r="AW463"/>
  <c r="AV463"/>
  <c r="AC463"/>
  <c r="H463"/>
  <c r="BT462"/>
  <c r="BS462"/>
  <c r="BR462"/>
  <c r="BQ462"/>
  <c r="BP462"/>
  <c r="BO462"/>
  <c r="BN462"/>
  <c r="BM462"/>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s="1"/>
  <c r="AZ461" s="1"/>
  <c r="AX461"/>
  <c r="AW461"/>
  <c r="AV461"/>
  <c r="AC461"/>
  <c r="H461"/>
  <c r="BT460"/>
  <c r="BS460"/>
  <c r="BR460"/>
  <c r="BQ460"/>
  <c r="BP460"/>
  <c r="BO460"/>
  <c r="BN460"/>
  <c r="BM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B459"/>
  <c r="BA459" s="1"/>
  <c r="AX459"/>
  <c r="AW459"/>
  <c r="AV459"/>
  <c r="AC459"/>
  <c r="H459"/>
  <c r="G459" s="1"/>
  <c r="BT458"/>
  <c r="BS458"/>
  <c r="BR458"/>
  <c r="BQ458"/>
  <c r="BP458"/>
  <c r="BO458"/>
  <c r="BN458"/>
  <c r="BM458"/>
  <c r="BK458"/>
  <c r="BJ458"/>
  <c r="BI458"/>
  <c r="BH458"/>
  <c r="BG458"/>
  <c r="BF458"/>
  <c r="BE458"/>
  <c r="BD458"/>
  <c r="BC458"/>
  <c r="BB458"/>
  <c r="AX458"/>
  <c r="AW458"/>
  <c r="AV458"/>
  <c r="AC458"/>
  <c r="H458"/>
  <c r="G458" s="1"/>
  <c r="BT457"/>
  <c r="BS457"/>
  <c r="BR457"/>
  <c r="BQ457"/>
  <c r="BP457"/>
  <c r="BO457"/>
  <c r="BN457"/>
  <c r="BM457"/>
  <c r="BK457"/>
  <c r="BJ457"/>
  <c r="BI457"/>
  <c r="BH457"/>
  <c r="BG457"/>
  <c r="BF457"/>
  <c r="BE457"/>
  <c r="BD457"/>
  <c r="BC457"/>
  <c r="BB457"/>
  <c r="BA457" s="1"/>
  <c r="AX457"/>
  <c r="AW457"/>
  <c r="AV457"/>
  <c r="AC457"/>
  <c r="H457"/>
  <c r="BT456"/>
  <c r="BS456"/>
  <c r="BR456"/>
  <c r="BQ456"/>
  <c r="BP456"/>
  <c r="BO456"/>
  <c r="BN456"/>
  <c r="BM456"/>
  <c r="BL456" s="1"/>
  <c r="BK456"/>
  <c r="BJ456"/>
  <c r="BI456"/>
  <c r="BH456"/>
  <c r="BG456"/>
  <c r="BF456"/>
  <c r="BE456"/>
  <c r="BD456"/>
  <c r="BC456"/>
  <c r="BB456"/>
  <c r="AX456"/>
  <c r="AW456"/>
  <c r="AV456"/>
  <c r="AC456"/>
  <c r="H456"/>
  <c r="BT455"/>
  <c r="BS455"/>
  <c r="BR455"/>
  <c r="BQ455"/>
  <c r="BP455"/>
  <c r="BO455"/>
  <c r="BN455"/>
  <c r="BM455"/>
  <c r="BL455" s="1"/>
  <c r="BK455"/>
  <c r="BJ455"/>
  <c r="BI455"/>
  <c r="BH455"/>
  <c r="BG455"/>
  <c r="BF455"/>
  <c r="BE455"/>
  <c r="BD455"/>
  <c r="BC455"/>
  <c r="BB455"/>
  <c r="AX455"/>
  <c r="AW455"/>
  <c r="AV455"/>
  <c r="AC455"/>
  <c r="H455"/>
  <c r="G455" s="1"/>
  <c r="BT454"/>
  <c r="BS454"/>
  <c r="BR454"/>
  <c r="BQ454"/>
  <c r="BP454"/>
  <c r="BO454"/>
  <c r="BN454"/>
  <c r="BM454"/>
  <c r="BK454"/>
  <c r="BJ454"/>
  <c r="BI454"/>
  <c r="BH454"/>
  <c r="BG454"/>
  <c r="BF454"/>
  <c r="BE454"/>
  <c r="BD454"/>
  <c r="BC454"/>
  <c r="BB454"/>
  <c r="AX454"/>
  <c r="AW454"/>
  <c r="AV454"/>
  <c r="AC454"/>
  <c r="H454"/>
  <c r="G454" s="1"/>
  <c r="BT453"/>
  <c r="BS453"/>
  <c r="BR453"/>
  <c r="BQ453"/>
  <c r="BP453"/>
  <c r="BO453"/>
  <c r="BN453"/>
  <c r="BM453"/>
  <c r="BK453"/>
  <c r="BJ453"/>
  <c r="BI453"/>
  <c r="BH453"/>
  <c r="BG453"/>
  <c r="BF453"/>
  <c r="BE453"/>
  <c r="BD453"/>
  <c r="BC453"/>
  <c r="BB453"/>
  <c r="BA453" s="1"/>
  <c r="AX453"/>
  <c r="AW453"/>
  <c r="AV453"/>
  <c r="AC453"/>
  <c r="H453"/>
  <c r="BT452"/>
  <c r="BS452"/>
  <c r="BR452"/>
  <c r="BQ452"/>
  <c r="BP452"/>
  <c r="BO452"/>
  <c r="BN452"/>
  <c r="BM452"/>
  <c r="BL452" s="1"/>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AX451"/>
  <c r="AW451"/>
  <c r="AV451"/>
  <c r="AC451"/>
  <c r="H451"/>
  <c r="G451" s="1"/>
  <c r="BT450"/>
  <c r="BS450"/>
  <c r="BR450"/>
  <c r="BQ450"/>
  <c r="BP450"/>
  <c r="BO450"/>
  <c r="BN450"/>
  <c r="BM450"/>
  <c r="BK450"/>
  <c r="BJ450"/>
  <c r="BI450"/>
  <c r="BH450"/>
  <c r="BG450"/>
  <c r="BF450"/>
  <c r="BE450"/>
  <c r="BD450"/>
  <c r="BC450"/>
  <c r="BB450"/>
  <c r="BA450" s="1"/>
  <c r="AX450"/>
  <c r="AW450"/>
  <c r="AV450"/>
  <c r="AC450"/>
  <c r="H450"/>
  <c r="G450" s="1"/>
  <c r="BT449"/>
  <c r="BS449"/>
  <c r="BR449"/>
  <c r="BQ449"/>
  <c r="BP449"/>
  <c r="BO449"/>
  <c r="BN449"/>
  <c r="BM449"/>
  <c r="BK449"/>
  <c r="BJ449"/>
  <c r="BI449"/>
  <c r="BH449"/>
  <c r="BG449"/>
  <c r="BF449"/>
  <c r="BE449"/>
  <c r="BD449"/>
  <c r="BC449"/>
  <c r="BB449"/>
  <c r="AX449"/>
  <c r="AW449"/>
  <c r="AV449"/>
  <c r="AC449"/>
  <c r="H449"/>
  <c r="G449" s="1"/>
  <c r="BT448"/>
  <c r="BS448"/>
  <c r="BR448"/>
  <c r="BQ448"/>
  <c r="BP448"/>
  <c r="BO448"/>
  <c r="BN448"/>
  <c r="BM448"/>
  <c r="BL448" s="1"/>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B447"/>
  <c r="AX447"/>
  <c r="AW447"/>
  <c r="AV447"/>
  <c r="AC447"/>
  <c r="H447"/>
  <c r="G447" s="1"/>
  <c r="BT446"/>
  <c r="BS446"/>
  <c r="BR446"/>
  <c r="BQ446"/>
  <c r="BP446"/>
  <c r="BO446"/>
  <c r="BN446"/>
  <c r="BM446"/>
  <c r="BK446"/>
  <c r="BJ446"/>
  <c r="BI446"/>
  <c r="BH446"/>
  <c r="BG446"/>
  <c r="BF446"/>
  <c r="BE446"/>
  <c r="BD446"/>
  <c r="BC446"/>
  <c r="BB446"/>
  <c r="BA446" s="1"/>
  <c r="AX446"/>
  <c r="AW446"/>
  <c r="AV446"/>
  <c r="AC446"/>
  <c r="H446"/>
  <c r="G446" s="1"/>
  <c r="BT445"/>
  <c r="BS445"/>
  <c r="BR445"/>
  <c r="BQ445"/>
  <c r="BP445"/>
  <c r="BO445"/>
  <c r="BN445"/>
  <c r="BM445"/>
  <c r="BK445"/>
  <c r="BJ445"/>
  <c r="BI445"/>
  <c r="BH445"/>
  <c r="BG445"/>
  <c r="BF445"/>
  <c r="BE445"/>
  <c r="BD445"/>
  <c r="BC445"/>
  <c r="BB445"/>
  <c r="AX445"/>
  <c r="AW445"/>
  <c r="AV445"/>
  <c r="AC445"/>
  <c r="H445"/>
  <c r="G445" s="1"/>
  <c r="BT444"/>
  <c r="BS444"/>
  <c r="BR444"/>
  <c r="BQ444"/>
  <c r="BP444"/>
  <c r="BO444"/>
  <c r="BN444"/>
  <c r="BM444"/>
  <c r="BL444" s="1"/>
  <c r="BK444"/>
  <c r="BJ444"/>
  <c r="BI444"/>
  <c r="BH444"/>
  <c r="BG444"/>
  <c r="BF444"/>
  <c r="BE444"/>
  <c r="BD444"/>
  <c r="BC444"/>
  <c r="BB444"/>
  <c r="AX444"/>
  <c r="AW444"/>
  <c r="AV444"/>
  <c r="AC444"/>
  <c r="H444"/>
  <c r="BT443"/>
  <c r="BS443"/>
  <c r="BR443"/>
  <c r="BQ443"/>
  <c r="BP443"/>
  <c r="BO443"/>
  <c r="BN443"/>
  <c r="BM443"/>
  <c r="BK443"/>
  <c r="BJ443"/>
  <c r="BI443"/>
  <c r="BH443"/>
  <c r="BG443"/>
  <c r="BF443"/>
  <c r="BE443"/>
  <c r="BD443"/>
  <c r="BC443"/>
  <c r="BB443"/>
  <c r="BA443"/>
  <c r="AX443"/>
  <c r="AW443"/>
  <c r="AV443"/>
  <c r="AC443"/>
  <c r="H443"/>
  <c r="G443"/>
  <c r="BT442"/>
  <c r="BS442"/>
  <c r="BR442"/>
  <c r="BQ442"/>
  <c r="BP442"/>
  <c r="BO442"/>
  <c r="BN442"/>
  <c r="BM442"/>
  <c r="BL442" s="1"/>
  <c r="BK442"/>
  <c r="BJ442"/>
  <c r="BI442"/>
  <c r="BH442"/>
  <c r="BG442"/>
  <c r="BF442"/>
  <c r="BE442"/>
  <c r="BD442"/>
  <c r="BC442"/>
  <c r="BB442"/>
  <c r="BA442" s="1"/>
  <c r="AX442"/>
  <c r="AW442"/>
  <c r="AV442"/>
  <c r="AC442"/>
  <c r="H442"/>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M440"/>
  <c r="BL440"/>
  <c r="BK440"/>
  <c r="BJ440"/>
  <c r="BI440"/>
  <c r="BH440"/>
  <c r="BG440"/>
  <c r="BF440"/>
  <c r="BE440"/>
  <c r="BD440"/>
  <c r="BC440"/>
  <c r="BB440"/>
  <c r="BA440" s="1"/>
  <c r="AZ440" s="1"/>
  <c r="AX440"/>
  <c r="AW440"/>
  <c r="AV440"/>
  <c r="AC440"/>
  <c r="H440"/>
  <c r="BT439"/>
  <c r="BS439"/>
  <c r="BR439"/>
  <c r="BQ439"/>
  <c r="BP439"/>
  <c r="BO439"/>
  <c r="BN439"/>
  <c r="BM439"/>
  <c r="BL439"/>
  <c r="BK439"/>
  <c r="BJ439"/>
  <c r="BI439"/>
  <c r="BH439"/>
  <c r="BG439"/>
  <c r="BF439"/>
  <c r="BE439"/>
  <c r="BD439"/>
  <c r="BC439"/>
  <c r="BB439"/>
  <c r="BA439" s="1"/>
  <c r="AZ439" s="1"/>
  <c r="AX439"/>
  <c r="AW439"/>
  <c r="AV439"/>
  <c r="AC439"/>
  <c r="H439"/>
  <c r="BT438"/>
  <c r="BS438"/>
  <c r="BR438"/>
  <c r="BQ438"/>
  <c r="BP438"/>
  <c r="BO438"/>
  <c r="BN438"/>
  <c r="BM438"/>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s="1"/>
  <c r="AX437"/>
  <c r="AW437"/>
  <c r="AV437"/>
  <c r="AC437"/>
  <c r="H437"/>
  <c r="BT436"/>
  <c r="BS436"/>
  <c r="BR436"/>
  <c r="BQ436"/>
  <c r="BP436"/>
  <c r="BO436"/>
  <c r="BN436"/>
  <c r="BM436"/>
  <c r="BK436"/>
  <c r="BJ436"/>
  <c r="BI436"/>
  <c r="BH436"/>
  <c r="BG436"/>
  <c r="BF436"/>
  <c r="BE436"/>
  <c r="BD436"/>
  <c r="BC436"/>
  <c r="BB436"/>
  <c r="AX436"/>
  <c r="AW436"/>
  <c r="AV436"/>
  <c r="AC436"/>
  <c r="H436"/>
  <c r="G436" s="1"/>
  <c r="BT435"/>
  <c r="BS435"/>
  <c r="BR435"/>
  <c r="BQ435"/>
  <c r="BP435"/>
  <c r="BO435"/>
  <c r="BN435"/>
  <c r="BM435"/>
  <c r="BK435"/>
  <c r="BJ435"/>
  <c r="BI435"/>
  <c r="BH435"/>
  <c r="BG435"/>
  <c r="BF435"/>
  <c r="BE435"/>
  <c r="BD435"/>
  <c r="BC435"/>
  <c r="BB435"/>
  <c r="BA435" s="1"/>
  <c r="AX435"/>
  <c r="AW435"/>
  <c r="AV435"/>
  <c r="AC435"/>
  <c r="H435"/>
  <c r="G435" s="1"/>
  <c r="BT434"/>
  <c r="BS434"/>
  <c r="BR434"/>
  <c r="BQ434"/>
  <c r="BP434"/>
  <c r="BO434"/>
  <c r="BN434"/>
  <c r="BM434"/>
  <c r="BK434"/>
  <c r="BJ434"/>
  <c r="BI434"/>
  <c r="BH434"/>
  <c r="BG434"/>
  <c r="BF434"/>
  <c r="BE434"/>
  <c r="BD434"/>
  <c r="BC434"/>
  <c r="BB434"/>
  <c r="AX434"/>
  <c r="AW434"/>
  <c r="AV434"/>
  <c r="AC434"/>
  <c r="H434"/>
  <c r="G434" s="1"/>
  <c r="BT433"/>
  <c r="BS433"/>
  <c r="BR433"/>
  <c r="BQ433"/>
  <c r="BP433"/>
  <c r="BO433"/>
  <c r="BN433"/>
  <c r="BM433"/>
  <c r="BK433"/>
  <c r="BJ433"/>
  <c r="BI433"/>
  <c r="BH433"/>
  <c r="BG433"/>
  <c r="BF433"/>
  <c r="BE433"/>
  <c r="BD433"/>
  <c r="BC433"/>
  <c r="BB433"/>
  <c r="BA433" s="1"/>
  <c r="AX433"/>
  <c r="AW433"/>
  <c r="AV433"/>
  <c r="AC433"/>
  <c r="H433"/>
  <c r="BT432"/>
  <c r="BS432"/>
  <c r="BR432"/>
  <c r="BQ432"/>
  <c r="BP432"/>
  <c r="BO432"/>
  <c r="BN432"/>
  <c r="BM432"/>
  <c r="BL432" s="1"/>
  <c r="BK432"/>
  <c r="BJ432"/>
  <c r="BI432"/>
  <c r="BH432"/>
  <c r="BG432"/>
  <c r="BF432"/>
  <c r="BE432"/>
  <c r="BD432"/>
  <c r="BC432"/>
  <c r="BB432"/>
  <c r="AX432"/>
  <c r="AW432"/>
  <c r="AV432"/>
  <c r="AC432"/>
  <c r="H432"/>
  <c r="G432" s="1"/>
  <c r="BT431"/>
  <c r="BS431"/>
  <c r="BR431"/>
  <c r="BQ431"/>
  <c r="BP431"/>
  <c r="BO431"/>
  <c r="BN431"/>
  <c r="BM431"/>
  <c r="BK431"/>
  <c r="BJ431"/>
  <c r="BI431"/>
  <c r="BH431"/>
  <c r="BG431"/>
  <c r="BF431"/>
  <c r="BE431"/>
  <c r="BD431"/>
  <c r="BC431"/>
  <c r="BB431"/>
  <c r="AX431"/>
  <c r="AW431"/>
  <c r="AV431"/>
  <c r="AC431"/>
  <c r="H431"/>
  <c r="G431" s="1"/>
  <c r="BT430"/>
  <c r="BS430"/>
  <c r="BR430"/>
  <c r="BQ430"/>
  <c r="BP430"/>
  <c r="BO430"/>
  <c r="BN430"/>
  <c r="BM430"/>
  <c r="BL430" s="1"/>
  <c r="BK430"/>
  <c r="BJ430"/>
  <c r="BI430"/>
  <c r="BH430"/>
  <c r="BG430"/>
  <c r="BF430"/>
  <c r="BE430"/>
  <c r="BD430"/>
  <c r="BC430"/>
  <c r="BB430"/>
  <c r="AX430"/>
  <c r="AW430"/>
  <c r="AV430"/>
  <c r="AC430"/>
  <c r="H430"/>
  <c r="BT429"/>
  <c r="BS429"/>
  <c r="BR429"/>
  <c r="BQ429"/>
  <c r="BP429"/>
  <c r="BO429"/>
  <c r="BN429"/>
  <c r="BM429"/>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s="1"/>
  <c r="AX428"/>
  <c r="AW428"/>
  <c r="AV428"/>
  <c r="AC428"/>
  <c r="H428"/>
  <c r="BT427"/>
  <c r="BS427"/>
  <c r="BR427"/>
  <c r="BQ427"/>
  <c r="BP427"/>
  <c r="BO427"/>
  <c r="BN427"/>
  <c r="BM427"/>
  <c r="BL427" s="1"/>
  <c r="BK427"/>
  <c r="BJ427"/>
  <c r="BI427"/>
  <c r="BH427"/>
  <c r="BG427"/>
  <c r="BF427"/>
  <c r="BE427"/>
  <c r="BD427"/>
  <c r="BC427"/>
  <c r="BB427"/>
  <c r="AX427"/>
  <c r="AW427"/>
  <c r="AV427"/>
  <c r="AC427"/>
  <c r="H427"/>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L424" s="1"/>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s="1"/>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s="1"/>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Z415" s="1"/>
  <c r="AX415"/>
  <c r="AW415"/>
  <c r="AV415"/>
  <c r="AC415"/>
  <c r="H415"/>
  <c r="BT414"/>
  <c r="BS414"/>
  <c r="BR414"/>
  <c r="BQ414"/>
  <c r="BP414"/>
  <c r="BO414"/>
  <c r="BN414"/>
  <c r="BM414"/>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BA412"/>
  <c r="AX412"/>
  <c r="AW412"/>
  <c r="AV412"/>
  <c r="AC412"/>
  <c r="H412"/>
  <c r="BT411"/>
  <c r="BS411"/>
  <c r="BR411"/>
  <c r="BQ411"/>
  <c r="BP411"/>
  <c r="BO411"/>
  <c r="BN411"/>
  <c r="BM411"/>
  <c r="BL411"/>
  <c r="BK411"/>
  <c r="BJ411"/>
  <c r="BI411"/>
  <c r="BH411"/>
  <c r="BG411"/>
  <c r="BF411"/>
  <c r="BE411"/>
  <c r="BD411"/>
  <c r="BC411"/>
  <c r="BB411"/>
  <c r="BA411" s="1"/>
  <c r="AZ411" s="1"/>
  <c r="AX411"/>
  <c r="AW411"/>
  <c r="AV411"/>
  <c r="AC411"/>
  <c r="H411"/>
  <c r="BT410"/>
  <c r="BS410"/>
  <c r="BR410"/>
  <c r="BQ410"/>
  <c r="BP410"/>
  <c r="BO410"/>
  <c r="BN410"/>
  <c r="BM410"/>
  <c r="BL410"/>
  <c r="BK410"/>
  <c r="BJ410"/>
  <c r="BI410"/>
  <c r="BH410"/>
  <c r="BG410"/>
  <c r="BF410"/>
  <c r="BE410"/>
  <c r="BD410"/>
  <c r="BC410"/>
  <c r="BB410"/>
  <c r="BA410" s="1"/>
  <c r="AZ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BT407"/>
  <c r="BS407"/>
  <c r="BR407"/>
  <c r="BQ407"/>
  <c r="BP407"/>
  <c r="BO407"/>
  <c r="BN407"/>
  <c r="BM407"/>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s="1"/>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s="1"/>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BA403" s="1"/>
  <c r="AX403"/>
  <c r="AW403"/>
  <c r="AV403"/>
  <c r="AC403"/>
  <c r="H403"/>
  <c r="G403" s="1"/>
  <c r="BT402"/>
  <c r="BS402"/>
  <c r="BR402"/>
  <c r="BQ402"/>
  <c r="BP402"/>
  <c r="BO402"/>
  <c r="BN402"/>
  <c r="BM402"/>
  <c r="BK402"/>
  <c r="BJ402"/>
  <c r="BI402"/>
  <c r="BH402"/>
  <c r="BG402"/>
  <c r="BF402"/>
  <c r="BE402"/>
  <c r="BD402"/>
  <c r="BC402"/>
  <c r="BB402"/>
  <c r="AX402"/>
  <c r="AW402"/>
  <c r="AV402"/>
  <c r="AC402"/>
  <c r="H402"/>
  <c r="G402" s="1"/>
  <c r="BT401"/>
  <c r="BS401"/>
  <c r="BR401"/>
  <c r="BQ401"/>
  <c r="BP401"/>
  <c r="BO401"/>
  <c r="BN401"/>
  <c r="BM401"/>
  <c r="BK401"/>
  <c r="BJ401"/>
  <c r="BI401"/>
  <c r="BH401"/>
  <c r="BG401"/>
  <c r="BF401"/>
  <c r="BE401"/>
  <c r="BD401"/>
  <c r="BC401"/>
  <c r="BB401"/>
  <c r="BA401" s="1"/>
  <c r="AX401"/>
  <c r="AW401"/>
  <c r="AV401"/>
  <c r="AC401"/>
  <c r="H40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AX399"/>
  <c r="AW399"/>
  <c r="AV399"/>
  <c r="AC399"/>
  <c r="H399"/>
  <c r="G399" s="1"/>
  <c r="BT398"/>
  <c r="BS398"/>
  <c r="BR398"/>
  <c r="BQ398"/>
  <c r="BP398"/>
  <c r="BO398"/>
  <c r="BN398"/>
  <c r="BM398"/>
  <c r="BL398" s="1"/>
  <c r="BK398"/>
  <c r="BJ398"/>
  <c r="BI398"/>
  <c r="BH398"/>
  <c r="BG398"/>
  <c r="BF398"/>
  <c r="BE398"/>
  <c r="BD398"/>
  <c r="BC398"/>
  <c r="BB398"/>
  <c r="AX398"/>
  <c r="AW398"/>
  <c r="AV398"/>
  <c r="AC398"/>
  <c r="H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33" i="31"/>
  <c r="S33" s="1"/>
  <c r="R34"/>
  <c r="R35"/>
  <c r="R36"/>
  <c r="R37"/>
  <c r="R38"/>
  <c r="R39"/>
  <c r="R40"/>
  <c r="R41"/>
  <c r="S41" s="1"/>
  <c r="R42"/>
  <c r="R43"/>
  <c r="S43" s="1"/>
  <c r="R44"/>
  <c r="R45"/>
  <c r="S45" s="1"/>
  <c r="R46"/>
  <c r="R47"/>
  <c r="S47" s="1"/>
  <c r="R48"/>
  <c r="R49"/>
  <c r="S49" s="1"/>
  <c r="R50"/>
  <c r="R51"/>
  <c r="S51" s="1"/>
  <c r="R52"/>
  <c r="R53"/>
  <c r="S53" s="1"/>
  <c r="R54"/>
  <c r="R55"/>
  <c r="S55" s="1"/>
  <c r="R56"/>
  <c r="R57"/>
  <c r="S57" s="1"/>
  <c r="R58"/>
  <c r="R59"/>
  <c r="S59" s="1"/>
  <c r="R60"/>
  <c r="R61"/>
  <c r="S61" s="1"/>
  <c r="R62"/>
  <c r="R63"/>
  <c r="S63" s="1"/>
  <c r="R64"/>
  <c r="R65"/>
  <c r="S65" s="1"/>
  <c r="R66"/>
  <c r="R67"/>
  <c r="S67" s="1"/>
  <c r="R68"/>
  <c r="R69"/>
  <c r="S69" s="1"/>
  <c r="R70"/>
  <c r="R71"/>
  <c r="S71" s="1"/>
  <c r="R72"/>
  <c r="R73"/>
  <c r="S73" s="1"/>
  <c r="R74"/>
  <c r="R75"/>
  <c r="S75" s="1"/>
  <c r="R76"/>
  <c r="R77"/>
  <c r="S77" s="1"/>
  <c r="R78"/>
  <c r="R79"/>
  <c r="S79" s="1"/>
  <c r="R80"/>
  <c r="R81"/>
  <c r="S81" s="1"/>
  <c r="R82"/>
  <c r="R83"/>
  <c r="S83" s="1"/>
  <c r="R84"/>
  <c r="R85"/>
  <c r="S85" s="1"/>
  <c r="R86"/>
  <c r="R87"/>
  <c r="S87" s="1"/>
  <c r="R88"/>
  <c r="R89"/>
  <c r="S89" s="1"/>
  <c r="R90"/>
  <c r="R91"/>
  <c r="S91" s="1"/>
  <c r="R92"/>
  <c r="R93"/>
  <c r="S93" s="1"/>
  <c r="R94"/>
  <c r="R95"/>
  <c r="S95" s="1"/>
  <c r="R96"/>
  <c r="R97"/>
  <c r="S97" s="1"/>
  <c r="R98"/>
  <c r="R99"/>
  <c r="R100"/>
  <c r="R101"/>
  <c r="R102"/>
  <c r="R103"/>
  <c r="R104"/>
  <c r="R105"/>
  <c r="R106"/>
  <c r="R107"/>
  <c r="R108"/>
  <c r="R109"/>
  <c r="R110"/>
  <c r="R111"/>
  <c r="R112"/>
  <c r="R113"/>
  <c r="R114"/>
  <c r="R115"/>
  <c r="R116"/>
  <c r="R117"/>
  <c r="R118"/>
  <c r="R119"/>
  <c r="R120"/>
  <c r="R121"/>
  <c r="R122"/>
  <c r="R123"/>
  <c r="S123" s="1"/>
  <c r="R124"/>
  <c r="R125"/>
  <c r="S125" s="1"/>
  <c r="R126"/>
  <c r="R127"/>
  <c r="S127" s="1"/>
  <c r="R128"/>
  <c r="R129"/>
  <c r="S129" s="1"/>
  <c r="R130"/>
  <c r="R131"/>
  <c r="S131" s="1"/>
  <c r="R132"/>
  <c r="R133"/>
  <c r="S133" s="1"/>
  <c r="R134"/>
  <c r="R135"/>
  <c r="S135" s="1"/>
  <c r="R136"/>
  <c r="R137"/>
  <c r="S137" s="1"/>
  <c r="R138"/>
  <c r="R139"/>
  <c r="S139" s="1"/>
  <c r="R140"/>
  <c r="R141"/>
  <c r="S141" s="1"/>
  <c r="R142"/>
  <c r="R143"/>
  <c r="S143" s="1"/>
  <c r="R144"/>
  <c r="S144" s="1"/>
  <c r="R145"/>
  <c r="S145" s="1"/>
  <c r="R146"/>
  <c r="S146" s="1"/>
  <c r="R147"/>
  <c r="R148"/>
  <c r="S148" s="1"/>
  <c r="R149"/>
  <c r="S149" s="1"/>
  <c r="R150"/>
  <c r="S150" s="1"/>
  <c r="R151"/>
  <c r="S151" s="1"/>
  <c r="R152"/>
  <c r="S152" s="1"/>
  <c r="R153"/>
  <c r="S153" s="1"/>
  <c r="R154"/>
  <c r="S154" s="1"/>
  <c r="R155"/>
  <c r="S155" s="1"/>
  <c r="R156"/>
  <c r="S156" s="1"/>
  <c r="R157"/>
  <c r="S157" s="1"/>
  <c r="R158"/>
  <c r="S158" s="1"/>
  <c r="R159"/>
  <c r="S159" s="1"/>
  <c r="R160"/>
  <c r="S160" s="1"/>
  <c r="R161"/>
  <c r="S161" s="1"/>
  <c r="R162"/>
  <c r="S162" s="1"/>
  <c r="R163"/>
  <c r="R164"/>
  <c r="S164" s="1"/>
  <c r="R165"/>
  <c r="S165" s="1"/>
  <c r="R166"/>
  <c r="S166" s="1"/>
  <c r="R167"/>
  <c r="S167" s="1"/>
  <c r="R168"/>
  <c r="S168" s="1"/>
  <c r="R169"/>
  <c r="S169" s="1"/>
  <c r="R170"/>
  <c r="S170" s="1"/>
  <c r="R171"/>
  <c r="S171" s="1"/>
  <c r="R172"/>
  <c r="S172" s="1"/>
  <c r="R173"/>
  <c r="S173" s="1"/>
  <c r="R174"/>
  <c r="S174" s="1"/>
  <c r="R175"/>
  <c r="S175" s="1"/>
  <c r="R176"/>
  <c r="S176" s="1"/>
  <c r="R177"/>
  <c r="S177" s="1"/>
  <c r="R178"/>
  <c r="S178" s="1"/>
  <c r="R179"/>
  <c r="R180"/>
  <c r="S180" s="1"/>
  <c r="R181"/>
  <c r="S181" s="1"/>
  <c r="R182"/>
  <c r="S182" s="1"/>
  <c r="R183"/>
  <c r="S183" s="1"/>
  <c r="R184"/>
  <c r="S184" s="1"/>
  <c r="R185"/>
  <c r="S185" s="1"/>
  <c r="R186"/>
  <c r="S186" s="1"/>
  <c r="R187"/>
  <c r="S187" s="1"/>
  <c r="R188"/>
  <c r="S188" s="1"/>
  <c r="R189"/>
  <c r="S189" s="1"/>
  <c r="R190"/>
  <c r="S190" s="1"/>
  <c r="R191"/>
  <c r="S191" s="1"/>
  <c r="R192"/>
  <c r="S192" s="1"/>
  <c r="R193"/>
  <c r="S193" s="1"/>
  <c r="R194"/>
  <c r="S194" s="1"/>
  <c r="R195"/>
  <c r="R196"/>
  <c r="S196" s="1"/>
  <c r="R197"/>
  <c r="S197" s="1"/>
  <c r="R198"/>
  <c r="S198" s="1"/>
  <c r="R199"/>
  <c r="S199" s="1"/>
  <c r="R200"/>
  <c r="S200" s="1"/>
  <c r="R201"/>
  <c r="S201" s="1"/>
  <c r="R202"/>
  <c r="S202" s="1"/>
  <c r="R203"/>
  <c r="S203" s="1"/>
  <c r="R204"/>
  <c r="S204" s="1"/>
  <c r="R205"/>
  <c r="S205" s="1"/>
  <c r="R206"/>
  <c r="S206" s="1"/>
  <c r="R207"/>
  <c r="S207" s="1"/>
  <c r="R208"/>
  <c r="S208" s="1"/>
  <c r="R209"/>
  <c r="S209" s="1"/>
  <c r="R210"/>
  <c r="S210" s="1"/>
  <c r="R211"/>
  <c r="R212"/>
  <c r="S212" s="1"/>
  <c r="R213"/>
  <c r="S213" s="1"/>
  <c r="R214"/>
  <c r="S214" s="1"/>
  <c r="R215"/>
  <c r="S215" s="1"/>
  <c r="R216"/>
  <c r="S216" s="1"/>
  <c r="R217"/>
  <c r="S217" s="1"/>
  <c r="R218"/>
  <c r="S218" s="1"/>
  <c r="R219"/>
  <c r="S219" s="1"/>
  <c r="R220"/>
  <c r="S220" s="1"/>
  <c r="R221"/>
  <c r="S221" s="1"/>
  <c r="R222"/>
  <c r="S222" s="1"/>
  <c r="R223"/>
  <c r="S223" s="1"/>
  <c r="R224"/>
  <c r="R225"/>
  <c r="S225" s="1"/>
  <c r="R226"/>
  <c r="R227"/>
  <c r="S227" s="1"/>
  <c r="R228"/>
  <c r="R229"/>
  <c r="S229" s="1"/>
  <c r="R230"/>
  <c r="R231"/>
  <c r="S231" s="1"/>
  <c r="R232"/>
  <c r="R233"/>
  <c r="S233" s="1"/>
  <c r="R234"/>
  <c r="R235"/>
  <c r="S235" s="1"/>
  <c r="R236"/>
  <c r="R237"/>
  <c r="S237" s="1"/>
  <c r="R238"/>
  <c r="R239"/>
  <c r="S239" s="1"/>
  <c r="R240"/>
  <c r="R241"/>
  <c r="S241" s="1"/>
  <c r="R242"/>
  <c r="R243"/>
  <c r="S243" s="1"/>
  <c r="R244"/>
  <c r="R245"/>
  <c r="S245" s="1"/>
  <c r="R246"/>
  <c r="R247"/>
  <c r="S247" s="1"/>
  <c r="R248"/>
  <c r="R249"/>
  <c r="S249" s="1"/>
  <c r="R250"/>
  <c r="R251"/>
  <c r="S251" s="1"/>
  <c r="R252"/>
  <c r="R253"/>
  <c r="S253" s="1"/>
  <c r="R254"/>
  <c r="R255"/>
  <c r="S255" s="1"/>
  <c r="R256"/>
  <c r="S256" s="1"/>
  <c r="R257"/>
  <c r="S257" s="1"/>
  <c r="R258"/>
  <c r="R259"/>
  <c r="S259" s="1"/>
  <c r="R260"/>
  <c r="S260" s="1"/>
  <c r="R261"/>
  <c r="S261" s="1"/>
  <c r="R262"/>
  <c r="R263"/>
  <c r="S263" s="1"/>
  <c r="R264"/>
  <c r="S264" s="1"/>
  <c r="R265"/>
  <c r="S265" s="1"/>
  <c r="R266"/>
  <c r="R267"/>
  <c r="S267" s="1"/>
  <c r="R268"/>
  <c r="S268" s="1"/>
  <c r="R269"/>
  <c r="S269" s="1"/>
  <c r="R270"/>
  <c r="R271"/>
  <c r="S271" s="1"/>
  <c r="R272"/>
  <c r="S272" s="1"/>
  <c r="R273"/>
  <c r="S273" s="1"/>
  <c r="R274"/>
  <c r="R275"/>
  <c r="S275" s="1"/>
  <c r="R276"/>
  <c r="S276" s="1"/>
  <c r="R277"/>
  <c r="S277" s="1"/>
  <c r="R278"/>
  <c r="R279"/>
  <c r="S279" s="1"/>
  <c r="R280"/>
  <c r="S280" s="1"/>
  <c r="R281"/>
  <c r="S281" s="1"/>
  <c r="R282"/>
  <c r="R283"/>
  <c r="S283" s="1"/>
  <c r="R284"/>
  <c r="S284" s="1"/>
  <c r="R285"/>
  <c r="S285" s="1"/>
  <c r="R286"/>
  <c r="R287"/>
  <c r="S287" s="1"/>
  <c r="R288"/>
  <c r="S288" s="1"/>
  <c r="R289"/>
  <c r="S289" s="1"/>
  <c r="R290"/>
  <c r="R291"/>
  <c r="S291" s="1"/>
  <c r="R292"/>
  <c r="S292" s="1"/>
  <c r="R293"/>
  <c r="S293" s="1"/>
  <c r="R294"/>
  <c r="R295"/>
  <c r="S295" s="1"/>
  <c r="R296"/>
  <c r="S296" s="1"/>
  <c r="R297"/>
  <c r="S297" s="1"/>
  <c r="R298"/>
  <c r="R299"/>
  <c r="S299" s="1"/>
  <c r="R300"/>
  <c r="S300" s="1"/>
  <c r="R301"/>
  <c r="S301" s="1"/>
  <c r="R302"/>
  <c r="R303"/>
  <c r="S303" s="1"/>
  <c r="R304"/>
  <c r="S304" s="1"/>
  <c r="R305"/>
  <c r="S305" s="1"/>
  <c r="R306"/>
  <c r="R307"/>
  <c r="S307" s="1"/>
  <c r="R308"/>
  <c r="S308" s="1"/>
  <c r="R309"/>
  <c r="S309" s="1"/>
  <c r="R310"/>
  <c r="R311"/>
  <c r="S311" s="1"/>
  <c r="R312"/>
  <c r="S312" s="1"/>
  <c r="R313"/>
  <c r="S313" s="1"/>
  <c r="R314"/>
  <c r="R315"/>
  <c r="S315" s="1"/>
  <c r="R316"/>
  <c r="S316" s="1"/>
  <c r="R317"/>
  <c r="S317" s="1"/>
  <c r="R318"/>
  <c r="R319"/>
  <c r="S319" s="1"/>
  <c r="R320"/>
  <c r="S320" s="1"/>
  <c r="R321"/>
  <c r="S321" s="1"/>
  <c r="R322"/>
  <c r="S322" s="1"/>
  <c r="R323"/>
  <c r="S323" s="1"/>
  <c r="R324"/>
  <c r="R325"/>
  <c r="S325" s="1"/>
  <c r="R326"/>
  <c r="S326" s="1"/>
  <c r="R327"/>
  <c r="S327" s="1"/>
  <c r="R328"/>
  <c r="R329"/>
  <c r="S329" s="1"/>
  <c r="R330"/>
  <c r="S330" s="1"/>
  <c r="R331"/>
  <c r="S331" s="1"/>
  <c r="R332"/>
  <c r="S332" s="1"/>
  <c r="R333"/>
  <c r="S333" s="1"/>
  <c r="R334"/>
  <c r="S334" s="1"/>
  <c r="R335"/>
  <c r="S335" s="1"/>
  <c r="R336"/>
  <c r="R337"/>
  <c r="S337" s="1"/>
  <c r="R338"/>
  <c r="S338" s="1"/>
  <c r="R339"/>
  <c r="S339" s="1"/>
  <c r="R340"/>
  <c r="S340" s="1"/>
  <c r="R341"/>
  <c r="S341" s="1"/>
  <c r="R342"/>
  <c r="S342" s="1"/>
  <c r="R343"/>
  <c r="S343" s="1"/>
  <c r="R344"/>
  <c r="R345"/>
  <c r="S345" s="1"/>
  <c r="R346"/>
  <c r="S346" s="1"/>
  <c r="R347"/>
  <c r="S347" s="1"/>
  <c r="R348"/>
  <c r="S348" s="1"/>
  <c r="R349"/>
  <c r="S349" s="1"/>
  <c r="R350"/>
  <c r="S350" s="1"/>
  <c r="R351"/>
  <c r="S351" s="1"/>
  <c r="R352"/>
  <c r="R353"/>
  <c r="S353" s="1"/>
  <c r="R354"/>
  <c r="S354" s="1"/>
  <c r="R355"/>
  <c r="S355" s="1"/>
  <c r="R356"/>
  <c r="S356" s="1"/>
  <c r="R357"/>
  <c r="S357" s="1"/>
  <c r="R358"/>
  <c r="S358" s="1"/>
  <c r="R359"/>
  <c r="S359" s="1"/>
  <c r="R360"/>
  <c r="R361"/>
  <c r="S361" s="1"/>
  <c r="R362"/>
  <c r="S362" s="1"/>
  <c r="R363"/>
  <c r="S363" s="1"/>
  <c r="R364"/>
  <c r="S364" s="1"/>
  <c r="R365"/>
  <c r="S365" s="1"/>
  <c r="R366"/>
  <c r="S366" s="1"/>
  <c r="R367"/>
  <c r="S367" s="1"/>
  <c r="R368"/>
  <c r="R369"/>
  <c r="S369" s="1"/>
  <c r="R370"/>
  <c r="S370" s="1"/>
  <c r="R371"/>
  <c r="S371" s="1"/>
  <c r="R372"/>
  <c r="S372" s="1"/>
  <c r="R373"/>
  <c r="S373" s="1"/>
  <c r="R374"/>
  <c r="S374" s="1"/>
  <c r="R375"/>
  <c r="S375" s="1"/>
  <c r="R376"/>
  <c r="R377"/>
  <c r="S377" s="1"/>
  <c r="R378"/>
  <c r="S378" s="1"/>
  <c r="R379"/>
  <c r="S379" s="1"/>
  <c r="R380"/>
  <c r="S380" s="1"/>
  <c r="R381"/>
  <c r="S381" s="1"/>
  <c r="R382"/>
  <c r="S382" s="1"/>
  <c r="R383"/>
  <c r="S383" s="1"/>
  <c r="R384"/>
  <c r="R385"/>
  <c r="S385" s="1"/>
  <c r="R386"/>
  <c r="S386" s="1"/>
  <c r="R387"/>
  <c r="S387" s="1"/>
  <c r="R388"/>
  <c r="S388" s="1"/>
  <c r="R389"/>
  <c r="S389" s="1"/>
  <c r="R390"/>
  <c r="S390" s="1"/>
  <c r="R391"/>
  <c r="S391" s="1"/>
  <c r="R392"/>
  <c r="R393"/>
  <c r="S393" s="1"/>
  <c r="R394"/>
  <c r="S394" s="1"/>
  <c r="R395"/>
  <c r="S395" s="1"/>
  <c r="R396"/>
  <c r="S396" s="1"/>
  <c r="R397"/>
  <c r="S397" s="1"/>
  <c r="R398"/>
  <c r="S398" s="1"/>
  <c r="R399"/>
  <c r="S399" s="1"/>
  <c r="R400"/>
  <c r="R401"/>
  <c r="S401" s="1"/>
  <c r="R402"/>
  <c r="S402" s="1"/>
  <c r="R403"/>
  <c r="S403" s="1"/>
  <c r="R404"/>
  <c r="S404" s="1"/>
  <c r="R405"/>
  <c r="S405" s="1"/>
  <c r="R406"/>
  <c r="S406" s="1"/>
  <c r="R407"/>
  <c r="S407" s="1"/>
  <c r="R408"/>
  <c r="R409"/>
  <c r="S409" s="1"/>
  <c r="R410"/>
  <c r="S410" s="1"/>
  <c r="R411"/>
  <c r="S411" s="1"/>
  <c r="R412"/>
  <c r="S412" s="1"/>
  <c r="R413"/>
  <c r="S413" s="1"/>
  <c r="R414"/>
  <c r="S414" s="1"/>
  <c r="R415"/>
  <c r="S415" s="1"/>
  <c r="R416"/>
  <c r="R417"/>
  <c r="S417" s="1"/>
  <c r="R418"/>
  <c r="S418" s="1"/>
  <c r="R419"/>
  <c r="S419" s="1"/>
  <c r="R420"/>
  <c r="S420" s="1"/>
  <c r="R421"/>
  <c r="S421" s="1"/>
  <c r="R422"/>
  <c r="S422" s="1"/>
  <c r="R423"/>
  <c r="S423" s="1"/>
  <c r="R424"/>
  <c r="R425"/>
  <c r="S425" s="1"/>
  <c r="R426"/>
  <c r="S426" s="1"/>
  <c r="R427"/>
  <c r="S427" s="1"/>
  <c r="R428"/>
  <c r="S428" s="1"/>
  <c r="R429"/>
  <c r="R430"/>
  <c r="R431"/>
  <c r="S431" s="1"/>
  <c r="R432"/>
  <c r="R433"/>
  <c r="S433" s="1"/>
  <c r="R434"/>
  <c r="R435"/>
  <c r="S435" s="1"/>
  <c r="R436"/>
  <c r="R437"/>
  <c r="S437" s="1"/>
  <c r="R438"/>
  <c r="R439"/>
  <c r="S439" s="1"/>
  <c r="R440"/>
  <c r="R441"/>
  <c r="S441" s="1"/>
  <c r="R442"/>
  <c r="R443"/>
  <c r="S443" s="1"/>
  <c r="R444"/>
  <c r="R445"/>
  <c r="S445" s="1"/>
  <c r="R446"/>
  <c r="R447"/>
  <c r="S447" s="1"/>
  <c r="R448"/>
  <c r="R449"/>
  <c r="S449" s="1"/>
  <c r="R450"/>
  <c r="R451"/>
  <c r="S451" s="1"/>
  <c r="R452"/>
  <c r="R453"/>
  <c r="S453" s="1"/>
  <c r="R454"/>
  <c r="R455"/>
  <c r="S455" s="1"/>
  <c r="R456"/>
  <c r="R457"/>
  <c r="S457" s="1"/>
  <c r="R458"/>
  <c r="R459"/>
  <c r="S459" s="1"/>
  <c r="R460"/>
  <c r="R461"/>
  <c r="S461" s="1"/>
  <c r="R462"/>
  <c r="R463"/>
  <c r="S463" s="1"/>
  <c r="R464"/>
  <c r="R465"/>
  <c r="S465" s="1"/>
  <c r="R466"/>
  <c r="R467"/>
  <c r="S467" s="1"/>
  <c r="R468"/>
  <c r="S468" s="1"/>
  <c r="R469"/>
  <c r="S469" s="1"/>
  <c r="R470"/>
  <c r="S470" s="1"/>
  <c r="R471"/>
  <c r="R472"/>
  <c r="S472" s="1"/>
  <c r="R473"/>
  <c r="S473" s="1"/>
  <c r="R474"/>
  <c r="S474" s="1"/>
  <c r="R475"/>
  <c r="S475" s="1"/>
  <c r="R476"/>
  <c r="S476" s="1"/>
  <c r="R477"/>
  <c r="S477" s="1"/>
  <c r="R478"/>
  <c r="S478" s="1"/>
  <c r="R479"/>
  <c r="S479" s="1"/>
  <c r="R480"/>
  <c r="S480" s="1"/>
  <c r="R481"/>
  <c r="S481" s="1"/>
  <c r="R482"/>
  <c r="S482" s="1"/>
  <c r="R483"/>
  <c r="S483" s="1"/>
  <c r="R484"/>
  <c r="S484" s="1"/>
  <c r="R485"/>
  <c r="S485" s="1"/>
  <c r="R486"/>
  <c r="S486" s="1"/>
  <c r="R487"/>
  <c r="R488"/>
  <c r="S488" s="1"/>
  <c r="R489"/>
  <c r="S489" s="1"/>
  <c r="R490"/>
  <c r="S490" s="1"/>
  <c r="R491"/>
  <c r="S491" s="1"/>
  <c r="R492"/>
  <c r="S492" s="1"/>
  <c r="R493"/>
  <c r="S493" s="1"/>
  <c r="R494"/>
  <c r="S494" s="1"/>
  <c r="R495"/>
  <c r="S495" s="1"/>
  <c r="R496"/>
  <c r="S496" s="1"/>
  <c r="R497"/>
  <c r="S497" s="1"/>
  <c r="R498"/>
  <c r="R499"/>
  <c r="S499" s="1"/>
  <c r="R500"/>
  <c r="R501"/>
  <c r="R502"/>
  <c r="R503"/>
  <c r="S503" s="1"/>
  <c r="R504"/>
  <c r="R505"/>
  <c r="R506"/>
  <c r="R507"/>
  <c r="S507" s="1"/>
  <c r="R508"/>
  <c r="R509"/>
  <c r="S509" s="1"/>
  <c r="R510"/>
  <c r="R511"/>
  <c r="S511" s="1"/>
  <c r="R512"/>
  <c r="R513"/>
  <c r="S513" s="1"/>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3" i="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L16" s="1"/>
  <c r="BM17"/>
  <c r="BO13"/>
  <c r="BO14"/>
  <c r="BO15"/>
  <c r="BO16"/>
  <c r="BO17"/>
  <c r="BN13"/>
  <c r="BN14"/>
  <c r="BN15"/>
  <c r="BN16"/>
  <c r="BN17"/>
  <c r="BP13"/>
  <c r="BP14"/>
  <c r="BP15"/>
  <c r="BP16"/>
  <c r="BP17"/>
  <c r="E19" i="6"/>
  <c r="D3" i="80" s="1"/>
  <c r="E20" i="6"/>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16"/>
  <c r="S408"/>
  <c r="S400"/>
  <c r="S392"/>
  <c r="S384"/>
  <c r="S376"/>
  <c r="S368"/>
  <c r="S360"/>
  <c r="S352"/>
  <c r="S344"/>
  <c r="S336"/>
  <c r="S328"/>
  <c r="S324"/>
  <c r="S424"/>
  <c r="S318"/>
  <c r="S314"/>
  <c r="S310"/>
  <c r="S306"/>
  <c r="S302"/>
  <c r="S298"/>
  <c r="S294"/>
  <c r="S290"/>
  <c r="S286"/>
  <c r="S282"/>
  <c r="S278"/>
  <c r="S274"/>
  <c r="S270"/>
  <c r="S266"/>
  <c r="S262"/>
  <c r="S258"/>
  <c r="S254"/>
  <c r="S252"/>
  <c r="S250"/>
  <c r="S248"/>
  <c r="S246"/>
  <c r="S244"/>
  <c r="S242"/>
  <c r="S240"/>
  <c r="S238"/>
  <c r="S236"/>
  <c r="S234"/>
  <c r="S232"/>
  <c r="S230"/>
  <c r="S228"/>
  <c r="S226"/>
  <c r="S224"/>
  <c r="S429"/>
  <c r="S211"/>
  <c r="S195"/>
  <c r="S179"/>
  <c r="S163"/>
  <c r="S147"/>
  <c r="S142"/>
  <c r="S140"/>
  <c r="S138"/>
  <c r="S136"/>
  <c r="S134"/>
  <c r="S132"/>
  <c r="S130"/>
  <c r="S128"/>
  <c r="S126"/>
  <c r="S124"/>
  <c r="S487"/>
  <c r="S471"/>
  <c r="S444"/>
  <c r="S442"/>
  <c r="S440"/>
  <c r="S438"/>
  <c r="S436"/>
  <c r="S434"/>
  <c r="S432"/>
  <c r="S430"/>
  <c r="S122"/>
  <c r="S121"/>
  <c r="S120"/>
  <c r="S119"/>
  <c r="S118"/>
  <c r="S117"/>
  <c r="S116"/>
  <c r="S115"/>
  <c r="S114"/>
  <c r="S113"/>
  <c r="S112"/>
  <c r="S506"/>
  <c r="S504"/>
  <c r="S502"/>
  <c r="S500"/>
  <c r="S498"/>
  <c r="S466"/>
  <c r="S464"/>
  <c r="S462"/>
  <c r="S460"/>
  <c r="S458"/>
  <c r="S456"/>
  <c r="S454"/>
  <c r="S452"/>
  <c r="S450"/>
  <c r="S54"/>
  <c r="S52"/>
  <c r="S50"/>
  <c r="S48"/>
  <c r="S46"/>
  <c r="S44"/>
  <c r="S42"/>
  <c r="S40"/>
  <c r="S39"/>
  <c r="S38"/>
  <c r="S37"/>
  <c r="S36"/>
  <c r="S35"/>
  <c r="S34"/>
  <c r="S76"/>
  <c r="S74"/>
  <c r="S72"/>
  <c r="S70"/>
  <c r="S68"/>
  <c r="S66"/>
  <c r="S64"/>
  <c r="S62"/>
  <c r="S60"/>
  <c r="S58"/>
  <c r="S56"/>
  <c r="S96"/>
  <c r="S94"/>
  <c r="S92"/>
  <c r="S90"/>
  <c r="S88"/>
  <c r="S86"/>
  <c r="S84"/>
  <c r="S82"/>
  <c r="S80"/>
  <c r="S78"/>
  <c r="S98"/>
  <c r="S99"/>
  <c r="S100"/>
  <c r="S101"/>
  <c r="S102"/>
  <c r="S103"/>
  <c r="S104"/>
  <c r="S105"/>
  <c r="S106"/>
  <c r="S107"/>
  <c r="S108"/>
  <c r="S109"/>
  <c r="S110"/>
  <c r="S111"/>
  <c r="S446"/>
  <c r="S448"/>
  <c r="S508"/>
  <c r="S510"/>
  <c r="S512"/>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s="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AC41" s="1"/>
  <c r="D113"/>
  <c r="F37" s="1"/>
  <c r="D111"/>
  <c r="E111" s="1"/>
  <c r="F111" s="1"/>
  <c r="S516" i="31"/>
  <c r="S518"/>
  <c r="S520"/>
  <c r="S522"/>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J40"/>
  <c r="W40" s="1"/>
  <c r="H40"/>
  <c r="AB40" s="1"/>
  <c r="F40"/>
  <c r="AA40" s="1"/>
  <c r="Q39"/>
  <c r="Z39"/>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c r="Q17"/>
  <c r="Z17"/>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AC39" s="1"/>
  <c r="B108"/>
  <c r="C23"/>
  <c r="C19"/>
  <c r="C17"/>
  <c r="C15"/>
  <c r="B112"/>
  <c r="D107"/>
  <c r="E107" s="1"/>
  <c r="F107" s="1"/>
  <c r="G107" s="1"/>
  <c r="H107" s="1"/>
  <c r="I107" s="1"/>
  <c r="J107" s="1"/>
  <c r="K107" s="1"/>
  <c r="L107" s="1"/>
  <c r="M107" s="1"/>
  <c r="D105"/>
  <c r="E105" s="1"/>
  <c r="F105" s="1"/>
  <c r="G105" s="1"/>
  <c r="D103"/>
  <c r="J35"/>
  <c r="W35" s="1"/>
  <c r="F97"/>
  <c r="E97"/>
  <c r="D97"/>
  <c r="C97"/>
  <c r="D96"/>
  <c r="E96" s="1"/>
  <c r="F96" s="1"/>
  <c r="G96" s="1"/>
  <c r="H96" s="1"/>
  <c r="I96" s="1"/>
  <c r="J96" s="1"/>
  <c r="K96" s="1"/>
  <c r="L96" s="1"/>
  <c r="M96" s="1"/>
  <c r="D94"/>
  <c r="M90"/>
  <c r="L90"/>
  <c r="K90"/>
  <c r="J90"/>
  <c r="I90"/>
  <c r="H90"/>
  <c r="G90"/>
  <c r="F90"/>
  <c r="E90"/>
  <c r="D90"/>
  <c r="C90"/>
  <c r="D89"/>
  <c r="B86"/>
  <c r="B84"/>
  <c r="H27" s="1"/>
  <c r="B82"/>
  <c r="H26" s="1"/>
  <c r="D79"/>
  <c r="E79" s="1"/>
  <c r="D75"/>
  <c r="E75" s="1"/>
  <c r="D73"/>
  <c r="E73" s="1"/>
  <c r="F73" s="1"/>
  <c r="D71"/>
  <c r="H15"/>
  <c r="AB15" s="1"/>
  <c r="B68"/>
  <c r="H14" s="1"/>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F26"/>
  <c r="AA26" s="1"/>
  <c r="Q25"/>
  <c r="Z25" s="1"/>
  <c r="J25"/>
  <c r="AC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F23"/>
  <c r="AA23" s="1"/>
  <c r="Q22"/>
  <c r="Z22" s="1"/>
  <c r="J22"/>
  <c r="AC22" s="1"/>
  <c r="Q20"/>
  <c r="Z20"/>
  <c r="Q16"/>
  <c r="Z16" s="1"/>
  <c r="Q14"/>
  <c r="Z14" s="1"/>
  <c r="Q13"/>
  <c r="Z13" s="1"/>
  <c r="Q12"/>
  <c r="Z12" s="1"/>
  <c r="Q11"/>
  <c r="Z11" s="1"/>
  <c r="Q10"/>
  <c r="Z10" s="1"/>
  <c r="F10"/>
  <c r="AA10" s="1"/>
  <c r="Q9"/>
  <c r="Z9" s="1"/>
  <c r="J9"/>
  <c r="AC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B77"/>
  <c r="B75"/>
  <c r="J24" s="1"/>
  <c r="AC24" s="1"/>
  <c r="B73"/>
  <c r="H23" s="1"/>
  <c r="B57"/>
  <c r="B61"/>
  <c r="B59"/>
  <c r="J12" s="1"/>
  <c r="W12" s="1"/>
  <c r="B131" i="34"/>
  <c r="B129"/>
  <c r="B127"/>
  <c r="B99"/>
  <c r="B97"/>
  <c r="B95"/>
  <c r="B93"/>
  <c r="B75"/>
  <c r="B73"/>
  <c r="B71"/>
  <c r="H12" s="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H12"/>
  <c r="U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J12"/>
  <c r="W12" s="1"/>
  <c r="F12"/>
  <c r="S12" s="1"/>
  <c r="Q11"/>
  <c r="Z11" s="1"/>
  <c r="Q10"/>
  <c r="Z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9" s="1"/>
  <c r="AB9" s="1"/>
  <c r="H54"/>
  <c r="F54"/>
  <c r="P49"/>
  <c r="P48"/>
  <c r="V47"/>
  <c r="T47"/>
  <c r="R47"/>
  <c r="P47"/>
  <c r="Q46"/>
  <c r="Z46" s="1"/>
  <c r="Q45"/>
  <c r="Z45" s="1"/>
  <c r="Q44"/>
  <c r="Z44" s="1"/>
  <c r="Q43"/>
  <c r="Z43" s="1"/>
  <c r="Q42"/>
  <c r="Z42" s="1"/>
  <c r="J42"/>
  <c r="AC42" s="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L585" s="1"/>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F29" i="36"/>
  <c r="AA29" s="1"/>
  <c r="W8"/>
  <c r="F16"/>
  <c r="AA16" s="1"/>
  <c r="W28"/>
  <c r="S30"/>
  <c r="AA31"/>
  <c r="AC31"/>
  <c r="W31"/>
  <c r="U31"/>
  <c r="J33"/>
  <c r="W33" s="1"/>
  <c r="H22" i="35"/>
  <c r="AB22" s="1"/>
  <c r="AC27"/>
  <c r="W28"/>
  <c r="U31"/>
  <c r="W34"/>
  <c r="W22"/>
  <c r="S31"/>
  <c r="F36" i="34"/>
  <c r="J35"/>
  <c r="W9"/>
  <c r="U34"/>
  <c r="H39" i="33"/>
  <c r="AB39" s="1"/>
  <c r="F26"/>
  <c r="AA26" s="1"/>
  <c r="U33"/>
  <c r="U35"/>
  <c r="S40"/>
  <c r="W33"/>
  <c r="W39"/>
  <c r="H39" i="37"/>
  <c r="AB39" s="1"/>
  <c r="S27" i="35"/>
  <c r="F11" i="40"/>
  <c r="AA11" s="1"/>
  <c r="H11"/>
  <c r="AB11" s="1"/>
  <c r="W8"/>
  <c r="AC40"/>
  <c r="AA9"/>
  <c r="AC9"/>
  <c r="U9"/>
  <c r="S34"/>
  <c r="U38"/>
  <c r="S40"/>
  <c r="W31"/>
  <c r="U34"/>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U34"/>
  <c r="S34"/>
  <c r="C27" i="39"/>
  <c r="C21"/>
  <c r="H11"/>
  <c r="S40"/>
  <c r="C15"/>
  <c r="H32" i="33"/>
  <c r="AB32" s="1"/>
  <c r="H11" i="21"/>
  <c r="U11" s="1"/>
  <c r="J11"/>
  <c r="W11" s="1"/>
  <c r="H37" i="40"/>
  <c r="U37" s="1"/>
  <c r="H36"/>
  <c r="AB36" s="1"/>
  <c r="F35"/>
  <c r="AA35" s="1"/>
  <c r="H23"/>
  <c r="AB23" s="1"/>
  <c r="H17"/>
  <c r="U17" s="1"/>
  <c r="J15"/>
  <c r="W15" s="1"/>
  <c r="J11"/>
  <c r="W11" s="1"/>
  <c r="AB8" i="39"/>
  <c r="AB12" i="33"/>
  <c r="AC12" i="34"/>
  <c r="AA12"/>
  <c r="AB12" i="35"/>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F114" s="1"/>
  <c r="G114" s="1"/>
  <c r="H114" s="1"/>
  <c r="I114" s="1"/>
  <c r="J114" s="1"/>
  <c r="K114" s="1"/>
  <c r="L114" s="1"/>
  <c r="M114" s="1"/>
  <c r="H36"/>
  <c r="U36" s="1"/>
  <c r="F37"/>
  <c r="AA37" s="1"/>
  <c r="S35"/>
  <c r="F28"/>
  <c r="AA28" s="1"/>
  <c r="F27"/>
  <c r="AA27" s="1"/>
  <c r="F25"/>
  <c r="S25" s="1"/>
  <c r="H23"/>
  <c r="U23" s="1"/>
  <c r="J23"/>
  <c r="F19"/>
  <c r="H17"/>
  <c r="U17" s="1"/>
  <c r="F15"/>
  <c r="AA15" s="1"/>
  <c r="J15"/>
  <c r="AC15" s="1"/>
  <c r="H15"/>
  <c r="AB15" s="1"/>
  <c r="J28"/>
  <c r="W28" s="1"/>
  <c r="F41" i="33"/>
  <c r="AA41" s="1"/>
  <c r="S38"/>
  <c r="E113"/>
  <c r="F32"/>
  <c r="AA32" s="1"/>
  <c r="J19"/>
  <c r="AC19" s="1"/>
  <c r="J15"/>
  <c r="AC15" s="1"/>
  <c r="F11"/>
  <c r="AA11" s="1"/>
  <c r="S26"/>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H38"/>
  <c r="AB38" s="1"/>
  <c r="J36"/>
  <c r="W36" s="1"/>
  <c r="H37"/>
  <c r="U37" s="1"/>
  <c r="H25"/>
  <c r="AB25" s="1"/>
  <c r="J25"/>
  <c r="AC25" s="1"/>
  <c r="F23"/>
  <c r="AA23" s="1"/>
  <c r="J19"/>
  <c r="AC19" s="1"/>
  <c r="F17"/>
  <c r="AA17" s="1"/>
  <c r="J17"/>
  <c r="W17" s="1"/>
  <c r="S41" i="33"/>
  <c r="F113"/>
  <c r="G113" s="1"/>
  <c r="H113" s="1"/>
  <c r="I113" s="1"/>
  <c r="J113" s="1"/>
  <c r="K113" s="1"/>
  <c r="L113" s="1"/>
  <c r="M113" s="1"/>
  <c r="H37"/>
  <c r="AB37" s="1"/>
  <c r="H15"/>
  <c r="AB15" s="1"/>
  <c r="H11"/>
  <c r="AB11" s="1"/>
  <c r="F28" i="40"/>
  <c r="AA28" s="1"/>
  <c r="AA42" i="34"/>
  <c r="S42"/>
  <c r="AC38"/>
  <c r="AA38"/>
  <c r="J37"/>
  <c r="AC37" s="1"/>
  <c r="J11" i="33"/>
  <c r="W11" s="1"/>
  <c r="S28" i="34"/>
  <c r="U23" i="40"/>
  <c r="G123" i="21"/>
  <c r="H123" s="1"/>
  <c r="I123" s="1"/>
  <c r="J123" s="1"/>
  <c r="K123" s="1"/>
  <c r="L123" s="1"/>
  <c r="M123" s="1"/>
  <c r="J42"/>
  <c r="AC42" s="1"/>
  <c r="H42"/>
  <c r="U42" s="1"/>
  <c r="J44" i="34"/>
  <c r="AC44" s="1"/>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U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W13" s="1"/>
  <c r="F13"/>
  <c r="S13" s="1"/>
  <c r="E89" i="37"/>
  <c r="F89" s="1"/>
  <c r="G89" s="1"/>
  <c r="H89" s="1"/>
  <c r="I89" s="1"/>
  <c r="J89" s="1"/>
  <c r="K89" s="1"/>
  <c r="L89" s="1"/>
  <c r="M89" s="1"/>
  <c r="J29"/>
  <c r="W29" s="1"/>
  <c r="F29"/>
  <c r="S29" s="1"/>
  <c r="H36"/>
  <c r="AB36" s="1"/>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13" i="35"/>
  <c r="U46" i="33"/>
  <c r="J36" i="37"/>
  <c r="AC36" s="1"/>
  <c r="AB11" i="36"/>
  <c r="AB11" i="35"/>
  <c r="J10" i="36"/>
  <c r="AC10" s="1"/>
  <c r="AB26" i="33"/>
  <c r="AB30" i="21"/>
  <c r="AA14" i="37"/>
  <c r="W31" i="34"/>
  <c r="AC13" i="36"/>
  <c r="S11"/>
  <c r="W11" i="35"/>
  <c r="AC30" i="34"/>
  <c r="S45" i="33"/>
  <c r="AB31"/>
  <c r="W29"/>
  <c r="AC28" i="21"/>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BA580"/>
  <c r="AZ580" s="1"/>
  <c r="BA578"/>
  <c r="AZ578" s="1"/>
  <c r="BA576"/>
  <c r="AZ576" s="1"/>
  <c r="BA574"/>
  <c r="BA572"/>
  <c r="AZ572" s="1"/>
  <c r="BA570"/>
  <c r="AZ570" s="1"/>
  <c r="BA568"/>
  <c r="AZ568" s="1"/>
  <c r="BA566"/>
  <c r="BA564"/>
  <c r="AZ564" s="1"/>
  <c r="BA562"/>
  <c r="AZ562" s="1"/>
  <c r="BA560"/>
  <c r="AZ560" s="1"/>
  <c r="BA558"/>
  <c r="BA556"/>
  <c r="AZ556" s="1"/>
  <c r="BA554"/>
  <c r="BA552"/>
  <c r="AZ552" s="1"/>
  <c r="BA548"/>
  <c r="BA546"/>
  <c r="BA544"/>
  <c r="BA542"/>
  <c r="AZ542" s="1"/>
  <c r="BA540"/>
  <c r="AZ540" s="1"/>
  <c r="BA538"/>
  <c r="AZ538" s="1"/>
  <c r="BA536"/>
  <c r="BA534"/>
  <c r="AZ534" s="1"/>
  <c r="BA532"/>
  <c r="BA530"/>
  <c r="BA528"/>
  <c r="AZ528"/>
  <c r="BA526"/>
  <c r="AZ526"/>
  <c r="BA524"/>
  <c r="BA522"/>
  <c r="BA520"/>
  <c r="BA518"/>
  <c r="AZ518" s="1"/>
  <c r="BA516"/>
  <c r="BA514"/>
  <c r="BA512"/>
  <c r="AZ512"/>
  <c r="BA510"/>
  <c r="AZ510"/>
  <c r="BA508"/>
  <c r="BA506"/>
  <c r="BA504"/>
  <c r="AZ504"/>
  <c r="BA502"/>
  <c r="BA500"/>
  <c r="BA498"/>
  <c r="AZ498"/>
  <c r="BA496"/>
  <c r="BA494"/>
  <c r="BA587"/>
  <c r="AZ587"/>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s="1"/>
  <c r="BQ579"/>
  <c r="BL579" s="1"/>
  <c r="AZ579" s="1"/>
  <c r="BQ577"/>
  <c r="BL577" s="1"/>
  <c r="BQ575"/>
  <c r="BL575" s="1"/>
  <c r="AZ575" s="1"/>
  <c r="BQ573"/>
  <c r="BL573" s="1"/>
  <c r="AZ573" s="1"/>
  <c r="BQ571"/>
  <c r="BL571"/>
  <c r="AZ571" s="1"/>
  <c r="BQ569"/>
  <c r="BL569" s="1"/>
  <c r="BQ567"/>
  <c r="BL567" s="1"/>
  <c r="AZ567" s="1"/>
  <c r="BQ565"/>
  <c r="BL565" s="1"/>
  <c r="BQ563"/>
  <c r="BL563" s="1"/>
  <c r="AZ563" s="1"/>
  <c r="BQ561"/>
  <c r="BL561" s="1"/>
  <c r="AZ561" s="1"/>
  <c r="BQ559"/>
  <c r="BL559" s="1"/>
  <c r="AZ559" s="1"/>
  <c r="G559"/>
  <c r="G555"/>
  <c r="G553"/>
  <c r="G549"/>
  <c r="G547"/>
  <c r="G545"/>
  <c r="G543"/>
  <c r="G541"/>
  <c r="G539"/>
  <c r="G537"/>
  <c r="BQ555"/>
  <c r="BL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c r="BQ521"/>
  <c r="BL521"/>
  <c r="BL520"/>
  <c r="AZ520" s="1"/>
  <c r="G519"/>
  <c r="G517"/>
  <c r="G515"/>
  <c r="G513"/>
  <c r="G511"/>
  <c r="BQ519"/>
  <c r="BL519"/>
  <c r="AZ519" s="1"/>
  <c r="BQ517"/>
  <c r="BL517" s="1"/>
  <c r="AZ517" s="1"/>
  <c r="BQ515"/>
  <c r="BL515" s="1"/>
  <c r="AZ515" s="1"/>
  <c r="BQ513"/>
  <c r="BL513" s="1"/>
  <c r="AZ513" s="1"/>
  <c r="BQ511"/>
  <c r="BL511" s="1"/>
  <c r="AZ511" s="1"/>
  <c r="BA509"/>
  <c r="AC509"/>
  <c r="BQ509"/>
  <c r="BL509" s="1"/>
  <c r="AZ509" s="1"/>
  <c r="BL508"/>
  <c r="AZ508" s="1"/>
  <c r="G507"/>
  <c r="G505"/>
  <c r="G503"/>
  <c r="G501"/>
  <c r="G499"/>
  <c r="G497"/>
  <c r="G495"/>
  <c r="BQ507"/>
  <c r="BL507" s="1"/>
  <c r="AZ507" s="1"/>
  <c r="BQ505"/>
  <c r="BL505" s="1"/>
  <c r="AZ505" s="1"/>
  <c r="BQ503"/>
  <c r="BL503" s="1"/>
  <c r="AZ503" s="1"/>
  <c r="BQ501"/>
  <c r="BL501" s="1"/>
  <c r="BQ499"/>
  <c r="BL499" s="1"/>
  <c r="AZ499" s="1"/>
  <c r="BQ497"/>
  <c r="BL497" s="1"/>
  <c r="BQ495"/>
  <c r="BL495" s="1"/>
  <c r="AZ495" s="1"/>
  <c r="BQ493"/>
  <c r="S505" i="31"/>
  <c r="S501"/>
  <c r="O27"/>
  <c r="O28"/>
  <c r="O26"/>
  <c r="M27"/>
  <c r="M28"/>
  <c r="M26"/>
  <c r="I26"/>
  <c r="I25"/>
  <c r="Q26"/>
  <c r="K26"/>
  <c r="I27"/>
  <c r="Q27"/>
  <c r="K27"/>
  <c r="I28"/>
  <c r="Q28"/>
  <c r="K28"/>
  <c r="S21" i="40"/>
  <c r="H25" i="21"/>
  <c r="U25" s="1"/>
  <c r="F25"/>
  <c r="S25" s="1"/>
  <c r="J25"/>
  <c r="AC25" s="1"/>
  <c r="E125" i="33"/>
  <c r="F125" s="1"/>
  <c r="G125" s="1"/>
  <c r="H43"/>
  <c r="AB43" s="1"/>
  <c r="H17" i="37"/>
  <c r="U17" s="1"/>
  <c r="U32" i="33"/>
  <c r="AA36" i="39"/>
  <c r="F39" i="33"/>
  <c r="AA39" s="1"/>
  <c r="E123"/>
  <c r="F42"/>
  <c r="AA42" s="1"/>
  <c r="H28" i="34"/>
  <c r="AB28" s="1"/>
  <c r="F14" i="36"/>
  <c r="AA14" s="1"/>
  <c r="F22"/>
  <c r="S22" s="1"/>
  <c r="F26"/>
  <c r="S26" s="1"/>
  <c r="H35" i="34"/>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H42"/>
  <c r="AB42" s="1"/>
  <c r="J43"/>
  <c r="AC43" s="1"/>
  <c r="U14" i="40"/>
  <c r="AC32" i="36"/>
  <c r="AC33"/>
  <c r="U35" i="35"/>
  <c r="W23"/>
  <c r="W14" i="37"/>
  <c r="AB28"/>
  <c r="U33"/>
  <c r="U39"/>
  <c r="W26"/>
  <c r="AC8"/>
  <c r="W47" i="34"/>
  <c r="AB13"/>
  <c r="AA13" i="33"/>
  <c r="AC31"/>
  <c r="AC45"/>
  <c r="W44"/>
  <c r="U11"/>
  <c r="U19" i="21"/>
  <c r="W44"/>
  <c r="U26"/>
  <c r="AC46"/>
  <c r="U12"/>
  <c r="AB38"/>
  <c r="F43" i="33"/>
  <c r="AA43" s="1"/>
  <c r="W16" i="35"/>
  <c r="W40" i="37"/>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19"/>
  <c r="S19" s="1"/>
  <c r="S14"/>
  <c r="AC13"/>
  <c r="AB33"/>
  <c r="W23" i="39"/>
  <c r="AC43"/>
  <c r="W43"/>
  <c r="U45"/>
  <c r="AB45"/>
  <c r="AB44"/>
  <c r="U44"/>
  <c r="G101"/>
  <c r="H37"/>
  <c r="AB37" s="1"/>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G4" i="4"/>
  <c r="I4"/>
  <c r="K5"/>
  <c r="B47" i="48" s="1"/>
  <c r="A2" i="9"/>
  <c r="N2" i="43"/>
  <c r="F59" s="1"/>
  <c r="AZ28" i="3"/>
  <c r="BL549"/>
  <c r="AZ494"/>
  <c r="AZ502"/>
  <c r="AZ514"/>
  <c r="AZ522"/>
  <c r="AZ530"/>
  <c r="AZ546"/>
  <c r="G546"/>
  <c r="G524"/>
  <c r="G303"/>
  <c r="BL304"/>
  <c r="G305"/>
  <c r="BL306"/>
  <c r="BA308"/>
  <c r="BA309"/>
  <c r="BL309"/>
  <c r="AZ309" s="1"/>
  <c r="G310"/>
  <c r="BA311"/>
  <c r="G319"/>
  <c r="BL320"/>
  <c r="G321"/>
  <c r="BL322"/>
  <c r="BA324"/>
  <c r="BA325"/>
  <c r="AZ325" s="1"/>
  <c r="BL325"/>
  <c r="G326"/>
  <c r="BA327"/>
  <c r="G335"/>
  <c r="BL336"/>
  <c r="G337"/>
  <c r="BL338"/>
  <c r="BA340"/>
  <c r="BA341"/>
  <c r="BL341"/>
  <c r="AZ341" s="1"/>
  <c r="BA343"/>
  <c r="BA345"/>
  <c r="BL355"/>
  <c r="G356"/>
  <c r="BL357"/>
  <c r="BA359"/>
  <c r="AZ359" s="1"/>
  <c r="BA360"/>
  <c r="BL360"/>
  <c r="G361"/>
  <c r="BA362"/>
  <c r="G370"/>
  <c r="BL371"/>
  <c r="G372"/>
  <c r="BL373"/>
  <c r="BA375"/>
  <c r="BA376"/>
  <c r="AZ376" s="1"/>
  <c r="BL376"/>
  <c r="G377"/>
  <c r="BA378"/>
  <c r="BL378"/>
  <c r="G379"/>
  <c r="BA380"/>
  <c r="G388"/>
  <c r="BL389"/>
  <c r="G390"/>
  <c r="BL391"/>
  <c r="BA393"/>
  <c r="BA394"/>
  <c r="BL394"/>
  <c r="G113"/>
  <c r="BA115"/>
  <c r="AZ115"/>
  <c r="BL116"/>
  <c r="AZ116"/>
  <c r="G117"/>
  <c r="BA119"/>
  <c r="BL120"/>
  <c r="G121"/>
  <c r="BA123"/>
  <c r="AZ123" s="1"/>
  <c r="BL124"/>
  <c r="AZ124" s="1"/>
  <c r="G125"/>
  <c r="BA127"/>
  <c r="BL128"/>
  <c r="AZ128" s="1"/>
  <c r="G129"/>
  <c r="BA131"/>
  <c r="BL132"/>
  <c r="AZ132" s="1"/>
  <c r="G133"/>
  <c r="BA135"/>
  <c r="BL136"/>
  <c r="G137"/>
  <c r="BA139"/>
  <c r="BL140"/>
  <c r="G141"/>
  <c r="BA143"/>
  <c r="BL144"/>
  <c r="G145"/>
  <c r="BA147"/>
  <c r="AZ147"/>
  <c r="BL148"/>
  <c r="G149"/>
  <c r="BA151"/>
  <c r="AZ151" s="1"/>
  <c r="BL152"/>
  <c r="G153"/>
  <c r="BA155"/>
  <c r="BL156"/>
  <c r="G157"/>
  <c r="BA159"/>
  <c r="AZ159" s="1"/>
  <c r="BL160"/>
  <c r="G161"/>
  <c r="BA163"/>
  <c r="AZ163" s="1"/>
  <c r="BL164"/>
  <c r="G165"/>
  <c r="BA167"/>
  <c r="AZ167" s="1"/>
  <c r="BL168"/>
  <c r="AZ168" s="1"/>
  <c r="G169"/>
  <c r="BA171"/>
  <c r="BL172"/>
  <c r="G173"/>
  <c r="BA175"/>
  <c r="AZ175"/>
  <c r="BL176"/>
  <c r="G177"/>
  <c r="BA179"/>
  <c r="AZ179"/>
  <c r="BL180"/>
  <c r="G181"/>
  <c r="BA183"/>
  <c r="AZ183" s="1"/>
  <c r="BL184"/>
  <c r="AZ184" s="1"/>
  <c r="G185"/>
  <c r="BA187"/>
  <c r="BL188"/>
  <c r="AZ188" s="1"/>
  <c r="G189"/>
  <c r="BA191"/>
  <c r="BL192"/>
  <c r="G193"/>
  <c r="BA195"/>
  <c r="AZ195" s="1"/>
  <c r="BL196"/>
  <c r="G197"/>
  <c r="BA199"/>
  <c r="AZ199" s="1"/>
  <c r="BL200"/>
  <c r="G201"/>
  <c r="BA203"/>
  <c r="AZ203" s="1"/>
  <c r="BL204"/>
  <c r="AZ43"/>
  <c r="AZ47"/>
  <c r="AZ79"/>
  <c r="AZ83"/>
  <c r="AZ152"/>
  <c r="AZ85"/>
  <c r="AZ89"/>
  <c r="AZ105"/>
  <c r="AZ120"/>
  <c r="G534"/>
  <c r="G530"/>
  <c r="G522"/>
  <c r="G516"/>
  <c r="G512"/>
  <c r="G506"/>
  <c r="G498"/>
  <c r="G494"/>
  <c r="G16"/>
  <c r="G15"/>
  <c r="BA304"/>
  <c r="AZ304" s="1"/>
  <c r="BA305"/>
  <c r="BL305"/>
  <c r="G306"/>
  <c r="G309"/>
  <c r="BL310"/>
  <c r="BA312"/>
  <c r="BA313"/>
  <c r="BL313"/>
  <c r="G314"/>
  <c r="G317"/>
  <c r="BL318"/>
  <c r="BA320"/>
  <c r="BA321"/>
  <c r="BL321"/>
  <c r="G322"/>
  <c r="G325"/>
  <c r="BL326"/>
  <c r="BA328"/>
  <c r="BA329"/>
  <c r="BL329"/>
  <c r="G330"/>
  <c r="G333"/>
  <c r="BL334"/>
  <c r="BA336"/>
  <c r="AZ336" s="1"/>
  <c r="BA337"/>
  <c r="BL337"/>
  <c r="G338"/>
  <c r="G341"/>
  <c r="BA342"/>
  <c r="BL342"/>
  <c r="BA344"/>
  <c r="BL344"/>
  <c r="BA346"/>
  <c r="BA347"/>
  <c r="BL347"/>
  <c r="G350"/>
  <c r="BA351"/>
  <c r="AZ351" s="1"/>
  <c r="BL351"/>
  <c r="G352"/>
  <c r="G354"/>
  <c r="BA355"/>
  <c r="AZ355" s="1"/>
  <c r="BA356"/>
  <c r="BL356"/>
  <c r="AZ356" s="1"/>
  <c r="G357"/>
  <c r="G360"/>
  <c r="BL361"/>
  <c r="BA363"/>
  <c r="AZ363" s="1"/>
  <c r="BA364"/>
  <c r="AZ364" s="1"/>
  <c r="BL364"/>
  <c r="G365"/>
  <c r="G368"/>
  <c r="BL369"/>
  <c r="BA371"/>
  <c r="BA372"/>
  <c r="BL372"/>
  <c r="G373"/>
  <c r="G376"/>
  <c r="BL377"/>
  <c r="BL379"/>
  <c r="BA381"/>
  <c r="BA382"/>
  <c r="BL382"/>
  <c r="AZ382" s="1"/>
  <c r="G383"/>
  <c r="G386"/>
  <c r="BL387"/>
  <c r="BA389"/>
  <c r="AZ389" s="1"/>
  <c r="BA390"/>
  <c r="BL390"/>
  <c r="G391"/>
  <c r="G394"/>
  <c r="AZ150"/>
  <c r="AZ166"/>
  <c r="AZ182"/>
  <c r="AZ500"/>
  <c r="BA16"/>
  <c r="BL303"/>
  <c r="G304"/>
  <c r="BA306"/>
  <c r="AZ306"/>
  <c r="BL307"/>
  <c r="AZ307"/>
  <c r="G308"/>
  <c r="BA310"/>
  <c r="AZ310" s="1"/>
  <c r="BL311"/>
  <c r="G312"/>
  <c r="BA314"/>
  <c r="BL315"/>
  <c r="G316"/>
  <c r="BA318"/>
  <c r="AZ318" s="1"/>
  <c r="BL319"/>
  <c r="AZ319" s="1"/>
  <c r="G320"/>
  <c r="BA322"/>
  <c r="BL323"/>
  <c r="AZ323" s="1"/>
  <c r="G324"/>
  <c r="BA326"/>
  <c r="BL327"/>
  <c r="AZ327" s="1"/>
  <c r="G328"/>
  <c r="BA330"/>
  <c r="BL331"/>
  <c r="AZ331" s="1"/>
  <c r="G332"/>
  <c r="BA334"/>
  <c r="AZ334" s="1"/>
  <c r="BL335"/>
  <c r="G336"/>
  <c r="BA338"/>
  <c r="AZ338" s="1"/>
  <c r="BL339"/>
  <c r="AZ339" s="1"/>
  <c r="G340"/>
  <c r="BL343"/>
  <c r="G344"/>
  <c r="G348"/>
  <c r="G355"/>
  <c r="AZ214"/>
  <c r="AZ222"/>
  <c r="AZ303"/>
  <c r="AZ335"/>
  <c r="G342"/>
  <c r="BL345"/>
  <c r="AZ345" s="1"/>
  <c r="G346"/>
  <c r="AZ348"/>
  <c r="BL349"/>
  <c r="AZ349"/>
  <c r="BL352"/>
  <c r="G353"/>
  <c r="BA357"/>
  <c r="AZ357"/>
  <c r="BL358"/>
  <c r="G359"/>
  <c r="BA361"/>
  <c r="AZ361" s="1"/>
  <c r="BL362"/>
  <c r="G363"/>
  <c r="BA365"/>
  <c r="BL366"/>
  <c r="G367"/>
  <c r="BA369"/>
  <c r="AZ369" s="1"/>
  <c r="BL370"/>
  <c r="G371"/>
  <c r="BA373"/>
  <c r="BL374"/>
  <c r="AZ374" s="1"/>
  <c r="G375"/>
  <c r="BA377"/>
  <c r="AZ377" s="1"/>
  <c r="AZ257"/>
  <c r="AZ261"/>
  <c r="AZ265"/>
  <c r="AZ370"/>
  <c r="BA379"/>
  <c r="AZ379"/>
  <c r="BL380"/>
  <c r="G381"/>
  <c r="BA383"/>
  <c r="AZ383"/>
  <c r="BL384"/>
  <c r="G385"/>
  <c r="BA387"/>
  <c r="AZ387"/>
  <c r="BL388"/>
  <c r="G389"/>
  <c r="BA391"/>
  <c r="AZ391"/>
  <c r="BL392"/>
  <c r="G393"/>
  <c r="AZ263"/>
  <c r="AZ279"/>
  <c r="AZ287"/>
  <c r="AZ295"/>
  <c r="BO5"/>
  <c r="BM5"/>
  <c r="F29" i="6" s="1"/>
  <c r="BJ5" i="3"/>
  <c r="BH5"/>
  <c r="BF5"/>
  <c r="BD5"/>
  <c r="AZ333"/>
  <c r="BQ5"/>
  <c r="AC5"/>
  <c r="AZ549"/>
  <c r="AZ506"/>
  <c r="AZ496"/>
  <c r="G548"/>
  <c r="G538"/>
  <c r="G520"/>
  <c r="G502"/>
  <c r="BS5"/>
  <c r="BP5"/>
  <c r="BN5"/>
  <c r="AZ343"/>
  <c r="BK5"/>
  <c r="BI5"/>
  <c r="BG5"/>
  <c r="BE5"/>
  <c r="BC5"/>
  <c r="G17"/>
  <c r="BA17"/>
  <c r="BT5"/>
  <c r="AZ352"/>
  <c r="AZ360"/>
  <c r="BA15"/>
  <c r="BB5"/>
  <c r="E8" i="6" s="1"/>
  <c r="F27" s="1"/>
  <c r="BR5" i="3"/>
  <c r="AZ380"/>
  <c r="AZ384"/>
  <c r="AZ394"/>
  <c r="G509"/>
  <c r="BL493"/>
  <c r="AZ493" s="1"/>
  <c r="AZ390"/>
  <c r="U36" i="40"/>
  <c r="N4" i="43"/>
  <c r="F36"/>
  <c r="F81"/>
  <c r="H83" s="1"/>
  <c r="H113"/>
  <c r="F48"/>
  <c r="H52" s="1"/>
  <c r="N7"/>
  <c r="F70"/>
  <c r="H73" s="1"/>
  <c r="M6"/>
  <c r="M11"/>
  <c r="E17"/>
  <c r="F39"/>
  <c r="I17"/>
  <c r="F35"/>
  <c r="J17"/>
  <c r="F6" i="1"/>
  <c r="U17" i="39"/>
  <c r="S14" i="35"/>
  <c r="U43" i="21"/>
  <c r="U35"/>
  <c r="AC35"/>
  <c r="U10"/>
  <c r="G8" i="1"/>
  <c r="G10"/>
  <c r="F48" i="9"/>
  <c r="O52" s="1"/>
  <c r="W37" i="37"/>
  <c r="W44" i="34"/>
  <c r="U13" i="37"/>
  <c r="U12" i="40"/>
  <c r="AA12"/>
  <c r="J37" i="33"/>
  <c r="W37" s="1"/>
  <c r="AC17" i="34"/>
  <c r="J34" i="33"/>
  <c r="W34" s="1"/>
  <c r="F33" i="34"/>
  <c r="S33" s="1"/>
  <c r="H20" i="36"/>
  <c r="U20" s="1"/>
  <c r="J20"/>
  <c r="W20" s="1"/>
  <c r="J27"/>
  <c r="W27" s="1"/>
  <c r="AC33" i="40"/>
  <c r="F111"/>
  <c r="G111"/>
  <c r="H111" s="1"/>
  <c r="I111" s="1"/>
  <c r="J111" s="1"/>
  <c r="K111" s="1"/>
  <c r="L111" s="1"/>
  <c r="M111" s="1"/>
  <c r="H35"/>
  <c r="AB35" s="1"/>
  <c r="AC29" i="35"/>
  <c r="W29"/>
  <c r="H35" i="37"/>
  <c r="U35" s="1"/>
  <c r="AC14" i="35"/>
  <c r="H20"/>
  <c r="U20" s="1"/>
  <c r="F20"/>
  <c r="AA20" s="1"/>
  <c r="AB29" i="36"/>
  <c r="U29"/>
  <c r="H32" i="37"/>
  <c r="AB32" s="1"/>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C40" i="11"/>
  <c r="AZ223" i="3"/>
  <c r="AZ256"/>
  <c r="AZ259"/>
  <c r="AZ280"/>
  <c r="AZ296"/>
  <c r="AZ114"/>
  <c r="AZ29"/>
  <c r="AZ31"/>
  <c r="AZ33"/>
  <c r="AZ45"/>
  <c r="AZ50"/>
  <c r="AZ82"/>
  <c r="AZ102"/>
  <c r="H75" i="43"/>
  <c r="H74"/>
  <c r="H50"/>
  <c r="H49"/>
  <c r="H48"/>
  <c r="I20"/>
  <c r="F23" i="39"/>
  <c r="AA23" s="1"/>
  <c r="H27" i="36"/>
  <c r="U27" s="1"/>
  <c r="F27"/>
  <c r="AA27" s="1"/>
  <c r="H33" i="34"/>
  <c r="U33" s="1"/>
  <c r="F32" i="37"/>
  <c r="AA32" s="1"/>
  <c r="F20" i="36"/>
  <c r="AA20" s="1"/>
  <c r="J33" i="34"/>
  <c r="AC33" s="1"/>
  <c r="H23" i="39"/>
  <c r="U23" s="1"/>
  <c r="D48" i="9"/>
  <c r="M52" s="1"/>
  <c r="H86" i="43"/>
  <c r="H82"/>
  <c r="H87"/>
  <c r="K9" i="1"/>
  <c r="M9" s="1"/>
  <c r="O9" s="1"/>
  <c r="P9" s="1"/>
  <c r="AE9"/>
  <c r="H27" i="34" l="1"/>
  <c r="AB27" s="1"/>
  <c r="AB14" i="37"/>
  <c r="U14"/>
  <c r="AB26"/>
  <c r="U26"/>
  <c r="AZ16" i="3"/>
  <c r="G404"/>
  <c r="BA405"/>
  <c r="AZ405" s="1"/>
  <c r="BL405"/>
  <c r="BL407"/>
  <c r="G408"/>
  <c r="G413"/>
  <c r="BL414"/>
  <c r="G415"/>
  <c r="G418"/>
  <c r="G420"/>
  <c r="BA421"/>
  <c r="BL421"/>
  <c r="BL423"/>
  <c r="G424"/>
  <c r="BA425"/>
  <c r="BL425"/>
  <c r="BA426"/>
  <c r="AZ426" s="1"/>
  <c r="BA427"/>
  <c r="AZ427" s="1"/>
  <c r="BL429"/>
  <c r="G430"/>
  <c r="BA431"/>
  <c r="BL431"/>
  <c r="BA432"/>
  <c r="AZ432" s="1"/>
  <c r="BA434"/>
  <c r="BL434"/>
  <c r="BL436"/>
  <c r="G437"/>
  <c r="G439"/>
  <c r="G442"/>
  <c r="G444"/>
  <c r="BA445"/>
  <c r="BL445"/>
  <c r="BL447"/>
  <c r="G448"/>
  <c r="BA449"/>
  <c r="BL449"/>
  <c r="BA451"/>
  <c r="BL451"/>
  <c r="BA452"/>
  <c r="AZ452" s="1"/>
  <c r="BA454"/>
  <c r="BL454"/>
  <c r="BA455"/>
  <c r="AZ455" s="1"/>
  <c r="BA456"/>
  <c r="AZ456" s="1"/>
  <c r="BA458"/>
  <c r="BL458"/>
  <c r="BL460"/>
  <c r="G461"/>
  <c r="G463"/>
  <c r="BL464"/>
  <c r="G465"/>
  <c r="S15" i="37"/>
  <c r="AC11" i="39"/>
  <c r="AZ373" i="3"/>
  <c r="AZ322"/>
  <c r="AZ371"/>
  <c r="AZ342"/>
  <c r="AZ329"/>
  <c r="AZ321"/>
  <c r="AZ378"/>
  <c r="U43" i="33"/>
  <c r="AZ497" i="3"/>
  <c r="AZ501"/>
  <c r="AZ555"/>
  <c r="AZ565"/>
  <c r="AZ566"/>
  <c r="AZ574"/>
  <c r="U13" i="33"/>
  <c r="AB45"/>
  <c r="AA14" i="34"/>
  <c r="AB46"/>
  <c r="W11" i="36"/>
  <c r="AA14" i="33"/>
  <c r="U31" i="34"/>
  <c r="AA29" i="35"/>
  <c r="U33"/>
  <c r="F9" i="33"/>
  <c r="F10" i="34"/>
  <c r="AA10" s="1"/>
  <c r="J27"/>
  <c r="H43"/>
  <c r="AB43" s="1"/>
  <c r="F12" i="35"/>
  <c r="F34"/>
  <c r="J23" i="36"/>
  <c r="AC23" s="1"/>
  <c r="F25" i="37"/>
  <c r="AA25" s="1"/>
  <c r="H39" i="40"/>
  <c r="G570" i="3"/>
  <c r="G566"/>
  <c r="G542"/>
  <c r="G526"/>
  <c r="G14"/>
  <c r="A15" i="62"/>
  <c r="B61" i="72" s="1"/>
  <c r="G398" i="3"/>
  <c r="BA399"/>
  <c r="AZ399" s="1"/>
  <c r="BL399"/>
  <c r="BA400"/>
  <c r="AZ400" s="1"/>
  <c r="BA402"/>
  <c r="BL402"/>
  <c r="BA467"/>
  <c r="AZ467" s="1"/>
  <c r="BA469"/>
  <c r="BL469"/>
  <c r="BA470"/>
  <c r="AZ470" s="1"/>
  <c r="BA471"/>
  <c r="AZ471" s="1"/>
  <c r="BA472"/>
  <c r="AZ472" s="1"/>
  <c r="BL474"/>
  <c r="G475"/>
  <c r="BA476"/>
  <c r="BL476"/>
  <c r="BL478"/>
  <c r="G479"/>
  <c r="BA480"/>
  <c r="BL480"/>
  <c r="BL482"/>
  <c r="G483"/>
  <c r="G487"/>
  <c r="BA491"/>
  <c r="AZ491" s="1"/>
  <c r="BL491"/>
  <c r="BA492"/>
  <c r="AZ492" s="1"/>
  <c r="BL308"/>
  <c r="AZ308" s="1"/>
  <c r="G311"/>
  <c r="BL312"/>
  <c r="AZ312" s="1"/>
  <c r="G313"/>
  <c r="BL314"/>
  <c r="AZ314" s="1"/>
  <c r="G315"/>
  <c r="BA317"/>
  <c r="AZ317" s="1"/>
  <c r="G323"/>
  <c r="BL324"/>
  <c r="AZ324" s="1"/>
  <c r="G327"/>
  <c r="BL328"/>
  <c r="AZ328" s="1"/>
  <c r="G329"/>
  <c r="BL330"/>
  <c r="AZ330" s="1"/>
  <c r="BA332"/>
  <c r="G339"/>
  <c r="BL340"/>
  <c r="AZ340" s="1"/>
  <c r="G343"/>
  <c r="BL350"/>
  <c r="G351"/>
  <c r="BA354"/>
  <c r="AZ354" s="1"/>
  <c r="BA358"/>
  <c r="AZ358" s="1"/>
  <c r="BL365"/>
  <c r="AZ365" s="1"/>
  <c r="G366"/>
  <c r="BA368"/>
  <c r="AZ368" s="1"/>
  <c r="G374"/>
  <c r="BL375"/>
  <c r="AZ375" s="1"/>
  <c r="G378"/>
  <c r="G387"/>
  <c r="BA388"/>
  <c r="AZ388" s="1"/>
  <c r="BA392"/>
  <c r="AZ392" s="1"/>
  <c r="G395"/>
  <c r="G397"/>
  <c r="BA208"/>
  <c r="BL208"/>
  <c r="BL210"/>
  <c r="G211"/>
  <c r="G214"/>
  <c r="G216"/>
  <c r="BA217"/>
  <c r="BL217"/>
  <c r="BL219"/>
  <c r="G220"/>
  <c r="G225"/>
  <c r="BA226"/>
  <c r="AZ226" s="1"/>
  <c r="BL226"/>
  <c r="BL228"/>
  <c r="G229"/>
  <c r="BA230"/>
  <c r="AZ230" s="1"/>
  <c r="BL230"/>
  <c r="BA231"/>
  <c r="AZ231" s="1"/>
  <c r="BA232"/>
  <c r="AZ232" s="1"/>
  <c r="BA233"/>
  <c r="AZ233" s="1"/>
  <c r="BA235"/>
  <c r="BL235"/>
  <c r="BA236"/>
  <c r="AZ236" s="1"/>
  <c r="BA237"/>
  <c r="AZ237" s="1"/>
  <c r="BL239"/>
  <c r="G240"/>
  <c r="BL241"/>
  <c r="G242"/>
  <c r="G244"/>
  <c r="BL245"/>
  <c r="G246"/>
  <c r="BL249"/>
  <c r="G250"/>
  <c r="G252"/>
  <c r="BL253"/>
  <c r="G254"/>
  <c r="G259"/>
  <c r="G263"/>
  <c r="G267"/>
  <c r="BL268"/>
  <c r="G269"/>
  <c r="BA270"/>
  <c r="AZ270" s="1"/>
  <c r="BL270"/>
  <c r="BL272"/>
  <c r="G273"/>
  <c r="BA274"/>
  <c r="AZ274" s="1"/>
  <c r="BL274"/>
  <c r="BL276"/>
  <c r="G277"/>
  <c r="G282"/>
  <c r="BL283"/>
  <c r="G284"/>
  <c r="G287"/>
  <c r="G289"/>
  <c r="BA290"/>
  <c r="BL290"/>
  <c r="BL292"/>
  <c r="G293"/>
  <c r="G298"/>
  <c r="BL299"/>
  <c r="G300"/>
  <c r="G118"/>
  <c r="G120"/>
  <c r="BL121"/>
  <c r="G122"/>
  <c r="BA125"/>
  <c r="AZ125" s="1"/>
  <c r="BL125"/>
  <c r="BA126"/>
  <c r="AZ126" s="1"/>
  <c r="BL127"/>
  <c r="AZ127" s="1"/>
  <c r="BA129"/>
  <c r="AZ129" s="1"/>
  <c r="BA130"/>
  <c r="AZ130" s="1"/>
  <c r="BL131"/>
  <c r="AZ131" s="1"/>
  <c r="BL134"/>
  <c r="G135"/>
  <c r="BA136"/>
  <c r="AZ136" s="1"/>
  <c r="BL138"/>
  <c r="G139"/>
  <c r="BA140"/>
  <c r="AZ140" s="1"/>
  <c r="BL142"/>
  <c r="G143"/>
  <c r="BA144"/>
  <c r="AZ144" s="1"/>
  <c r="BL146"/>
  <c r="G147"/>
  <c r="G150"/>
  <c r="BA153"/>
  <c r="BL153"/>
  <c r="BL155"/>
  <c r="AZ155" s="1"/>
  <c r="G156"/>
  <c r="BA158"/>
  <c r="BL158"/>
  <c r="BA160"/>
  <c r="AZ160" s="1"/>
  <c r="G163"/>
  <c r="G166"/>
  <c r="BA169"/>
  <c r="AZ169" s="1"/>
  <c r="BL169"/>
  <c r="BL171"/>
  <c r="AZ171" s="1"/>
  <c r="G172"/>
  <c r="BA174"/>
  <c r="AZ174" s="1"/>
  <c r="BL174"/>
  <c r="BA176"/>
  <c r="AZ176" s="1"/>
  <c r="G179"/>
  <c r="G182"/>
  <c r="BA185"/>
  <c r="BL185"/>
  <c r="BL187"/>
  <c r="AZ187" s="1"/>
  <c r="G188"/>
  <c r="BA189"/>
  <c r="BL189"/>
  <c r="BL191"/>
  <c r="AZ191" s="1"/>
  <c r="G192"/>
  <c r="BA194"/>
  <c r="BL194"/>
  <c r="BA196"/>
  <c r="AZ196" s="1"/>
  <c r="G199"/>
  <c r="BA200"/>
  <c r="AZ200" s="1"/>
  <c r="G203"/>
  <c r="G205"/>
  <c r="BL206"/>
  <c r="G207"/>
  <c r="BA18"/>
  <c r="AZ18" s="1"/>
  <c r="BA20"/>
  <c r="BL20"/>
  <c r="BL22"/>
  <c r="G23"/>
  <c r="G25"/>
  <c r="G100" i="43"/>
  <c r="BL25" i="3"/>
  <c r="G26"/>
  <c r="G31"/>
  <c r="G33"/>
  <c r="BA35"/>
  <c r="BL35"/>
  <c r="BL36"/>
  <c r="G37"/>
  <c r="BA38"/>
  <c r="BL38"/>
  <c r="BL40"/>
  <c r="G41"/>
  <c r="G43"/>
  <c r="G47"/>
  <c r="G50"/>
  <c r="G52"/>
  <c r="BL53"/>
  <c r="G54"/>
  <c r="G56"/>
  <c r="BA57"/>
  <c r="AZ57" s="1"/>
  <c r="BL57"/>
  <c r="BA59"/>
  <c r="AZ59" s="1"/>
  <c r="BL59"/>
  <c r="BA60"/>
  <c r="AZ60" s="1"/>
  <c r="BA61"/>
  <c r="AZ61" s="1"/>
  <c r="BA63"/>
  <c r="AZ63" s="1"/>
  <c r="BL63"/>
  <c r="G64"/>
  <c r="BA65"/>
  <c r="BL65"/>
  <c r="BA67"/>
  <c r="BL67"/>
  <c r="BA68"/>
  <c r="AZ68" s="1"/>
  <c r="BA69"/>
  <c r="AZ69" s="1"/>
  <c r="BA71"/>
  <c r="BL71"/>
  <c r="BL73"/>
  <c r="G74"/>
  <c r="BL75"/>
  <c r="G76"/>
  <c r="G78"/>
  <c r="G81"/>
  <c r="G85"/>
  <c r="G87"/>
  <c r="G89"/>
  <c r="G92"/>
  <c r="BL93"/>
  <c r="G94"/>
  <c r="BA95"/>
  <c r="BL95"/>
  <c r="BA96"/>
  <c r="AZ96" s="1"/>
  <c r="BA97"/>
  <c r="AZ97" s="1"/>
  <c r="BL99"/>
  <c r="G100"/>
  <c r="G102"/>
  <c r="G105"/>
  <c r="BA107"/>
  <c r="BL107"/>
  <c r="BL108"/>
  <c r="G109"/>
  <c r="BL110"/>
  <c r="G111"/>
  <c r="J51" i="15"/>
  <c r="C25" i="39"/>
  <c r="C7" i="80"/>
  <c r="C59" s="1"/>
  <c r="S44" i="34"/>
  <c r="AA41"/>
  <c r="AB23"/>
  <c r="W15"/>
  <c r="S15"/>
  <c r="AB17"/>
  <c r="W37"/>
  <c r="AC28"/>
  <c r="S9"/>
  <c r="W8"/>
  <c r="AB37"/>
  <c r="AC36"/>
  <c r="S34"/>
  <c r="G11" i="1"/>
  <c r="G9"/>
  <c r="AB34" i="35"/>
  <c r="U34"/>
  <c r="AC12" i="36"/>
  <c r="W12"/>
  <c r="U25" i="37"/>
  <c r="AB25"/>
  <c r="W37" i="39"/>
  <c r="AC37"/>
  <c r="S12" i="21"/>
  <c r="AA12"/>
  <c r="U23" i="35"/>
  <c r="AB23"/>
  <c r="AB9" i="36"/>
  <c r="U9"/>
  <c r="AC24"/>
  <c r="W24"/>
  <c r="U27" i="37"/>
  <c r="AB27"/>
  <c r="AC12" i="40"/>
  <c r="W12"/>
  <c r="G28" i="6"/>
  <c r="AZ326" i="3"/>
  <c r="AZ311"/>
  <c r="AZ372"/>
  <c r="AZ347"/>
  <c r="AZ344"/>
  <c r="AZ337"/>
  <c r="AZ320"/>
  <c r="AZ313"/>
  <c r="AZ305"/>
  <c r="AZ362"/>
  <c r="AZ569"/>
  <c r="AZ577"/>
  <c r="AZ557"/>
  <c r="AZ516"/>
  <c r="AZ524"/>
  <c r="AZ532"/>
  <c r="AZ536"/>
  <c r="AZ544"/>
  <c r="AZ554"/>
  <c r="AZ558"/>
  <c r="AZ582"/>
  <c r="AA44" i="33"/>
  <c r="J36" i="35"/>
  <c r="H12" i="36"/>
  <c r="H24"/>
  <c r="AB24" s="1"/>
  <c r="BA551" i="3"/>
  <c r="BL550"/>
  <c r="BA550"/>
  <c r="BL548"/>
  <c r="AZ548" s="1"/>
  <c r="AZ521"/>
  <c r="AZ581"/>
  <c r="BL586"/>
  <c r="AZ585"/>
  <c r="G574"/>
  <c r="G558"/>
  <c r="BL15"/>
  <c r="AZ15" s="1"/>
  <c r="BA398"/>
  <c r="AZ398" s="1"/>
  <c r="G401"/>
  <c r="BL401"/>
  <c r="BL403"/>
  <c r="AZ403" s="1"/>
  <c r="BA404"/>
  <c r="AZ404" s="1"/>
  <c r="BL406"/>
  <c r="AZ406" s="1"/>
  <c r="BA407"/>
  <c r="AZ407" s="1"/>
  <c r="G410"/>
  <c r="G411"/>
  <c r="G412"/>
  <c r="BL412"/>
  <c r="BA413"/>
  <c r="AZ413" s="1"/>
  <c r="BA414"/>
  <c r="AZ414" s="1"/>
  <c r="G417"/>
  <c r="BL417"/>
  <c r="BL419"/>
  <c r="AZ419" s="1"/>
  <c r="BA420"/>
  <c r="AZ420" s="1"/>
  <c r="BL422"/>
  <c r="AZ422" s="1"/>
  <c r="BA423"/>
  <c r="AZ423" s="1"/>
  <c r="BA424"/>
  <c r="AZ424" s="1"/>
  <c r="G427"/>
  <c r="G428"/>
  <c r="BL428"/>
  <c r="BA429"/>
  <c r="AZ429" s="1"/>
  <c r="BA430"/>
  <c r="AZ430" s="1"/>
  <c r="G433"/>
  <c r="BL433"/>
  <c r="BL435"/>
  <c r="AZ435" s="1"/>
  <c r="BA436"/>
  <c r="AZ436" s="1"/>
  <c r="BL438"/>
  <c r="AZ438" s="1"/>
  <c r="AZ442"/>
  <c r="AZ451"/>
  <c r="AZ454"/>
  <c r="AZ458"/>
  <c r="AZ469"/>
  <c r="AZ487"/>
  <c r="AZ489"/>
  <c r="BA315"/>
  <c r="AZ315" s="1"/>
  <c r="BL316"/>
  <c r="BL332"/>
  <c r="AZ332" s="1"/>
  <c r="BL346"/>
  <c r="AZ346" s="1"/>
  <c r="G349"/>
  <c r="BA350"/>
  <c r="AZ350" s="1"/>
  <c r="BL353"/>
  <c r="AZ353" s="1"/>
  <c r="C30" i="9"/>
  <c r="AZ402" i="3"/>
  <c r="AZ418"/>
  <c r="AZ434"/>
  <c r="G440"/>
  <c r="G441"/>
  <c r="BL441"/>
  <c r="BL443"/>
  <c r="AZ443" s="1"/>
  <c r="BA444"/>
  <c r="AZ444" s="1"/>
  <c r="BL446"/>
  <c r="AZ446" s="1"/>
  <c r="BA447"/>
  <c r="AZ447" s="1"/>
  <c r="BA448"/>
  <c r="AZ448" s="1"/>
  <c r="BL450"/>
  <c r="AZ450" s="1"/>
  <c r="G453"/>
  <c r="BL453"/>
  <c r="AZ453" s="1"/>
  <c r="G456"/>
  <c r="G457"/>
  <c r="BL457"/>
  <c r="BL459"/>
  <c r="AZ459" s="1"/>
  <c r="BA460"/>
  <c r="AZ460" s="1"/>
  <c r="BL462"/>
  <c r="AZ462" s="1"/>
  <c r="BA463"/>
  <c r="AZ463" s="1"/>
  <c r="BA464"/>
  <c r="AZ464" s="1"/>
  <c r="G467"/>
  <c r="G468"/>
  <c r="BL468"/>
  <c r="AZ468" s="1"/>
  <c r="G471"/>
  <c r="G472"/>
  <c r="G473"/>
  <c r="BL473"/>
  <c r="BA474"/>
  <c r="AZ474" s="1"/>
  <c r="BA475"/>
  <c r="AZ475" s="1"/>
  <c r="BL477"/>
  <c r="AZ477" s="1"/>
  <c r="BA478"/>
  <c r="AZ478" s="1"/>
  <c r="BA479"/>
  <c r="AZ479" s="1"/>
  <c r="BL481"/>
  <c r="AZ481" s="1"/>
  <c r="BA482"/>
  <c r="AZ482" s="1"/>
  <c r="BA483"/>
  <c r="AZ483" s="1"/>
  <c r="G485"/>
  <c r="G486"/>
  <c r="BL486"/>
  <c r="AZ486" s="1"/>
  <c r="G489"/>
  <c r="BL490"/>
  <c r="AZ316"/>
  <c r="G331"/>
  <c r="G364"/>
  <c r="BA366"/>
  <c r="AZ366" s="1"/>
  <c r="BL367"/>
  <c r="G369"/>
  <c r="BL381"/>
  <c r="AZ381" s="1"/>
  <c r="BL386"/>
  <c r="AZ386" s="1"/>
  <c r="G392"/>
  <c r="BL393"/>
  <c r="AZ393" s="1"/>
  <c r="BL396"/>
  <c r="AZ396" s="1"/>
  <c r="BA397"/>
  <c r="AZ397" s="1"/>
  <c r="BL209"/>
  <c r="AZ209" s="1"/>
  <c r="BA210"/>
  <c r="AZ210" s="1"/>
  <c r="G213"/>
  <c r="BL213"/>
  <c r="BL215"/>
  <c r="AZ215" s="1"/>
  <c r="BA216"/>
  <c r="AZ216" s="1"/>
  <c r="BL218"/>
  <c r="AZ218" s="1"/>
  <c r="BA219"/>
  <c r="AZ219" s="1"/>
  <c r="G222"/>
  <c r="G223"/>
  <c r="G224"/>
  <c r="BL224"/>
  <c r="BA225"/>
  <c r="AZ225" s="1"/>
  <c r="BL227"/>
  <c r="AZ227" s="1"/>
  <c r="BA228"/>
  <c r="AZ228" s="1"/>
  <c r="BA229"/>
  <c r="AZ229" s="1"/>
  <c r="G232"/>
  <c r="G233"/>
  <c r="G234"/>
  <c r="BL234"/>
  <c r="G237"/>
  <c r="G238"/>
  <c r="BL238"/>
  <c r="BA239"/>
  <c r="AZ239" s="1"/>
  <c r="BA240"/>
  <c r="AZ240" s="1"/>
  <c r="BA241"/>
  <c r="AZ241" s="1"/>
  <c r="BL243"/>
  <c r="AZ243" s="1"/>
  <c r="BA244"/>
  <c r="AZ244" s="1"/>
  <c r="BA245"/>
  <c r="AZ245" s="1"/>
  <c r="G248"/>
  <c r="BA248"/>
  <c r="AZ248" s="1"/>
  <c r="BA249"/>
  <c r="AZ249" s="1"/>
  <c r="BL251"/>
  <c r="AZ251" s="1"/>
  <c r="BA252"/>
  <c r="AZ252" s="1"/>
  <c r="BA253"/>
  <c r="AZ253" s="1"/>
  <c r="G256"/>
  <c r="G257"/>
  <c r="G258"/>
  <c r="BL258"/>
  <c r="G261"/>
  <c r="G262"/>
  <c r="BL262"/>
  <c r="G265"/>
  <c r="G266"/>
  <c r="BL266"/>
  <c r="BA267"/>
  <c r="AZ267" s="1"/>
  <c r="BA268"/>
  <c r="AZ268" s="1"/>
  <c r="BA269"/>
  <c r="AZ269" s="1"/>
  <c r="BL271"/>
  <c r="AZ271" s="1"/>
  <c r="BA272"/>
  <c r="AZ272" s="1"/>
  <c r="BA273"/>
  <c r="AZ273" s="1"/>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AZ258"/>
  <c r="AZ262"/>
  <c r="BL190"/>
  <c r="AZ190" s="1"/>
  <c r="BA192"/>
  <c r="AZ192" s="1"/>
  <c r="BL193"/>
  <c r="AZ193" s="1"/>
  <c r="G196"/>
  <c r="BL198"/>
  <c r="AZ198" s="1"/>
  <c r="G200"/>
  <c r="BL202"/>
  <c r="AZ202" s="1"/>
  <c r="BA204"/>
  <c r="AZ204" s="1"/>
  <c r="BA205"/>
  <c r="AZ205" s="1"/>
  <c r="BA206"/>
  <c r="AZ206" s="1"/>
  <c r="G19"/>
  <c r="BL19"/>
  <c r="BL21"/>
  <c r="AZ21" s="1"/>
  <c r="BA22"/>
  <c r="AZ22" s="1"/>
  <c r="BL24"/>
  <c r="AZ24" s="1"/>
  <c r="BA25"/>
  <c r="AZ25" s="1"/>
  <c r="G28"/>
  <c r="G29"/>
  <c r="G30"/>
  <c r="BL30"/>
  <c r="AZ30" s="1"/>
  <c r="BL32"/>
  <c r="AZ32" s="1"/>
  <c r="BA34"/>
  <c r="AZ34" s="1"/>
  <c r="BA36"/>
  <c r="AZ36" s="1"/>
  <c r="BA37"/>
  <c r="AZ37" s="1"/>
  <c r="BL39"/>
  <c r="AZ39" s="1"/>
  <c r="BA40"/>
  <c r="AZ40" s="1"/>
  <c r="BL42"/>
  <c r="AZ42" s="1"/>
  <c r="G45"/>
  <c r="G46"/>
  <c r="BL46"/>
  <c r="AZ46" s="1"/>
  <c r="G49"/>
  <c r="BL49"/>
  <c r="AZ49" s="1"/>
  <c r="BL51"/>
  <c r="AZ51" s="1"/>
  <c r="BA52"/>
  <c r="AZ52" s="1"/>
  <c r="BA53"/>
  <c r="AZ53" s="1"/>
  <c r="BL55"/>
  <c r="AZ55" s="1"/>
  <c r="BA56"/>
  <c r="AZ56" s="1"/>
  <c r="BL58"/>
  <c r="AZ58" s="1"/>
  <c r="G61"/>
  <c r="G62"/>
  <c r="BL62"/>
  <c r="AZ62" s="1"/>
  <c r="BA64"/>
  <c r="AZ64" s="1"/>
  <c r="BL66"/>
  <c r="AZ66" s="1"/>
  <c r="G69"/>
  <c r="G70"/>
  <c r="BL70"/>
  <c r="AZ70" s="1"/>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M100" i="43"/>
  <c r="I100"/>
  <c r="E100"/>
  <c r="I20" i="66"/>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E28" s="1"/>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A5" i="3"/>
  <c r="E27" i="6" s="1"/>
  <c r="E11"/>
  <c r="E61" i="39" s="1"/>
  <c r="BL17" i="3"/>
  <c r="AZ17" s="1"/>
  <c r="BL13"/>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D22" s="1"/>
  <c r="E32" i="6"/>
  <c r="L19" s="1"/>
  <c r="G1" i="68"/>
  <c r="K1" i="12"/>
  <c r="F30" i="6"/>
  <c r="F31" s="1"/>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S2" s="1"/>
  <c r="F103"/>
  <c r="F105"/>
  <c r="J106"/>
  <c r="N104"/>
  <c r="N107"/>
  <c r="AR12" i="1"/>
  <c r="AQ12"/>
  <c r="T12"/>
  <c r="AR10"/>
  <c r="E19" i="69"/>
  <c r="E19" i="68"/>
  <c r="E19" i="11"/>
  <c r="E1" i="73"/>
  <c r="K1" s="1"/>
  <c r="G41" i="69"/>
  <c r="G22"/>
  <c r="G41" i="68"/>
  <c r="G22"/>
  <c r="G27" i="12"/>
  <c r="G26"/>
  <c r="G41" i="11"/>
  <c r="G22"/>
  <c r="G25" i="12"/>
  <c r="C109" i="43"/>
  <c r="J109"/>
  <c r="C100"/>
  <c r="K109"/>
  <c r="E11"/>
  <c r="E10"/>
  <c r="E9"/>
  <c r="E8"/>
  <c r="C7" s="1"/>
  <c r="E81"/>
  <c r="B79" s="1"/>
  <c r="F109"/>
  <c r="AJ11"/>
  <c r="AJ13" s="1"/>
  <c r="AH11"/>
  <c r="AH13" s="1"/>
  <c r="AF11"/>
  <c r="AF13" s="1"/>
  <c r="AD11"/>
  <c r="AD13" s="1"/>
  <c r="AB11"/>
  <c r="AB13" s="1"/>
  <c r="Z11"/>
  <c r="Z13" s="1"/>
  <c r="Z7"/>
  <c r="S5"/>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C58" s="1"/>
  <c r="D58" s="1"/>
  <c r="E58" s="1"/>
  <c r="F58" s="1"/>
  <c r="G58" s="1"/>
  <c r="H58" s="1"/>
  <c r="I58" s="1"/>
  <c r="J58" s="1"/>
  <c r="K58" s="1"/>
  <c r="L58" s="1"/>
  <c r="M58" s="1"/>
  <c r="N58" s="1"/>
  <c r="O58" s="1"/>
  <c r="C7" i="21"/>
  <c r="C7" i="40"/>
  <c r="C63" s="1"/>
  <c r="M47" i="9"/>
  <c r="G19" i="43"/>
  <c r="P23" s="1"/>
  <c r="B71" i="39" s="1"/>
  <c r="T35" i="4"/>
  <c r="A19" i="51" s="1"/>
  <c r="B14" i="72" s="1"/>
  <c r="C46" i="36"/>
  <c r="D46" s="1"/>
  <c r="E46" s="1"/>
  <c r="C59" i="34"/>
  <c r="D59" s="1"/>
  <c r="C52" i="37"/>
  <c r="D52" s="1"/>
  <c r="A4" i="51"/>
  <c r="B6" i="72" s="1"/>
  <c r="C58" i="21"/>
  <c r="D58"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F9" i="67"/>
  <c r="F37"/>
  <c r="F40" i="15"/>
  <c r="F37"/>
  <c r="G1" i="73"/>
  <c r="M23" i="15"/>
  <c r="F16" i="67"/>
  <c r="F42" i="15"/>
  <c r="F42" i="67"/>
  <c r="M6" i="15"/>
  <c r="M26"/>
  <c r="F38" i="67"/>
  <c r="J15"/>
  <c r="J15" i="15"/>
  <c r="F6" i="67"/>
  <c r="M26"/>
  <c r="M9"/>
  <c r="M6"/>
  <c r="F9" i="15"/>
  <c r="M29" i="67"/>
  <c r="M24"/>
  <c r="F26"/>
  <c r="M28" i="15"/>
  <c r="F13"/>
  <c r="F43"/>
  <c r="M29"/>
  <c r="F7" i="67"/>
  <c r="L47"/>
  <c r="F16" i="15"/>
  <c r="M22" i="67"/>
  <c r="M9" i="15"/>
  <c r="M23" i="67"/>
  <c r="F8" i="15"/>
  <c r="M22"/>
  <c r="C76"/>
  <c r="F36" i="67"/>
  <c r="F8"/>
  <c r="M8"/>
  <c r="L48"/>
  <c r="M8" i="15"/>
  <c r="F36"/>
  <c r="F7"/>
  <c r="F40" i="67"/>
  <c r="F13"/>
  <c r="M24" i="15"/>
  <c r="F38"/>
  <c r="L47"/>
  <c r="F26"/>
  <c r="F43" i="67"/>
  <c r="M28"/>
  <c r="L48" i="15"/>
  <c r="C76" i="67"/>
  <c r="U39" i="40" l="1"/>
  <c r="AB39"/>
  <c r="S12" i="35"/>
  <c r="AA12"/>
  <c r="AA9" i="33"/>
  <c r="S9"/>
  <c r="AZ95" i="3"/>
  <c r="AZ71"/>
  <c r="AZ67"/>
  <c r="AZ65"/>
  <c r="AZ38"/>
  <c r="AZ20"/>
  <c r="AZ194"/>
  <c r="AZ185"/>
  <c r="AZ158"/>
  <c r="AZ153"/>
  <c r="AZ290"/>
  <c r="AZ235"/>
  <c r="AZ217"/>
  <c r="AZ208"/>
  <c r="AZ480"/>
  <c r="AZ476"/>
  <c r="AA34" i="35"/>
  <c r="S34"/>
  <c r="AZ449" i="3"/>
  <c r="AZ445"/>
  <c r="AZ431"/>
  <c r="AZ425"/>
  <c r="AZ421"/>
  <c r="D59" i="80"/>
  <c r="E59" s="1"/>
  <c r="F59" s="1"/>
  <c r="G59" s="1"/>
  <c r="H59" s="1"/>
  <c r="I59" s="1"/>
  <c r="J59" s="1"/>
  <c r="K59" s="1"/>
  <c r="L59" s="1"/>
  <c r="M59" s="1"/>
  <c r="N59" s="1"/>
  <c r="O59" s="1"/>
  <c r="J7"/>
  <c r="F7"/>
  <c r="F70" i="15"/>
  <c r="F52"/>
  <c r="E65" i="39"/>
  <c r="E56" i="40"/>
  <c r="T10" i="1"/>
  <c r="E4" i="4"/>
  <c r="K4" s="1"/>
  <c r="B46" i="48" s="1"/>
  <c r="B4" i="72" s="1"/>
  <c r="U12" i="36"/>
  <c r="AB12"/>
  <c r="AC36" i="35"/>
  <c r="W36"/>
  <c r="L58" i="67"/>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E63" i="39"/>
  <c r="T11" i="1"/>
  <c r="D9" i="69"/>
  <c r="C9" s="1"/>
  <c r="D19" i="12"/>
  <c r="C19" s="1"/>
  <c r="AQ9" i="1"/>
  <c r="AR11"/>
  <c r="E59" i="40"/>
  <c r="D68" i="39"/>
  <c r="D70" s="1"/>
  <c r="P24" i="43"/>
  <c r="B66" i="40" s="1"/>
  <c r="C28" i="15"/>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48" i="68"/>
  <c r="C77" i="9"/>
  <c r="C74" s="1"/>
  <c r="C30" i="69"/>
  <c r="D9" i="68"/>
  <c r="C9" s="1"/>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S6" i="43"/>
  <c r="C23"/>
  <c r="C21" s="1"/>
  <c r="S4"/>
  <c r="S3"/>
  <c r="S7"/>
  <c r="D11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P21" i="43"/>
  <c r="M20"/>
  <c r="C19" s="1"/>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Q7"/>
  <c r="B40"/>
  <c r="O19" i="43"/>
  <c r="P22"/>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B71" i="72" s="1"/>
  <c r="S21" i="6"/>
  <c r="L27"/>
  <c r="S26"/>
  <c r="S22"/>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10" i="67"/>
  <c r="AP7" i="1"/>
  <c r="C36" i="69" s="1"/>
  <c r="M7" i="1"/>
  <c r="O7" s="1"/>
  <c r="Q16"/>
  <c r="F27" i="69" s="1"/>
  <c r="H16" i="1"/>
  <c r="AB45" i="21"/>
  <c r="AC33"/>
  <c r="W33"/>
  <c r="S33"/>
  <c r="AA33"/>
  <c r="W32"/>
  <c r="AC32"/>
  <c r="AB9"/>
  <c r="U9"/>
  <c r="AA32"/>
  <c r="S32"/>
  <c r="W9"/>
  <c r="AC9"/>
  <c r="AB32"/>
  <c r="U32"/>
  <c r="AA10"/>
  <c r="S10"/>
  <c r="C16" i="67"/>
  <c r="M17" i="15"/>
  <c r="C16"/>
  <c r="M17" i="67"/>
  <c r="F59"/>
  <c r="C17" i="15"/>
  <c r="F31" i="67"/>
  <c r="S7" i="80" l="1"/>
  <c r="AA7"/>
  <c r="R49" s="1"/>
  <c r="H7"/>
  <c r="W7"/>
  <c r="AC7"/>
  <c r="V49" s="1"/>
  <c r="I49" s="1"/>
  <c r="E66" i="39"/>
  <c r="K16" i="1"/>
  <c r="M19" i="6"/>
  <c r="AR6" i="1"/>
  <c r="B5" i="62"/>
  <c r="B73" i="72" s="1"/>
  <c r="T7" i="1"/>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E6" i="6"/>
  <c r="D19" i="11"/>
  <c r="C19" s="1"/>
  <c r="C20" s="1"/>
  <c r="C17" i="4"/>
  <c r="B4" i="52" s="1"/>
  <c r="B43" i="72" s="1"/>
  <c r="D37" i="11"/>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J10" i="67"/>
  <c r="C53"/>
  <c r="C5"/>
  <c r="C32" s="1"/>
  <c r="F10" i="40"/>
  <c r="AA10" s="1"/>
  <c r="S20" i="6"/>
  <c r="I19"/>
  <c r="L18" i="9" s="1"/>
  <c r="M27" i="6"/>
  <c r="H10" i="39"/>
  <c r="J10"/>
  <c r="Q60" i="15"/>
  <c r="M16" i="1"/>
  <c r="N16" s="1"/>
  <c r="Q60" i="67"/>
  <c r="Q73"/>
  <c r="F27" i="11"/>
  <c r="Q61" i="67"/>
  <c r="Q74"/>
  <c r="C49"/>
  <c r="F1"/>
  <c r="Q52"/>
  <c r="E49" i="80" l="1"/>
  <c r="I53"/>
  <c r="J53" s="1"/>
  <c r="I54"/>
  <c r="J54" s="1"/>
  <c r="AB7"/>
  <c r="T49" s="1"/>
  <c r="G49" s="1"/>
  <c r="U7"/>
  <c r="Q61" i="15"/>
  <c r="E37" i="43"/>
  <c r="AA7" i="36"/>
  <c r="R36" s="1"/>
  <c r="E36" s="1"/>
  <c r="E40" s="1"/>
  <c r="F40" s="1"/>
  <c r="AC11" i="37"/>
  <c r="W11"/>
  <c r="AB7"/>
  <c r="T42" s="1"/>
  <c r="G42" s="1"/>
  <c r="G46" s="1"/>
  <c r="H46" s="1"/>
  <c r="W11" i="34"/>
  <c r="AC11"/>
  <c r="J5" i="67"/>
  <c r="J5" i="15"/>
  <c r="H20" i="6"/>
  <c r="AB7" i="36"/>
  <c r="T36" s="1"/>
  <c r="C23" i="68"/>
  <c r="E38" i="43"/>
  <c r="E6" i="3"/>
  <c r="C47" i="68"/>
  <c r="D45" s="1"/>
  <c r="AA10" i="39"/>
  <c r="D10" i="68"/>
  <c r="D10" i="11"/>
  <c r="C10" s="1"/>
  <c r="D20" i="12"/>
  <c r="C20" s="1"/>
  <c r="C18" s="1"/>
  <c r="M19" i="9"/>
  <c r="C118" s="1"/>
  <c r="C14" i="74" s="1"/>
  <c r="B2" s="1"/>
  <c r="D19" i="6"/>
  <c r="D25"/>
  <c r="D26"/>
  <c r="D15"/>
  <c r="C18" i="4"/>
  <c r="D22" i="6"/>
  <c r="D8"/>
  <c r="D21"/>
  <c r="D23"/>
  <c r="D24"/>
  <c r="D14"/>
  <c r="D20"/>
  <c r="D5"/>
  <c r="D6"/>
  <c r="D12"/>
  <c r="D9"/>
  <c r="D11"/>
  <c r="D10"/>
  <c r="D13"/>
  <c r="D28"/>
  <c r="D29"/>
  <c r="E61" i="40"/>
  <c r="H25" i="6"/>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F63" i="40"/>
  <c r="E65"/>
  <c r="E70" i="39"/>
  <c r="F70"/>
  <c r="S10" i="40"/>
  <c r="C38" i="67"/>
  <c r="H19" i="6"/>
  <c r="L19" i="9" s="1"/>
  <c r="S19" i="6"/>
  <c r="S27" s="1"/>
  <c r="I27"/>
  <c r="W10" i="39"/>
  <c r="AC10"/>
  <c r="U10"/>
  <c r="AB10"/>
  <c r="F50" i="11"/>
  <c r="F50" i="69"/>
  <c r="F50" i="68"/>
  <c r="C47" i="11"/>
  <c r="D45" s="1"/>
  <c r="C29"/>
  <c r="D27" s="1"/>
  <c r="C28"/>
  <c r="C27" s="1"/>
  <c r="L16" i="1"/>
  <c r="E53" i="80" l="1"/>
  <c r="F53" s="1"/>
  <c r="E54"/>
  <c r="F54" s="1"/>
  <c r="G53"/>
  <c r="H53" s="1"/>
  <c r="G54"/>
  <c r="H54" s="1"/>
  <c r="R50"/>
  <c r="R25" i="6"/>
  <c r="AA7" i="34"/>
  <c r="R49" s="1"/>
  <c r="E49" s="1"/>
  <c r="C34" i="11"/>
  <c r="C35" s="1"/>
  <c r="R20" i="6"/>
  <c r="R7" i="1" s="1"/>
  <c r="C36" i="11"/>
  <c r="J24" i="67"/>
  <c r="J18"/>
  <c r="J24" i="15"/>
  <c r="J18"/>
  <c r="G36" i="36"/>
  <c r="R37"/>
  <c r="AB7" i="34"/>
  <c r="T49" s="1"/>
  <c r="G49" s="1"/>
  <c r="G53" s="1"/>
  <c r="H53" s="1"/>
  <c r="W7" i="21"/>
  <c r="AA7"/>
  <c r="R48" s="1"/>
  <c r="E48" s="1"/>
  <c r="E52" s="1"/>
  <c r="F52" s="1"/>
  <c r="R26" i="6"/>
  <c r="R23"/>
  <c r="R24"/>
  <c r="R21"/>
  <c r="R8" i="1" s="1"/>
  <c r="R22" i="6"/>
  <c r="D30"/>
  <c r="D16"/>
  <c r="A7" i="51"/>
  <c r="B7" i="72" s="1"/>
  <c r="C4" i="52"/>
  <c r="B45" i="72" s="1"/>
  <c r="A10" i="51"/>
  <c r="B9" i="72" s="1"/>
  <c r="D27" i="6"/>
  <c r="D19" i="68"/>
  <c r="C10"/>
  <c r="C12" i="12"/>
  <c r="C15"/>
  <c r="C34" i="68"/>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G70" i="39"/>
  <c r="H27" i="6"/>
  <c r="R19"/>
  <c r="C14" i="12"/>
  <c r="C23"/>
  <c r="E6" i="76"/>
  <c r="C38" i="11" l="1"/>
  <c r="C49" i="80"/>
  <c r="C50"/>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F35" i="15"/>
  <c r="B6" i="76"/>
  <c r="F35" i="67"/>
  <c r="M21"/>
  <c r="M21" i="15"/>
  <c r="U6" i="1" l="1"/>
  <c r="B3" i="80"/>
  <c r="B2"/>
  <c r="I5" i="6"/>
  <c r="B2" i="76"/>
  <c r="B3" s="1"/>
  <c r="B3" i="43"/>
  <c r="C49" i="21"/>
  <c r="F63" i="67"/>
  <c r="C62" s="1"/>
  <c r="C34"/>
  <c r="J20"/>
  <c r="C24" i="68"/>
  <c r="C20"/>
  <c r="C28" s="1"/>
  <c r="C27" s="1"/>
  <c r="J20" i="15"/>
  <c r="F63"/>
  <c r="C62" s="1"/>
  <c r="C34"/>
  <c r="R16" i="1"/>
  <c r="C22" i="12"/>
  <c r="C30" s="1"/>
  <c r="C28" s="1"/>
  <c r="C33" i="68"/>
  <c r="I63" i="40"/>
  <c r="H65"/>
  <c r="C39" i="11"/>
  <c r="C43" s="1"/>
  <c r="C41" s="1"/>
  <c r="I70" i="39"/>
  <c r="F6" i="15"/>
  <c r="C10" l="1"/>
  <c r="C6"/>
  <c r="F49"/>
  <c r="C25" i="68"/>
  <c r="C22" s="1"/>
  <c r="C31" s="1"/>
  <c r="C27" i="12"/>
  <c r="C25" s="1"/>
  <c r="C32" s="1"/>
  <c r="B2" s="1"/>
  <c r="B3" s="1"/>
  <c r="C39" i="68"/>
  <c r="C43" s="1"/>
  <c r="C42"/>
  <c r="J63" i="40"/>
  <c r="I65"/>
  <c r="C46" i="11"/>
  <c r="C45" s="1"/>
  <c r="C49" s="1"/>
  <c r="C51" s="1"/>
  <c r="C52" s="1"/>
  <c r="B2" s="1"/>
  <c r="B3" s="1"/>
  <c r="J70" i="39"/>
  <c r="F31" i="15"/>
  <c r="F59"/>
  <c r="C5" l="1"/>
  <c r="C53"/>
  <c r="C49"/>
  <c r="C41" i="68"/>
  <c r="C46"/>
  <c r="C45" s="1"/>
  <c r="K63" i="40"/>
  <c r="J65"/>
  <c r="K70" i="39"/>
  <c r="C56" i="11"/>
  <c r="C57" s="1"/>
  <c r="C32" i="15" l="1"/>
  <c r="C38"/>
  <c r="C49" i="68"/>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C66" i="15" l="1"/>
  <c r="C60"/>
  <c r="C59" s="1"/>
  <c r="AG6" i="1"/>
  <c r="C80" i="15"/>
  <c r="C79" s="1"/>
  <c r="C65"/>
  <c r="Q68"/>
  <c r="L57"/>
  <c r="L60" s="1"/>
  <c r="M27" i="67"/>
  <c r="M27" i="15"/>
  <c r="F41"/>
  <c r="L51"/>
  <c r="F41" i="67"/>
  <c r="Q67" i="15" l="1"/>
  <c r="J26"/>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7" i="1"/>
  <c r="AO8"/>
  <c r="E2" i="69"/>
  <c r="AO6" i="1"/>
  <c r="B8" i="70" l="1"/>
  <c r="B7"/>
  <c r="B6"/>
  <c r="C46" i="15"/>
  <c r="B2" i="69"/>
  <c r="B3" s="1"/>
  <c r="B2" i="68"/>
  <c r="B3" i="67"/>
  <c r="E2" i="68"/>
  <c r="F20" i="31"/>
  <c r="D2" i="34"/>
  <c r="D2" i="36"/>
  <c r="D2" i="33"/>
  <c r="D2" i="35"/>
  <c r="D2" i="37"/>
  <c r="D2" i="21"/>
  <c r="B2" i="36" l="1"/>
  <c r="B3" s="1"/>
  <c r="B2" i="35"/>
  <c r="B3" s="1"/>
  <c r="B2" i="37"/>
  <c r="B3" s="1"/>
  <c r="B2" i="34"/>
  <c r="B2" i="21"/>
  <c r="B3" s="1"/>
  <c r="B2" i="70"/>
  <c r="B3" s="1"/>
  <c r="B3" i="68"/>
  <c r="C19" i="9"/>
  <c r="D19"/>
  <c r="D20"/>
  <c r="C21" l="1"/>
  <c r="C102"/>
  <c r="B3" i="34"/>
  <c r="G19" i="9"/>
  <c r="D102"/>
  <c r="D22"/>
  <c r="D21"/>
  <c r="D103"/>
  <c r="C20"/>
  <c r="C103" l="1"/>
  <c r="G20"/>
  <c r="R24" i="31" s="1"/>
  <c r="C32" i="9"/>
  <c r="G21"/>
  <c r="D34"/>
  <c r="S24" i="31" l="1"/>
  <c r="R32"/>
  <c r="S32" s="1"/>
  <c r="R28"/>
  <c r="S28" s="1"/>
  <c r="R31"/>
  <c r="S31" s="1"/>
  <c r="R27"/>
  <c r="S27" s="1"/>
  <c r="R30"/>
  <c r="S30" s="1"/>
  <c r="R26"/>
  <c r="S26" s="1"/>
  <c r="R29"/>
  <c r="S29" s="1"/>
  <c r="R25"/>
  <c r="S25" s="1"/>
  <c r="H109" i="9"/>
  <c r="S22" i="31" l="1"/>
  <c r="H110" i="9"/>
  <c r="D18" i="53" s="1"/>
  <c r="B35" i="72" s="1"/>
  <c r="D124" i="9"/>
  <c r="D16" i="53"/>
  <c r="B34" i="72" s="1"/>
  <c r="R22" i="31" l="1"/>
  <c r="B21" s="1"/>
  <c r="B20"/>
  <c r="D10" i="52"/>
  <c r="H14" i="74"/>
  <c r="D17" i="53"/>
  <c r="B36" i="72" s="1"/>
  <c r="D125" i="9"/>
  <c r="D11" i="52" s="1"/>
  <c r="B7" i="74" l="1"/>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B3" s="1"/>
  <c r="D35" i="9"/>
  <c r="C35" l="1"/>
  <c r="C34" l="1"/>
  <c r="H112" l="1"/>
  <c r="D21" i="53" s="1"/>
  <c r="B39" i="72" s="1"/>
  <c r="H111" i="9"/>
  <c r="D126" s="1"/>
  <c r="D59"/>
  <c r="M55" s="1"/>
  <c r="D19" i="53" l="1"/>
  <c r="B38" i="72" s="1"/>
  <c r="I14" i="74"/>
  <c r="B8" s="1"/>
  <c r="D127" i="9"/>
  <c r="D13" i="52" s="1"/>
  <c r="D12"/>
  <c r="F118" i="9"/>
  <c r="G118" s="1"/>
  <c r="G4" i="52" s="1"/>
  <c r="B52" i="72" s="1"/>
  <c r="D118" i="9"/>
  <c r="D119" s="1"/>
  <c r="D5" i="52" s="1"/>
  <c r="B49" i="72" s="1"/>
  <c r="H118" i="9"/>
  <c r="C104" s="1"/>
  <c r="D20" i="53" l="1"/>
  <c r="B40" i="72" s="1"/>
  <c r="D8" i="74"/>
  <c r="C8"/>
  <c r="H101" i="9"/>
  <c r="M48" s="1"/>
  <c r="I118"/>
  <c r="C105" s="1"/>
  <c r="H119"/>
  <c r="H5" i="52" s="1"/>
  <c r="F4"/>
  <c r="B51" i="72" s="1"/>
  <c r="F119" i="9"/>
  <c r="F5" i="52" s="1"/>
  <c r="B53" i="72" s="1"/>
  <c r="D14" i="74"/>
  <c r="H4" i="52"/>
  <c r="D4"/>
  <c r="B47" i="72" s="1"/>
  <c r="H107" i="9"/>
  <c r="M49" s="1"/>
  <c r="L68" l="1"/>
  <c r="M68" s="1"/>
  <c r="L65"/>
  <c r="M65" s="1"/>
  <c r="L64"/>
  <c r="M64" s="1"/>
  <c r="L67"/>
  <c r="M67" s="1"/>
  <c r="L66"/>
  <c r="M66" s="1"/>
  <c r="L63"/>
  <c r="M63" s="1"/>
  <c r="D45"/>
  <c r="D53" s="1"/>
  <c r="I4" i="52"/>
  <c r="D5" i="53"/>
  <c r="B20" i="72" s="1"/>
  <c r="H102" i="9"/>
  <c r="D7" i="53" s="1"/>
  <c r="B21" i="72" s="1"/>
  <c r="E118" i="9"/>
  <c r="E4" i="52" s="1"/>
  <c r="B48" i="72" s="1"/>
  <c r="D122" i="9"/>
  <c r="H108"/>
  <c r="D15" i="53" s="1"/>
  <c r="B31" i="72" s="1"/>
  <c r="D13" i="53"/>
  <c r="E14" i="74"/>
  <c r="B5"/>
  <c r="F14"/>
  <c r="M69" i="9" l="1"/>
  <c r="N69" s="1"/>
  <c r="C93"/>
  <c r="C86" s="1"/>
  <c r="D52"/>
  <c r="C78"/>
  <c r="C73" s="1"/>
  <c r="C85"/>
  <c r="C72"/>
  <c r="D55"/>
  <c r="M53" s="1"/>
  <c r="C64"/>
  <c r="C63" s="1"/>
  <c r="D6" i="53"/>
  <c r="B22" i="72" s="1"/>
  <c r="D5" i="74"/>
  <c r="C5"/>
  <c r="D14" i="53"/>
  <c r="B32" i="72" s="1"/>
  <c r="B30"/>
  <c r="G14" i="74"/>
  <c r="B6" s="1"/>
  <c r="D123" i="9"/>
  <c r="D9" i="52" s="1"/>
  <c r="D8"/>
  <c r="C95" i="9" l="1"/>
  <c r="C67"/>
  <c r="C68" s="1"/>
  <c r="D54" s="1"/>
  <c r="C79"/>
  <c r="D6" i="74"/>
  <c r="C6"/>
  <c r="C96" i="9" l="1"/>
  <c r="E96" s="1"/>
  <c r="E97" s="1"/>
  <c r="C80"/>
  <c r="E80" s="1"/>
  <c r="E81" s="1"/>
  <c r="C97" l="1"/>
  <c r="D58" s="1"/>
  <c r="D56" s="1"/>
  <c r="M54" s="1"/>
  <c r="N57" s="1"/>
  <c r="P57" s="1"/>
  <c r="C81"/>
  <c r="N59" l="1"/>
  <c r="N58"/>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<sst xmlns="http://schemas.openxmlformats.org/spreadsheetml/2006/main" count="7763" uniqueCount="3139">
  <si>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</si>
  <si>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</si>
  <si>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</si>
  <si>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</si>
  <si>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</si>
  <si>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</si>
  <si>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</si>
  <si>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</si>
  <si>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</si>
  <si>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</si>
  <si>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</si>
  <si>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</si>
  <si>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</si>
  <si>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</si>
  <si>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</si>
  <si>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</si>
  <si>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</si>
  <si>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</si>
  <si>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</si>
  <si>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</si>
  <si>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</si>
  <si>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</si>
  <si>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</si>
  <si>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</si>
  <si>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</si>
  <si>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</si>
  <si>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</si>
  <si>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</si>
  <si>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</si>
  <si>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</si>
  <si>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</si>
  <si>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</si>
  <si>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</si>
  <si>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</si>
  <si>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</si>
  <si>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</si>
  <si>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</si>
  <si>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</si>
  <si>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</si>
  <si>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</si>
  <si>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</si>
  <si>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</si>
  <si>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</si>
  <si>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</si>
  <si>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</si>
  <si>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</si>
  <si>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</si>
  <si>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</si>
  <si>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</si>
  <si>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</si>
  <si>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</si>
  <si>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</si>
  <si>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</si>
  <si>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</si>
  <si>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</si>
  <si>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</si>
  <si>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</si>
  <si>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</si>
  <si>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</si>
  <si>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</si>
  <si>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</si>
  <si>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</si>
  <si>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</si>
  <si>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</si>
  <si>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</si>
  <si>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</si>
  <si>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</si>
  <si>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</si>
  <si>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</si>
  <si>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</si>
  <si>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</si>
  <si>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</si>
  <si>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</si>
  <si>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</si>
  <si>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</si>
  <si>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</si>
  <si>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</si>
  <si>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</si>
  <si>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</si>
  <si>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</si>
  <si>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</si>
  <si>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</si>
  <si>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</si>
  <si>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</si>
  <si>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</si>
  <si>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</si>
  <si>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</si>
  <si>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</si>
  <si>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</si>
  <si>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</si>
  <si>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</si>
  <si>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</si>
  <si>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</si>
  <si>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</si>
  <si>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</si>
  <si>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</si>
  <si>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</si>
  <si>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</si>
  <si>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</si>
  <si>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</si>
  <si>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</si>
  <si>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</si>
  <si>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</si>
  <si>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</si>
  <si>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</si>
  <si>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</si>
  <si>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</si>
  <si>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</si>
  <si>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</si>
  <si>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</si>
  <si>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</si>
  <si>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</si>
  <si>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</si>
  <si>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</si>
  <si>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</si>
  <si>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</si>
  <si>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</si>
  <si>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</si>
  <si>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</si>
  <si>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</si>
  <si>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</si>
  <si>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</si>
  <si>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</si>
  <si>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</si>
  <si>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</si>
  <si>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</si>
  <si>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</si>
  <si>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</si>
  <si>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</si>
  <si>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</si>
  <si>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</si>
  <si>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</si>
  <si>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</si>
  <si>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</si>
  <si>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</si>
  <si>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</si>
  <si>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</si>
  <si>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</si>
  <si>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</si>
  <si>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</si>
  <si>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</si>
  <si>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</si>
  <si>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</si>
  <si>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</si>
  <si>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</si>
  <si>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</si>
  <si>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</si>
  <si>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</si>
  <si>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</si>
  <si>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</si>
  <si>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</si>
  <si>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</si>
  <si>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</si>
  <si>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</si>
  <si>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</si>
  <si>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</si>
  <si>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</si>
  <si>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</si>
  <si>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</si>
  <si>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</si>
  <si>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</si>
  <si>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</si>
  <si>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</si>
  <si>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</si>
  <si>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</si>
  <si>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</si>
  <si>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</si>
  <si>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</si>
  <si>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</si>
  <si>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</si>
  <si>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</si>
  <si>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</si>
  <si>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</si>
  <si>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</si>
  <si>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</si>
  <si>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</si>
  <si>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</si>
  <si>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</si>
  <si>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</si>
  <si>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</si>
  <si>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</si>
  <si>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</si>
  <si>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</si>
  <si>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</si>
  <si>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</si>
  <si>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</si>
  <si>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</si>
  <si>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</si>
  <si>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</si>
  <si>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</si>
  <si>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</si>
  <si>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</si>
  <si>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</si>
  <si>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</si>
  <si>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</si>
  <si>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</si>
  <si>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</si>
  <si>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</si>
  <si>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</si>
  <si>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</si>
  <si>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</si>
  <si>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</si>
  <si>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</si>
  <si>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</si>
  <si>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</si>
  <si>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</si>
  <si>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</si>
  <si>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</si>
  <si>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</si>
  <si>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</si>
  <si>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</si>
  <si>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</si>
  <si>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</si>
  <si>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</si>
  <si>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</si>
  <si>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</si>
  <si>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</si>
  <si>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</si>
  <si>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</si>
  <si>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</si>
  <si>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</si>
  <si>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</si>
  <si>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</si>
  <si>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</si>
  <si>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</si>
  <si>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</si>
  <si>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</si>
  <si>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</si>
  <si>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</si>
  <si>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</si>
  <si>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</si>
  <si>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</si>
  <si>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</si>
  <si>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</si>
  <si>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</si>
  <si>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</si>
  <si>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</si>
  <si>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</si>
  <si>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</si>
  <si>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</si>
  <si>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</si>
  <si>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</si>
  <si>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</si>
  <si>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</si>
  <si>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</si>
  <si>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</si>
  <si>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</si>
  <si>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</si>
  <si>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</si>
  <si>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</si>
  <si>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</si>
  <si>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</si>
  <si>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</si>
  <si>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</si>
  <si>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</si>
  <si>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</si>
  <si>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</si>
  <si>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</si>
  <si>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</si>
  <si>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</si>
  <si>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</si>
  <si>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</si>
  <si>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</si>
  <si>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</si>
  <si>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</si>
  <si>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</si>
  <si>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</si>
  <si>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</si>
  <si>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</si>
  <si>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</si>
  <si>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</si>
  <si>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</si>
  <si>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</si>
  <si>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</si>
  <si>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</si>
  <si>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</si>
  <si>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</si>
  <si>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</si>
  <si>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</si>
  <si>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</si>
  <si>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</si>
  <si>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</si>
  <si>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</si>
  <si>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</si>
  <si>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</si>
  <si>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</si>
  <si>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</si>
  <si>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</si>
  <si>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</si>
  <si>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</si>
  <si>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</si>
  <si>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</si>
  <si>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</si>
  <si>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</si>
  <si>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</si>
  <si>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</si>
  <si>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</si>
  <si>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</si>
  <si>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</si>
  <si>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</si>
  <si>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</si>
  <si>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</si>
  <si>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</si>
  <si>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</si>
  <si>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</si>
  <si>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</si>
  <si>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</si>
  <si>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</si>
  <si>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</si>
  <si>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</si>
  <si>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</si>
  <si>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</si>
  <si>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</si>
  <si>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</si>
  <si>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</si>
  <si>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</si>
  <si>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</si>
  <si>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</si>
  <si>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</si>
  <si>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</si>
  <si>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</si>
  <si>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</si>
  <si>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</si>
  <si>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</si>
  <si>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</si>
  <si>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</si>
  <si>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</si>
  <si>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</si>
  <si>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</si>
  <si>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</si>
  <si>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</si>
  <si>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</si>
  <si>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</si>
  <si>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</si>
  <si>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</si>
  <si>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</si>
  <si>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</si>
  <si>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</si>
  <si>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</si>
  <si>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</si>
  <si>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</si>
  <si>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</si>
  <si>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</si>
  <si>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</si>
  <si>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</si>
  <si>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</si>
  <si>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</si>
  <si>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</si>
  <si>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</si>
  <si>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</si>
  <si>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</si>
  <si>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</si>
  <si>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</si>
  <si>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</si>
  <si>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</si>
  <si>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</si>
  <si>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</si>
  <si>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</si>
  <si>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</si>
  <si>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</si>
  <si>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</si>
  <si>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</si>
  <si>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</si>
  <si>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</si>
  <si>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</si>
  <si>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</si>
  <si>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</si>
  <si>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</si>
  <si>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</si>
  <si>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</si>
  <si>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</si>
  <si>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</si>
  <si>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</si>
  <si>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</si>
  <si>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</si>
  <si>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</si>
  <si>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</si>
  <si>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</si>
  <si>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</si>
  <si>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</si>
  <si>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</si>
  <si>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</si>
  <si>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</si>
  <si>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</si>
  <si>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</si>
  <si>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</si>
  <si>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</si>
  <si>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</si>
  <si>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</si>
  <si>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</si>
  <si>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</si>
  <si>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</si>
  <si>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</si>
  <si>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</si>
  <si>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</si>
  <si>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</si>
  <si>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</si>
  <si>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</si>
  <si>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</si>
  <si>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</si>
  <si>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</si>
  <si>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</si>
  <si>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</si>
  <si>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</si>
  <si>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</si>
  <si>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</si>
  <si>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</si>
  <si>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</si>
  <si>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</si>
  <si>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</si>
  <si>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</si>
  <si>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</si>
  <si>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</si>
  <si>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</si>
  <si>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</si>
  <si>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</si>
  <si>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</si>
  <si>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</si>
  <si>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</si>
  <si>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</si>
  <si>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</si>
  <si>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</si>
  <si>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</si>
  <si>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</si>
  <si>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</si>
  <si>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</si>
  <si>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</si>
  <si>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</si>
  <si>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</si>
  <si>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</si>
  <si>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</si>
  <si>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</si>
  <si>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</si>
  <si>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</si>
  <si>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</si>
  <si>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</si>
  <si>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</si>
  <si>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</si>
  <si>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</si>
  <si>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</si>
  <si>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</si>
  <si>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</si>
  <si>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</si>
  <si>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</si>
  <si>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</si>
  <si>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</si>
  <si>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</si>
  <si>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</si>
  <si>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</si>
  <si>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</si>
  <si>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</si>
  <si>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</si>
  <si>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</si>
  <si>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</si>
  <si>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</si>
  <si>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</si>
  <si>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</si>
  <si>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</si>
  <si>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</si>
  <si>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</si>
  <si>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</si>
  <si>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</si>
  <si>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</si>
  <si>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</si>
  <si>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</si>
  <si>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</si>
  <si>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</si>
  <si>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</si>
  <si>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</si>
  <si>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</si>
  <si>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</si>
  <si>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</si>
  <si>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</si>
  <si>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</si>
  <si>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</si>
  <si>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</si>
  <si>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</si>
  <si>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</si>
  <si>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</si>
  <si>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</si>
  <si>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</si>
  <si>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</si>
  <si>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</si>
  <si>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</si>
  <si>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</si>
  <si>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</si>
  <si>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</si>
  <si>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</si>
  <si>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</si>
  <si>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</si>
  <si>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</si>
  <si>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</si>
  <si>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</si>
  <si>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</si>
  <si>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</si>
  <si>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</si>
  <si>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</si>
  <si>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</si>
  <si>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</si>
  <si>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</si>
  <si>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</si>
  <si>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</si>
  <si>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</si>
  <si>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</si>
  <si>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</si>
  <si>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</si>
  <si>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</si>
  <si>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</si>
  <si>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</si>
  <si>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</si>
  <si>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</si>
  <si>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</si>
  <si>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</si>
  <si>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</si>
  <si>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</si>
  <si>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</si>
  <si>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</si>
  <si>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</si>
  <si>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</si>
  <si>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</si>
  <si>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</si>
  <si>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</si>
  <si>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</si>
  <si>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</si>
  <si>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</si>
  <si>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</si>
  <si>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</si>
  <si>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</si>
  <si>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</si>
  <si>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</si>
  <si>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</si>
  <si>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</si>
  <si>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</si>
  <si>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</si>
  <si>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</si>
  <si>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</si>
  <si>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</si>
  <si>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</si>
  <si>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</si>
  <si>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</si>
  <si>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</si>
  <si>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</si>
  <si>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</si>
  <si>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</si>
  <si>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</si>
  <si>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</si>
  <si>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</si>
  <si>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</si>
  <si>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</si>
  <si>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</si>
  <si>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</si>
  <si>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</si>
  <si>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</si>
  <si>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</si>
  <si>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</si>
  <si>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</si>
  <si>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</si>
  <si>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</si>
  <si>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</si>
  <si>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</si>
  <si>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</si>
  <si>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</si>
  <si>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</si>
  <si>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</si>
  <si>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</si>
  <si>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</si>
  <si>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</si>
  <si>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</si>
  <si>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</si>
  <si>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</si>
  <si>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</si>
  <si>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</si>
  <si>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</si>
  <si>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</si>
  <si>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</si>
  <si>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</si>
  <si>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</si>
  <si>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</si>
  <si>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</si>
  <si>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</si>
  <si>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</si>
  <si>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</si>
  <si>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</si>
  <si>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</si>
  <si>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</si>
  <si>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</si>
  <si>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</si>
  <si>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</si>
  <si>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</si>
  <si>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</si>
  <si>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</si>
  <si>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</si>
  <si>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</si>
  <si>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</si>
  <si>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</si>
  <si>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</si>
  <si>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</si>
  <si>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</si>
  <si>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</si>
  <si>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</si>
  <si>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</si>
  <si>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</si>
  <si>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</si>
  <si>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</si>
  <si>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</si>
  <si>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</si>
  <si>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</si>
  <si>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</si>
  <si>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</si>
  <si>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</si>
  <si>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</si>
  <si>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</si>
  <si>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</si>
  <si>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</si>
  <si>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</si>
  <si>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</si>
  <si>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</si>
  <si>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</si>
  <si>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</si>
  <si>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</si>
  <si>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</si>
  <si>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</si>
  <si>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</si>
  <si>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</si>
  <si>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</si>
  <si>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</si>
  <si>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</si>
  <si>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</si>
  <si>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</si>
  <si>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</si>
  <si>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</si>
  <si>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</si>
  <si>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</si>
  <si>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</si>
  <si>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</si>
  <si>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</si>
  <si>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</si>
  <si>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</si>
  <si>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</si>
  <si>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</si>
  <si>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</si>
  <si>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</si>
  <si>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</si>
  <si>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</si>
  <si>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</si>
  <si>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</si>
  <si>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</si>
  <si>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</si>
  <si>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</si>
  <si>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</si>
  <si>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</si>
  <si>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</si>
  <si>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</si>
  <si>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</si>
  <si>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</si>
  <si>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</si>
  <si>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</si>
  <si>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</si>
  <si>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</si>
  <si>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</si>
  <si>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</si>
  <si>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</si>
  <si>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</si>
  <si>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</si>
  <si>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</si>
  <si>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</si>
  <si>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</si>
  <si>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</si>
  <si>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</si>
  <si>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</si>
  <si>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</si>
  <si>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</si>
  <si>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</si>
  <si>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</si>
  <si>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</si>
  <si>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</si>
  <si>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</si>
  <si>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</si>
  <si>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</si>
  <si>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</si>
  <si>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</si>
  <si>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</si>
  <si>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</si>
  <si>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</si>
  <si>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</si>
  <si>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</si>
  <si>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</si>
  <si>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</si>
  <si>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</si>
  <si>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</si>
  <si>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</si>
  <si>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</si>
  <si>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</si>
  <si>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</si>
  <si>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</si>
  <si>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</si>
  <si>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</si>
  <si>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</si>
  <si>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</si>
  <si>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</si>
  <si>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</si>
  <si>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</si>
  <si>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</si>
  <si>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</si>
  <si>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</si>
  <si>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</si>
  <si>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</si>
  <si>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</si>
  <si>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</si>
  <si>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</si>
  <si>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</si>
  <si>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</si>
  <si>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</si>
  <si>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</si>
  <si>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</si>
  <si>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</si>
  <si>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</si>
  <si>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</si>
  <si>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</si>
  <si>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</si>
  <si>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</si>
  <si>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</si>
  <si>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</si>
  <si>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</si>
  <si>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</si>
  <si>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</si>
  <si>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</si>
  <si>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</si>
  <si>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</si>
  <si>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</si>
  <si>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</si>
  <si>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</si>
  <si>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</si>
  <si>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</si>
  <si>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</si>
  <si>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</si>
  <si>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</si>
  <si>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</si>
  <si>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</si>
  <si>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</si>
  <si>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</si>
  <si>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</si>
  <si>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</si>
  <si>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</si>
  <si>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</si>
  <si>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</si>
  <si>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</si>
  <si>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</si>
  <si>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</si>
  <si>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</si>
  <si>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</si>
  <si>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</si>
  <si>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</si>
  <si>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</si>
  <si>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</si>
  <si>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</si>
  <si>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</si>
  <si>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</si>
  <si>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</si>
  <si>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</si>
  <si>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</si>
  <si>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</si>
  <si>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</si>
  <si>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</si>
  <si>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</si>
  <si>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</si>
  <si>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</si>
  <si>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</si>
  <si>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</si>
  <si>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</si>
  <si>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</si>
  <si>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</si>
  <si>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</si>
  <si>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</si>
  <si>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</si>
  <si>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</si>
  <si>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</si>
  <si>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</si>
  <si>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</si>
  <si>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</si>
  <si>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</si>
  <si>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</si>
  <si>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</si>
  <si>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</si>
  <si>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</si>
  <si>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</si>
  <si>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</si>
  <si>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</si>
  <si>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</si>
  <si>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</si>
  <si>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</si>
  <si>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</si>
  <si>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</si>
  <si>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</si>
  <si>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</si>
  <si>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</si>
  <si>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</si>
  <si>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</si>
  <si>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</si>
  <si>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</si>
  <si>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</si>
  <si>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</si>
  <si>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</si>
  <si>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</si>
  <si>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</si>
  <si>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</si>
  <si>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</si>
  <si>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</si>
  <si>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</si>
  <si>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</si>
  <si>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</si>
  <si>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</si>
  <si>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</si>
  <si>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</si>
  <si>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</si>
  <si>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</si>
  <si>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</si>
  <si>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</si>
  <si>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</si>
  <si>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</si>
  <si>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</si>
  <si>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</si>
  <si>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</si>
  <si>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</si>
  <si>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</si>
  <si>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</si>
  <si>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</si>
  <si>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</si>
  <si>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</si>
  <si>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</si>
  <si>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</si>
  <si>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</si>
  <si>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</si>
  <si>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</si>
  <si>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</si>
  <si>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</si>
  <si>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</si>
  <si>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</si>
  <si>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</si>
  <si>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</si>
  <si>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</si>
  <si>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</si>
  <si>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</si>
  <si>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</si>
  <si>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</si>
  <si>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</si>
  <si>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</si>
  <si>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</si>
  <si>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</si>
  <si>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</si>
  <si>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</si>
  <si>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</si>
  <si>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</si>
  <si>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</si>
  <si>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</si>
  <si>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</si>
  <si>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</si>
  <si>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</si>
  <si>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</si>
  <si>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</si>
  <si>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</si>
  <si>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</si>
  <si>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</si>
  <si>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</si>
  <si>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</si>
  <si>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</si>
  <si>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</si>
  <si>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</si>
  <si>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</si>
  <si>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</si>
  <si>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</si>
  <si>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</si>
  <si>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</si>
  <si>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</si>
  <si>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</si>
  <si>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</si>
  <si>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</si>
  <si>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</si>
  <si>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</si>
  <si>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</si>
  <si>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</si>
  <si>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</si>
  <si>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</si>
  <si>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</si>
  <si>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</si>
  <si>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</si>
  <si>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</si>
  <si>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</si>
  <si>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</si>
  <si>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</si>
  <si>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</si>
  <si>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</si>
  <si>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</si>
  <si>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</si>
  <si>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</si>
  <si>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</si>
  <si>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</si>
  <si>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</si>
  <si>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</si>
  <si>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</si>
  <si>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</si>
  <si>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</si>
  <si>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</si>
  <si>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</si>
  <si>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</si>
  <si>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</si>
  <si>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</si>
  <si>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</si>
  <si>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</si>
  <si>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</si>
  <si>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</si>
  <si>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</si>
  <si>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</si>
  <si>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</si>
  <si>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</si>
  <si>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</si>
  <si>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</si>
  <si>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</si>
  <si>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</si>
  <si>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</si>
  <si>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</si>
  <si>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</si>
  <si>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</si>
  <si>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</si>
  <si>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</si>
  <si>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</si>
  <si>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</si>
  <si>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</si>
  <si>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</si>
  <si>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</si>
  <si>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</si>
  <si>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</si>
  <si>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</si>
  <si>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</si>
  <si>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</si>
  <si>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</si>
  <si>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</si>
  <si>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</si>
  <si>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</si>
  <si>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</si>
  <si>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</si>
  <si>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</si>
  <si>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</si>
  <si>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</si>
  <si>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</si>
  <si>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</si>
  <si>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</si>
  <si>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</si>
  <si>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</si>
  <si>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</si>
  <si>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</si>
  <si>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</si>
  <si>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</si>
  <si>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</si>
  <si>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</si>
  <si>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</si>
  <si>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</si>
  <si>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</si>
  <si>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</si>
  <si>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</si>
  <si>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</si>
  <si>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</si>
  <si>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</si>
  <si>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</si>
  <si>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</si>
  <si>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</si>
  <si>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</si>
  <si>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</si>
  <si>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</si>
  <si>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</si>
  <si>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</si>
  <si>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</si>
  <si>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</si>
  <si>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</si>
  <si>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</si>
  <si>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</si>
  <si>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</si>
  <si>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</si>
  <si>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</si>
  <si>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</si>
  <si>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</si>
  <si>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</si>
  <si>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</si>
  <si>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</si>
  <si>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</si>
  <si>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</si>
  <si>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</si>
  <si>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</si>
  <si>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</si>
  <si>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</si>
  <si>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</si>
  <si>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</si>
  <si>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</si>
  <si>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</si>
  <si>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</si>
  <si>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</si>
  <si>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</si>
  <si>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</si>
  <si>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</si>
  <si>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</si>
  <si>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</si>
  <si>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</si>
  <si>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</si>
  <si>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</si>
  <si>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</si>
  <si>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</si>
  <si>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</si>
  <si>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</si>
  <si>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</si>
  <si>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</si>
  <si>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</si>
  <si>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</si>
  <si>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</si>
  <si>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</si>
  <si>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</si>
  <si>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</si>
  <si>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</si>
  <si>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</si>
  <si>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</si>
  <si>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</si>
  <si>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</si>
  <si>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</si>
  <si>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</si>
  <si>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</si>
  <si>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</si>
  <si>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</si>
  <si>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</si>
  <si>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</si>
  <si>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</si>
  <si>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</si>
  <si>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</si>
  <si>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</si>
  <si>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</si>
  <si>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</si>
  <si>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</si>
  <si>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</si>
  <si>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</si>
  <si>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</si>
  <si>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</si>
  <si>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</si>
  <si>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</si>
  <si>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</si>
  <si>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</si>
  <si>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</si>
  <si>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</si>
  <si>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</si>
  <si>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</si>
  <si>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</si>
  <si>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</si>
  <si>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</si>
  <si>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</si>
  <si>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</si>
  <si>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</si>
  <si>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</si>
  <si>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</si>
  <si>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</si>
  <si>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</si>
  <si>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</si>
  <si>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</si>
  <si>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</si>
  <si>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</si>
  <si>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</si>
  <si>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</si>
  <si>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</si>
  <si>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</si>
  <si>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</si>
  <si>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</si>
  <si>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</si>
  <si>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</si>
  <si>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</si>
  <si>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</si>
  <si>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</si>
  <si>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</si>
  <si>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</si>
  <si>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</si>
  <si>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</si>
  <si>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</si>
  <si>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</si>
  <si>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</si>
  <si>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</si>
  <si>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</si>
  <si>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</si>
  <si>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</si>
  <si>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</si>
  <si>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</si>
  <si>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</si>
  <si>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</si>
  <si>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</si>
  <si>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</si>
  <si>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</si>
  <si>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</si>
  <si>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</si>
  <si>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</si>
  <si>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</si>
  <si>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</si>
  <si>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</si>
  <si>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</si>
  <si>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</si>
  <si>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</si>
  <si>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</si>
  <si>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</si>
  <si>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</si>
  <si>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</si>
  <si>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</si>
  <si>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</si>
  <si>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</si>
  <si>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</si>
  <si>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</si>
  <si>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</si>
  <si>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</si>
  <si>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</si>
  <si>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</si>
  <si>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</si>
  <si>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</si>
  <si>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</si>
  <si>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</si>
  <si>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</si>
  <si>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</si>
  <si>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</si>
  <si>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</si>
  <si>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</si>
  <si>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</si>
  <si>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</si>
  <si>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</si>
  <si>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</si>
  <si>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</si>
  <si>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</si>
  <si>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</si>
  <si>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</si>
  <si>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</si>
  <si>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</si>
  <si>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</si>
  <si>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</si>
  <si>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</si>
  <si>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</si>
  <si>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</si>
  <si>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</si>
  <si>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</si>
  <si>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</si>
  <si>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</si>
  <si>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</si>
  <si>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</si>
  <si>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</si>
  <si>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</si>
  <si>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</si>
  <si>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</si>
  <si>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</si>
  <si>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</si>
  <si>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</si>
  <si>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</si>
  <si>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</si>
  <si>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</si>
  <si>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</si>
  <si>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</si>
  <si>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</si>
  <si>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</si>
  <si>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</si>
  <si>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</si>
  <si>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</si>
  <si>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</si>
  <si>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</si>
  <si>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</si>
  <si>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</si>
  <si>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</si>
  <si>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</si>
  <si>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</si>
  <si>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</si>
  <si>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</si>
  <si>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</si>
  <si>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</si>
  <si>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</si>
  <si>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</si>
  <si>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</si>
  <si>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</si>
  <si>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</si>
  <si>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</si>
  <si>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</si>
  <si>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</si>
  <si>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</si>
  <si>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</si>
  <si>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</si>
  <si>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</si>
  <si>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</si>
  <si>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</si>
  <si>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</si>
  <si>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</si>
  <si>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</si>
  <si>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</si>
  <si>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</si>
  <si>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</si>
  <si>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</si>
  <si>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</si>
  <si>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</si>
  <si>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</si>
  <si>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</si>
  <si>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</si>
  <si>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</si>
  <si>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</si>
  <si>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</si>
  <si>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</si>
  <si>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</si>
  <si>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</si>
  <si>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</si>
  <si>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</si>
  <si>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</si>
  <si>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</si>
  <si>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</si>
  <si>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</si>
  <si>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</si>
  <si>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</si>
  <si>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</si>
  <si>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</si>
  <si>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</si>
  <si>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</si>
  <si>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</si>
  <si>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</si>
  <si>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</si>
  <si>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</si>
  <si>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</si>
  <si>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</si>
  <si>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</si>
  <si>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</si>
  <si>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</si>
  <si>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</si>
  <si>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</si>
  <si>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</si>
  <si>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</si>
  <si>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</si>
  <si>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</si>
  <si>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</si>
  <si>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</si>
  <si>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</si>
  <si>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</si>
  <si>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</si>
  <si>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</si>
  <si>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</si>
  <si>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</si>
  <si>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</si>
  <si>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</si>
  <si>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</si>
  <si>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</si>
  <si>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</si>
  <si>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</si>
  <si>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</si>
  <si>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</si>
  <si>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</si>
  <si>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</si>
  <si>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</si>
  <si>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</si>
  <si>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</si>
  <si>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</si>
  <si>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</si>
  <si>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</si>
  <si>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</si>
  <si>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</si>
  <si>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</si>
  <si>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</si>
  <si>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</si>
  <si>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</si>
  <si>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</si>
  <si>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</si>
  <si>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</si>
  <si>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</si>
  <si>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</si>
  <si>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</si>
  <si>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</si>
  <si>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</si>
  <si>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</si>
  <si>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</si>
  <si>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</si>
  <si>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</si>
  <si>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</si>
  <si>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</si>
  <si>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</si>
  <si>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</si>
  <si>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</si>
  <si>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</si>
  <si>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</si>
  <si>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</si>
  <si>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</si>
  <si>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</si>
  <si>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</si>
  <si>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</si>
  <si>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</si>
  <si>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</si>
  <si>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</si>
  <si>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</si>
  <si>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</si>
  <si>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</si>
  <si>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</si>
  <si>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</si>
  <si>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</si>
  <si>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</si>
  <si>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</si>
  <si>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</si>
  <si>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</si>
  <si>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</si>
  <si>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</si>
  <si>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</si>
  <si>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</si>
  <si>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</si>
  <si>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</si>
  <si>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</si>
  <si>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</si>
  <si>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</si>
  <si>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</si>
  <si>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</si>
  <si>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</si>
  <si>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</si>
  <si>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</si>
  <si>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</si>
  <si>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</si>
  <si>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</si>
  <si>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</si>
  <si>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</si>
  <si>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</si>
  <si>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</si>
  <si>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</si>
  <si>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</si>
  <si>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</si>
  <si>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</si>
  <si>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</si>
  <si>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</si>
  <si>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</si>
  <si>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</si>
  <si>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</si>
  <si>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</si>
  <si>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</si>
  <si>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</si>
  <si>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</si>
  <si>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</si>
  <si>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</si>
  <si>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</si>
  <si>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</si>
  <si>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</si>
  <si>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</si>
  <si>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</si>
  <si>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</si>
  <si>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</si>
  <si>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</si>
  <si>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</si>
  <si>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</si>
  <si>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</si>
  <si>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</si>
  <si>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</si>
  <si>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</si>
  <si>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</si>
  <si>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</si>
  <si>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</si>
  <si>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</si>
  <si>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</si>
  <si>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</si>
  <si>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</si>
  <si>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</si>
  <si>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</si>
  <si>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</si>
  <si>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</si>
  <si>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</si>
  <si>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</si>
  <si>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</si>
  <si>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</si>
  <si>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</si>
  <si>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</si>
  <si>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</si>
  <si>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</si>
  <si>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</si>
  <si>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</si>
  <si>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</si>
  <si>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</si>
  <si>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</si>
  <si>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</si>
  <si>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</si>
  <si>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</si>
  <si>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</si>
  <si>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</si>
  <si>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</si>
  <si>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</si>
  <si>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</si>
  <si>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</si>
  <si>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</si>
  <si>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</si>
  <si>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</si>
  <si>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</si>
  <si>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</si>
  <si>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</si>
  <si>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</si>
  <si>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</si>
  <si>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</si>
  <si>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</si>
  <si>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</si>
  <si>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</si>
  <si>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</si>
  <si>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</si>
  <si>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</si>
  <si>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</si>
  <si>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</si>
  <si>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</si>
  <si>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</si>
  <si>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</si>
  <si>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</si>
  <si>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</si>
  <si>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</si>
  <si>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</si>
  <si>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</si>
  <si>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</si>
  <si>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</si>
  <si>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</si>
  <si>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</si>
  <si>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</si>
  <si>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</si>
  <si>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</si>
  <si>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</si>
  <si>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</si>
  <si>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</si>
  <si>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</si>
  <si>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</si>
  <si>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</si>
  <si>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</si>
  <si>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</si>
  <si>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</si>
  <si>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</si>
  <si>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</si>
  <si>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</si>
  <si>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</si>
  <si>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</si>
  <si>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</si>
  <si>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</si>
  <si>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</si>
  <si>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</si>
  <si>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</si>
  <si>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</si>
  <si>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</si>
  <si>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</si>
  <si>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</si>
  <si>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</si>
  <si>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</si>
  <si>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</si>
  <si>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</si>
  <si>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</si>
  <si>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</si>
  <si>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</si>
  <si>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</si>
  <si>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</si>
  <si>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</si>
  <si>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</si>
  <si>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</si>
  <si>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</si>
  <si>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</si>
  <si>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</si>
  <si>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</si>
  <si>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</si>
  <si>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</si>
  <si>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</si>
  <si>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</si>
  <si>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</si>
  <si>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</si>
  <si>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</si>
  <si>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</si>
  <si>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</si>
  <si>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</si>
  <si>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</si>
  <si>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</si>
  <si>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</si>
  <si>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</si>
  <si>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</si>
  <si>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</si>
  <si>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</si>
  <si>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</si>
  <si>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</si>
  <si>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</si>
  <si>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</si>
  <si>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</si>
  <si>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</si>
  <si>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</si>
  <si>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</si>
  <si>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</si>
  <si>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</si>
  <si>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</si>
  <si>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</si>
  <si>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</si>
  <si>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</si>
  <si>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</si>
  <si>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</si>
  <si>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</si>
  <si>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</si>
  <si>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</si>
  <si>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</si>
  <si>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</si>
  <si>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</si>
  <si>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</si>
  <si>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</si>
  <si>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</si>
  <si>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</si>
  <si>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</si>
  <si>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</si>
  <si>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</si>
  <si>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</si>
  <si>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</si>
  <si>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</si>
  <si>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</si>
  <si>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</si>
  <si>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</si>
  <si>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</si>
  <si>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</si>
  <si>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</si>
  <si>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</si>
  <si>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</si>
  <si>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</si>
  <si>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</si>
  <si>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</si>
  <si>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</si>
  <si>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</si>
  <si>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</si>
  <si>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</si>
  <si>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</si>
  <si>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</si>
  <si>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</si>
  <si>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</si>
  <si>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</si>
  <si>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</si>
  <si>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</si>
  <si>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</si>
  <si>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</si>
  <si>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</si>
  <si>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</si>
  <si>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</si>
  <si>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</si>
  <si>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</si>
  <si>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</si>
  <si>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</si>
  <si>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</si>
  <si>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</si>
  <si>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</si>
  <si>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</si>
  <si>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</si>
  <si>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</si>
  <si>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</si>
  <si>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</si>
  <si>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</si>
  <si>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</si>
  <si>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</si>
  <si>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</si>
  <si>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</si>
  <si>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</si>
  <si>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</si>
  <si>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</si>
  <si>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</si>
  <si>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</si>
  <si>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</si>
  <si>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</si>
  <si>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</si>
  <si>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</si>
  <si>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</si>
  <si>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</si>
  <si>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</si>
  <si>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</si>
  <si>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</si>
  <si>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</si>
  <si>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</si>
  <si>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</si>
  <si>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</si>
  <si>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</si>
  <si>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</si>
  <si>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</si>
  <si>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</si>
  <si>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</si>
  <si>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</si>
  <si>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</si>
  <si>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</si>
  <si>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</si>
  <si>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</si>
  <si>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</si>
  <si>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</si>
  <si>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</si>
  <si>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</si>
  <si>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</si>
  <si>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</si>
  <si>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</si>
  <si>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</si>
  <si>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</si>
  <si>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</si>
  <si>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</si>
  <si>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</si>
  <si>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</si>
  <si>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</si>
  <si>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</si>
  <si>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</si>
  <si>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</si>
  <si>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</si>
  <si>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</si>
  <si>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</si>
  <si>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</si>
  <si>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</si>
  <si>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</si>
  <si>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</si>
  <si>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</si>
  <si>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</si>
  <si>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</si>
  <si>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</si>
  <si>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</si>
  <si>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</si>
  <si>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</si>
  <si>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</si>
  <si>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</si>
  <si>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</si>
  <si>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</si>
  <si>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</si>
  <si>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</si>
  <si>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</si>
  <si>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</si>
  <si>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</si>
  <si>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</si>
  <si>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</si>
  <si>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</si>
  <si>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</si>
  <si>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</si>
  <si>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</si>
  <si>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</si>
  <si>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</si>
  <si>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</si>
  <si>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</si>
  <si>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</si>
  <si>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</si>
  <si>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</si>
  <si>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</si>
  <si>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</si>
  <si>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</si>
  <si>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</si>
  <si>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</si>
  <si>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</si>
  <si>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</si>
  <si>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</si>
  <si>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</si>
  <si>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</si>
  <si>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</si>
  <si>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</si>
  <si>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</si>
  <si>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</si>
  <si>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</si>
  <si>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</si>
  <si>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</si>
  <si>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</si>
  <si>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</si>
  <si>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</si>
  <si>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</si>
  <si>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</si>
  <si>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</si>
  <si>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</si>
  <si>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</si>
  <si>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</si>
  <si>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</si>
  <si>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</si>
  <si>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</si>
  <si>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</si>
  <si>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</si>
  <si>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</si>
  <si>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</si>
  <si>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</si>
  <si>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</si>
  <si>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</si>
  <si>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</si>
  <si>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</si>
  <si>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</si>
  <si>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</si>
  <si>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</si>
  <si>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</si>
  <si>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</si>
  <si>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</si>
  <si>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</si>
  <si>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</si>
  <si>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</si>
  <si>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</si>
  <si>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</si>
  <si>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</si>
  <si>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</si>
  <si>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</si>
  <si>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</si>
  <si>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</si>
  <si>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</si>
  <si>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</si>
  <si>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</si>
  <si>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</si>
  <si>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</si>
  <si>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</si>
  <si>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</si>
  <si>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</si>
  <si>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</si>
  <si>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</si>
  <si>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</si>
  <si>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</si>
  <si>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</si>
  <si>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</si>
  <si>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</si>
  <si>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</si>
  <si>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</si>
  <si>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</si>
  <si>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</si>
  <si>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</si>
  <si>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</si>
  <si>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</si>
  <si>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</si>
  <si>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</si>
  <si>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</si>
  <si>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</si>
  <si>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</si>
  <si>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</si>
  <si>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</si>
  <si>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</si>
  <si>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</si>
  <si>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</si>
  <si>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</si>
  <si>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</si>
  <si>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</si>
  <si>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</si>
  <si>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</si>
  <si>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</si>
  <si>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</si>
  <si>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</si>
  <si>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</si>
  <si>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</si>
  <si>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</si>
  <si>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</si>
  <si>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</si>
  <si>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</si>
  <si>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</si>
  <si>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</si>
  <si>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</si>
  <si>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</si>
  <si>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</si>
  <si>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</si>
  <si>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</si>
  <si>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</si>
  <si>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</si>
  <si>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</si>
  <si>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</si>
  <si>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</si>
  <si>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</si>
  <si>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</si>
  <si>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</si>
  <si>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</si>
  <si>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</si>
  <si>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</si>
  <si>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</si>
  <si>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</si>
  <si>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</si>
  <si>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</si>
  <si>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</si>
  <si>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</si>
  <si>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</si>
  <si>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</si>
  <si>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</si>
  <si>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</si>
  <si>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</si>
  <si>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</si>
  <si>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</si>
  <si>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</si>
  <si>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</si>
  <si>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</si>
  <si>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</si>
  <si>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</si>
  <si>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</si>
  <si>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</si>
  <si>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</si>
  <si>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</si>
  <si>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</si>
  <si>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</si>
  <si>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</si>
  <si>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</si>
  <si>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</si>
  <si>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</si>
  <si>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</si>
  <si>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</si>
  <si>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</si>
  <si>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</si>
  <si>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</si>
  <si>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</si>
  <si>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</si>
  <si>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</si>
  <si>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</si>
  <si>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</si>
  <si>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</si>
  <si>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</si>
  <si>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</si>
  <si>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</si>
  <si>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</si>
  <si>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</si>
  <si>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</si>
  <si>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</si>
  <si>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</si>
  <si>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</si>
  <si>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</si>
  <si>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</si>
  <si>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</si>
  <si>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</si>
  <si>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</si>
  <si>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</si>
  <si>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</si>
  <si>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</si>
  <si>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</si>
  <si>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</si>
  <si>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</si>
  <si>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</si>
  <si>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</si>
  <si>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</si>
  <si>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</si>
  <si>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</si>
  <si>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</si>
  <si>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</si>
  <si>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</si>
  <si>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</si>
  <si>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</si>
  <si>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</si>
  <si>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</si>
  <si>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</si>
  <si>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</si>
  <si>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</si>
  <si>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</si>
  <si>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</si>
  <si>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</si>
  <si>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</si>
  <si>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</si>
  <si>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</si>
  <si>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</si>
  <si>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</si>
  <si>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</si>
  <si>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</si>
  <si>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</si>
  <si>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</si>
  <si>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</si>
  <si>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</si>
  <si>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</si>
  <si>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</si>
  <si>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</si>
  <si>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</si>
  <si>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</si>
  <si>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</si>
  <si>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</si>
  <si>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</si>
  <si>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</si>
  <si>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</si>
  <si>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</si>
  <si>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</si>
  <si>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</si>
  <si>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</si>
  <si>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</si>
  <si>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</si>
  <si>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</si>
  <si>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</si>
  <si>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</si>
  <si>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</si>
  <si>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</si>
  <si>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</si>
  <si>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</si>
  <si>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</si>
  <si>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</si>
  <si>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</si>
  <si>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</si>
  <si>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</si>
  <si>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</si>
  <si>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</si>
  <si>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</si>
  <si>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</si>
  <si>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</si>
  <si>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</si>
  <si>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</si>
  <si>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</si>
  <si>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</si>
  <si>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</si>
  <si>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</si>
  <si>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</si>
  <si>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</si>
  <si>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</si>
  <si>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</si>
  <si>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</si>
  <si>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</si>
  <si>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</si>
  <si>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</si>
  <si>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</si>
  <si>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</si>
  <si>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</si>
  <si>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</si>
  <si>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</si>
  <si>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</si>
  <si>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</si>
  <si>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</si>
  <si>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</si>
  <si>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</si>
  <si>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</si>
  <si>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</si>
  <si>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</si>
  <si>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</si>
  <si>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</si>
  <si>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</si>
  <si>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</si>
  <si>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</si>
  <si>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</si>
  <si>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</si>
  <si>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</si>
  <si>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</si>
  <si>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</si>
  <si>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</si>
  <si>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</si>
  <si>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</si>
  <si>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</si>
  <si>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</si>
  <si>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</si>
  <si>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</si>
  <si>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</si>
  <si>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</si>
  <si>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</si>
  <si>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</si>
  <si>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</si>
  <si>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</si>
  <si>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</si>
  <si>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</si>
  <si>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</si>
  <si>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</si>
  <si>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</si>
  <si>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</si>
  <si>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</si>
  <si>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</si>
  <si>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</si>
  <si>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</si>
  <si>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</si>
  <si>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</si>
  <si>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</si>
  <si>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</si>
  <si>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</si>
  <si>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</si>
  <si>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</si>
  <si>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</si>
  <si>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</si>
  <si>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</si>
  <si>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</si>
  <si>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</si>
  <si>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</si>
  <si>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</si>
  <si>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</si>
  <si>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</si>
  <si>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</si>
  <si>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</si>
  <si>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</si>
  <si>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</si>
  <si>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</si>
  <si>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</si>
  <si>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</si>
  <si>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</si>
  <si>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</si>
  <si>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</si>
  <si>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</si>
  <si>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</si>
  <si>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</si>
  <si>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</si>
  <si>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</si>
  <si>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</si>
  <si>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</si>
  <si>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</si>
  <si>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</si>
  <si>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</si>
  <si>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</si>
  <si>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</si>
  <si>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</si>
  <si>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</si>
  <si>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</si>
  <si>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</si>
  <si>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</si>
  <si>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</si>
  <si>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</si>
  <si>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</si>
  <si>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</si>
  <si>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</si>
  <si>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</si>
  <si>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</si>
  <si>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</si>
  <si>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</si>
  <si>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</si>
  <si>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</si>
  <si>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</si>
  <si>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</si>
  <si>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</si>
  <si>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</si>
  <si>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</si>
  <si>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</si>
  <si>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</si>
  <si>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</si>
  <si>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</si>
  <si>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</si>
  <si>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</si>
  <si>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</si>
  <si>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</si>
  <si>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</si>
  <si>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</si>
  <si>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</si>
  <si>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</si>
  <si>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</si>
  <si>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</si>
  <si>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</si>
  <si>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</si>
  <si>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</si>
  <si>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</si>
  <si>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</si>
  <si>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</si>
  <si>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</si>
  <si>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</si>
  <si>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</si>
  <si>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</si>
  <si>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</si>
  <si>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</si>
  <si>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</si>
  <si>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</si>
  <si>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</si>
  <si>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</si>
  <si>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</si>
  <si>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</si>
  <si>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</si>
  <si>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</si>
  <si>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</si>
  <si>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</si>
  <si>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</si>
  <si>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</si>
  <si>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</si>
  <si>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</si>
  <si>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</si>
  <si>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</si>
  <si>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</si>
  <si>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</si>
  <si>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</si>
  <si>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</si>
  <si>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</si>
  <si>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</si>
  <si>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</si>
  <si>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</si>
  <si>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</si>
  <si>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</si>
  <si>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</si>
  <si>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</si>
  <si>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</si>
  <si>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</si>
  <si>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</si>
  <si>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</si>
  <si>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</si>
  <si>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</si>
  <si>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</si>
  <si>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</si>
  <si>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</si>
  <si>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</si>
  <si>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</si>
  <si>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</si>
  <si>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</si>
  <si>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</si>
  <si>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</si>
  <si>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</si>
  <si>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</si>
  <si>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</si>
  <si>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</si>
  <si>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</si>
  <si>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</si>
  <si>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</si>
  <si>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</si>
  <si>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</si>
  <si>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</si>
  <si>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</si>
  <si>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</si>
  <si>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</si>
  <si>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</si>
  <si>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</si>
  <si>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</si>
  <si>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</si>
  <si>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</si>
  <si>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</si>
  <si>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</si>
  <si>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</si>
  <si>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</si>
  <si>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</si>
  <si>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</si>
  <si>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</si>
  <si>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</si>
  <si>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</si>
  <si>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</si>
  <si>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</si>
  <si>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</si>
  <si>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</si>
  <si>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</si>
  <si>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</si>
  <si>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</si>
  <si>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</si>
  <si>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</si>
  <si>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</si>
  <si>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</si>
  <si>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</si>
  <si>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</si>
  <si>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</si>
  <si>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</si>
  <si>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</si>
  <si>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</si>
  <si>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</si>
  <si>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</si>
  <si>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</si>
  <si>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</si>
  <si>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</si>
  <si>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</si>
  <si>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</si>
  <si>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</si>
  <si>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</si>
  <si>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</si>
  <si>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</si>
  <si>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</si>
  <si>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</si>
  <si>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</si>
  <si>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</si>
  <si>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</si>
  <si>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</si>
  <si>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</si>
  <si>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</si>
  <si>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</si>
  <si>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</si>
  <si>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</si>
  <si>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</si>
  <si>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</si>
  <si>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</si>
  <si>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</si>
  <si>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</si>
  <si>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</si>
  <si>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</si>
  <si>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</si>
  <si>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</si>
  <si>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</si>
  <si>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</si>
  <si>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</si>
  <si>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</si>
  <si>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</si>
  <si>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</si>
  <si>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</si>
  <si>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</si>
  <si>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</si>
  <si>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</si>
  <si>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</si>
  <si>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</si>
  <si>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</si>
  <si>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</si>
  <si>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</si>
  <si>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</si>
  <si>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</si>
  <si>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</si>
  <si>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</si>
  <si>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</si>
  <si>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</si>
  <si>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</si>
  <si>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</si>
  <si>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</si>
  <si>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</si>
  <si>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</si>
  <si>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</si>
  <si>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</si>
  <si>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</si>
  <si>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</si>
  <si>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</si>
  <si>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</si>
  <si>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</si>
  <si>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</si>
  <si>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</si>
  <si>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</si>
  <si>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</si>
  <si>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</si>
  <si>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</si>
  <si>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</si>
  <si>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</si>
  <si>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</si>
  <si>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</si>
  <si>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</si>
  <si>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</si>
  <si>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</si>
  <si>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</si>
  <si>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</si>
  <si>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</si>
  <si>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</si>
  <si>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</si>
  <si>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</si>
  <si>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</si>
  <si>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</si>
  <si>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</si>
  <si>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</si>
  <si>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</si>
  <si>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</si>
  <si>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</si>
  <si>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</si>
  <si>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</si>
  <si>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</si>
  <si>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</si>
  <si>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</si>
  <si>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</si>
  <si>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</si>
  <si>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</si>
  <si>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</si>
  <si>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</si>
  <si>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</si>
  <si>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</si>
  <si>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</si>
  <si>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</si>
  <si>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</si>
  <si>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</si>
  <si>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</si>
  <si>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</si>
  <si>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</si>
  <si>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</si>
  <si>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</si>
  <si>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</si>
  <si>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</si>
  <si>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</si>
  <si>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</si>
  <si>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</si>
  <si>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</si>
  <si>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</si>
  <si>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</si>
  <si>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</si>
  <si>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</si>
  <si>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</si>
  <si>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</si>
  <si>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</si>
  <si>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</si>
  <si>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</si>
  <si>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</si>
  <si>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</si>
  <si>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</si>
  <si>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</si>
  <si>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</si>
  <si>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</si>
  <si>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</si>
  <si>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</si>
  <si>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</si>
  <si>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</si>
  <si>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</si>
  <si>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</si>
  <si>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</si>
  <si>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</si>
  <si>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</si>
  <si>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</si>
  <si>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</si>
  <si>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</si>
  <si>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</si>
  <si>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</si>
  <si>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</si>
  <si>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</si>
  <si>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</si>
  <si>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</si>
  <si>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</si>
  <si>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</si>
  <si>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</si>
  <si>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</si>
  <si>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</si>
  <si>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</si>
  <si>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</si>
  <si>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</si>
  <si>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</si>
  <si>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</si>
  <si>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</si>
  <si>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</si>
  <si>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</si>
  <si>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</si>
  <si>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</si>
  <si>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</si>
  <si>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</si>
  <si>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</si>
  <si>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</si>
  <si>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</si>
  <si>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</si>
  <si>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</si>
  <si>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</si>
  <si>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</si>
  <si>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</si>
  <si>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</si>
  <si>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</si>
  <si>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</si>
  <si>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</si>
  <si>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</si>
  <si>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</si>
  <si>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</si>
  <si>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</si>
  <si>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</si>
  <si>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</si>
  <si>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</si>
  <si>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</si>
  <si>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</si>
  <si>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</si>
  <si>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</si>
  <si>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</si>
  <si>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</si>
  <si>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</si>
  <si>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</si>
  <si>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</si>
  <si>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</si>
  <si>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</si>
  <si>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</si>
  <si>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</si>
  <si>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</si>
  <si>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</si>
  <si>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</si>
  <si>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</si>
  <si>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</si>
  <si>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</si>
  <si>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</si>
  <si>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</si>
  <si>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</si>
  <si>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</si>
  <si>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</si>
  <si>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</si>
  <si>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</si>
  <si>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</si>
  <si>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</si>
  <si>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</si>
  <si>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</si>
  <si>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</si>
  <si>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</si>
  <si>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</si>
  <si>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</si>
  <si>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</si>
  <si>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</si>
  <si>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</si>
  <si>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</si>
  <si>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</si>
  <si>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</si>
  <si>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</si>
  <si>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</si>
  <si>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</si>
  <si>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</si>
  <si>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</si>
  <si>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</si>
  <si>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</si>
  <si>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</si>
  <si>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</si>
  <si>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</si>
  <si>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</si>
  <si>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</si>
  <si>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</si>
  <si>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</si>
  <si>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</si>
  <si>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</si>
  <si>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</si>
  <si>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</si>
  <si>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</si>
  <si>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</si>
  <si>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</si>
  <si>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</si>
  <si>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</si>
  <si>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</si>
  <si>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</si>
  <si>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</si>
  <si>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</si>
  <si>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</si>
  <si>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</si>
  <si>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</si>
  <si>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</si>
  <si>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</si>
  <si>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</si>
  <si>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</si>
  <si>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</si>
  <si>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</si>
  <si>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</si>
  <si>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</si>
  <si>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</si>
  <si>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</si>
  <si>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</si>
  <si>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</si>
  <si>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</si>
  <si>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</si>
  <si>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</si>
  <si>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</si>
  <si>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</si>
  <si>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</si>
  <si>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</si>
  <si>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</si>
  <si>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</si>
  <si>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</si>
  <si>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</si>
  <si>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</si>
  <si>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</si>
  <si>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</si>
  <si>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</si>
  <si>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</si>
  <si>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</si>
  <si>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</si>
  <si>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</si>
  <si>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</si>
  <si>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</si>
  <si>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</si>
  <si>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</si>
  <si>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</si>
  <si>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</si>
  <si>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</si>
  <si>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</si>
  <si>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</si>
  <si>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</si>
  <si>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</si>
  <si>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</si>
  <si>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</si>
  <si>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</si>
  <si>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</si>
  <si>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</si>
  <si>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</si>
  <si>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</si>
  <si>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</si>
  <si>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</si>
  <si>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</si>
  <si>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</si>
  <si>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</si>
  <si>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</si>
  <si>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</si>
  <si>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</si>
  <si>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</si>
  <si>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</si>
  <si>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</si>
  <si>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</si>
  <si>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</si>
  <si>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</si>
  <si>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</si>
  <si>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</si>
  <si>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</si>
  <si>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</si>
  <si>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</si>
  <si>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</si>
  <si>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</si>
  <si>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</si>
  <si>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</si>
  <si>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</si>
  <si>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</si>
  <si>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</si>
  <si>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</si>
  <si>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</si>
  <si>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</si>
  <si>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</si>
  <si>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</si>
  <si>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</si>
  <si>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</si>
  <si>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</si>
  <si>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</si>
  <si>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</si>
  <si>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</si>
  <si>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</si>
  <si>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</si>
  <si>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</si>
  <si>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</si>
  <si>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</si>
  <si>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</si>
  <si>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</si>
  <si>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</si>
  <si>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</si>
  <si>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</si>
  <si>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</si>
  <si>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</si>
  <si>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</si>
  <si>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</si>
  <si>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</si>
  <si>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</si>
  <si>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</si>
  <si>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</si>
  <si>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</si>
  <si>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</si>
  <si>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</si>
  <si>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</si>
  <si>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</si>
  <si>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</si>
  <si>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</si>
  <si>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</si>
  <si>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</si>
  <si>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</si>
  <si>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</si>
  <si>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</si>
  <si>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</si>
  <si>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</si>
  <si>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</si>
  <si>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</si>
  <si>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</si>
  <si>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</si>
  <si>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</si>
  <si>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</si>
  <si>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</si>
  <si>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</si>
  <si>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</si>
  <si>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</si>
  <si>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</si>
  <si>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</si>
  <si>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</si>
  <si>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</si>
  <si>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</si>
  <si>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</si>
  <si>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</si>
  <si>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</si>
  <si>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</si>
  <si>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</si>
  <si>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</si>
  <si>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</si>
  <si>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</si>
  <si>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</si>
  <si>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</si>
  <si>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</si>
  <si>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</si>
  <si>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</si>
  <si>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</si>
  <si>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</si>
  <si>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</si>
  <si>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</si>
  <si>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</si>
  <si>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</si>
  <si>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</si>
  <si>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</si>
  <si>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</si>
  <si>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</si>
  <si>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</si>
  <si>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</si>
  <si>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</si>
  <si>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</si>
  <si>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</si>
  <si>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</si>
  <si>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</si>
  <si>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</si>
  <si>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</si>
  <si>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</si>
  <si>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</si>
  <si>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</si>
  <si>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</si>
  <si>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</si>
  <si>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</si>
  <si>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</si>
  <si>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</si>
  <si>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</si>
  <si>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</si>
  <si>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</si>
  <si>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</si>
  <si>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</si>
  <si>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</si>
  <si>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</si>
  <si>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</si>
  <si>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</si>
  <si>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</si>
  <si>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</si>
  <si>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</si>
  <si>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</si>
  <si>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</si>
  <si>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</si>
  <si>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</si>
  <si>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</si>
  <si>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</si>
  <si>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</si>
  <si>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</si>
  <si>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</si>
  <si>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</si>
  <si>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</si>
  <si>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</si>
  <si>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</si>
  <si>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</si>
  <si>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</si>
  <si>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</si>
  <si>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</si>
  <si>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</si>
  <si>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</si>
  <si>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</si>
  <si>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</si>
  <si>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</si>
  <si>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</si>
  <si>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</si>
  <si>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</si>
  <si>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</si>
  <si>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</si>
  <si>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</si>
  <si>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</si>
  <si>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</si>
  <si>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</si>
  <si>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</si>
  <si>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</si>
  <si>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</si>
  <si>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</si>
  <si>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</si>
  <si>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</si>
  <si>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</si>
  <si>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</si>
  <si>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</si>
  <si>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</si>
  <si>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</si>
  <si>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</si>
  <si>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</si>
  <si>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</si>
  <si>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</si>
  <si>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</si>
  <si>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</si>
  <si>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</si>
  <si>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</si>
  <si>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</si>
  <si>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</si>
  <si>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</si>
  <si>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</si>
  <si>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</si>
  <si>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</si>
  <si>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</si>
  <si>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</si>
  <si>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</si>
  <si>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</si>
  <si>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</si>
  <si>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</si>
  <si>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</si>
  <si>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</si>
  <si>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</si>
  <si>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</si>
  <si>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</si>
  <si>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</si>
  <si>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</si>
  <si>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</si>
  <si>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</si>
  <si>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</si>
  <si>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</si>
  <si>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</si>
  <si>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</si>
  <si>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</si>
  <si>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</si>
  <si>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</si>
  <si>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</si>
  <si>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</si>
  <si>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</si>
  <si>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</si>
  <si>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</si>
  <si>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</si>
  <si>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</si>
  <si>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</si>
  <si>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</si>
  <si>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</si>
  <si>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</si>
  <si>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</si>
  <si>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</si>
  <si>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</si>
  <si>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</si>
  <si>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</si>
  <si>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</si>
  <si>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</si>
  <si>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</si>
  <si>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</si>
  <si>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</si>
  <si>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</si>
  <si>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</si>
  <si>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</si>
  <si>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</si>
  <si>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</si>
  <si>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</si>
  <si>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</si>
  <si>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</si>
  <si>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</si>
  <si>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</si>
  <si>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</si>
  <si>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</si>
  <si>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</si>
  <si>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</si>
  <si>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</si>
  <si>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</si>
  <si>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</si>
  <si>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</si>
  <si>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</si>
  <si>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</si>
  <si>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</si>
  <si>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</si>
  <si>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</si>
  <si>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</si>
  <si>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</si>
  <si>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</si>
  <si>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</si>
  <si>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</si>
  <si>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</si>
  <si>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</si>
  <si>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</si>
  <si>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</si>
  <si>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</si>
  <si>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</si>
  <si>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</si>
  <si>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</si>
  <si>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</si>
  <si>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</si>
  <si>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</si>
  <si>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</si>
  <si>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</si>
  <si>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</si>
  <si>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</si>
  <si>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</si>
  <si>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</si>
  <si>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</si>
  <si>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</si>
  <si>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</si>
  <si>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</si>
  <si>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</si>
  <si>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</si>
  <si>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</si>
  <si>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</si>
  <si>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</si>
  <si>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</si>
  <si>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</si>
  <si>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</si>
  <si>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</si>
  <si>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</si>
  <si>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</si>
  <si>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</si>
  <si>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</si>
  <si>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</si>
  <si>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</si>
  <si>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</si>
  <si>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</si>
  <si>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</si>
  <si>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</si>
  <si>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</si>
  <si>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</si>
  <si>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</si>
  <si>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</si>
  <si>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</si>
  <si>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</si>
  <si>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</si>
  <si>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</si>
  <si>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</si>
  <si>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</si>
  <si>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</si>
  <si>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</si>
  <si>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</si>
  <si>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</si>
  <si>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</si>
  <si>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</si>
  <si>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</si>
  <si>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</si>
  <si>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</si>
  <si>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</si>
  <si>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</si>
  <si>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</si>
  <si>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</si>
  <si>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</si>
  <si>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</si>
  <si>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</si>
  <si>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</si>
  <si>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</si>
  <si>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</si>
  <si>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</si>
  <si>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</si>
  <si>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</si>
  <si>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</si>
  <si>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</si>
  <si>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</si>
  <si>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</si>
  <si>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</si>
  <si>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</si>
  <si>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</si>
  <si>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</si>
  <si>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</si>
  <si>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</si>
  <si>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</si>
  <si>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</si>
  <si>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</si>
  <si>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</si>
  <si>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</si>
  <si>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</si>
  <si>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</si>
  <si>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</si>
  <si>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</si>
  <si>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</si>
  <si>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</si>
  <si>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</si>
  <si>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</si>
  <si>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</si>
  <si>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</si>
  <si>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</si>
  <si>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</si>
  <si>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</si>
  <si>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</si>
  <si>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</si>
  <si>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</si>
  <si>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</si>
  <si>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</si>
  <si>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</si>
  <si>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</si>
  <si>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</si>
  <si>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</si>
  <si>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</si>
  <si>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</si>
  <si>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</si>
  <si>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</si>
  <si>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</si>
  <si>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</si>
  <si>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</si>
  <si>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</si>
  <si>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</si>
  <si>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</si>
  <si>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</si>
  <si>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</si>
  <si>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</si>
  <si>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</si>
  <si>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</si>
  <si>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</si>
  <si>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</si>
  <si>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</si>
  <si>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</si>
  <si>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</si>
  <si>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</si>
  <si>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</si>
  <si>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</si>
  <si>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</si>
  <si>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</si>
  <si>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</si>
  <si>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</si>
  <si>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</si>
  <si>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</si>
  <si>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</si>
  <si>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</si>
  <si>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</si>
  <si>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</si>
  <si>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</si>
  <si>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</si>
  <si>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</si>
  <si>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</si>
  <si>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</si>
  <si>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</si>
  <si>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</si>
  <si>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</si>
  <si>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</si>
  <si>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</si>
  <si>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</si>
  <si>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</si>
  <si>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</si>
  <si>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</si>
  <si>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</si>
  <si>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</si>
  <si>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</si>
  <si>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</si>
  <si>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</si>
  <si>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</si>
  <si>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</si>
  <si>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</si>
  <si>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</si>
  <si>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</si>
  <si>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</si>
  <si>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</si>
  <si>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</si>
  <si>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</si>
  <si>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</si>
  <si>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</si>
  <si>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</si>
  <si>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</si>
  <si>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</si>
  <si>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</si>
  <si>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</si>
  <si>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</si>
  <si>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</si>
  <si>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</si>
  <si>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</si>
  <si>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</si>
  <si>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</si>
  <si>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</si>
  <si>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</si>
  <si>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</si>
  <si>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</si>
  <si>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</si>
  <si>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</si>
  <si>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</si>
  <si>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</si>
  <si>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</si>
  <si>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</si>
  <si>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</si>
  <si>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</si>
  <si>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</si>
  <si>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</si>
  <si>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</si>
  <si>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</si>
  <si>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</si>
  <si>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</si>
  <si>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</si>
  <si>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</si>
  <si>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</si>
  <si>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</si>
  <si>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</si>
  <si>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</si>
  <si>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</si>
  <si>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</si>
  <si>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</si>
  <si>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</si>
  <si>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</si>
  <si>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</si>
  <si>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</si>
  <si>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</si>
  <si>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</si>
  <si>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</si>
  <si>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</si>
  <si>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</si>
  <si>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</si>
  <si>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</si>
  <si>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</si>
  <si>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</si>
  <si>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</si>
  <si>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</si>
  <si>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</si>
  <si>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</si>
  <si>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</si>
  <si>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</si>
  <si>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</si>
  <si>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</si>
  <si>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</si>
  <si>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</si>
  <si>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</si>
  <si>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</si>
  <si>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</si>
  <si>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</si>
  <si>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</si>
  <si>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</si>
  <si>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</si>
  <si>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</si>
  <si>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</si>
  <si>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</si>
  <si>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</si>
  <si>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</si>
  <si>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</si>
  <si>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</si>
  <si>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</si>
  <si>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</si>
  <si>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</si>
  <si>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</si>
  <si>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</si>
  <si>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</si>
  <si>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</si>
  <si>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</si>
  <si>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</si>
  <si>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</si>
  <si>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</si>
  <si>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</si>
  <si>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</si>
  <si>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</si>
  <si>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</si>
  <si>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</si>
  <si>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</si>
  <si>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</si>
  <si>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</si>
  <si>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</si>
  <si>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</si>
  <si>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</si>
  <si>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</si>
  <si>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</si>
  <si>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</si>
  <si>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</si>
  <si>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</si>
  <si>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</si>
  <si>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</si>
  <si>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</si>
  <si>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</si>
  <si>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</si>
  <si>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</si>
  <si>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</si>
  <si>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</si>
  <si>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</si>
  <si>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</si>
  <si>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</si>
  <si>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</si>
  <si>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</si>
  <si>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</si>
  <si>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</si>
  <si>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</si>
  <si>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</si>
  <si>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</si>
  <si>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</si>
  <si>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</si>
  <si>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</si>
  <si>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</si>
  <si>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</si>
  <si>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</si>
  <si>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</si>
  <si>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</si>
  <si>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</si>
  <si>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</si>
  <si>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</si>
  <si>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</si>
  <si>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</si>
  <si>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</si>
  <si>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</si>
  <si>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</si>
  <si>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</si>
  <si>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</si>
  <si>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</si>
  <si>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</si>
  <si>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</si>
  <si>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</si>
  <si>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</si>
  <si>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</si>
  <si>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</si>
  <si>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</si>
  <si>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</si>
  <si>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</si>
  <si>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</si>
  <si>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</si>
  <si>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</si>
  <si>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</si>
  <si>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</si>
  <si>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</si>
  <si>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</si>
  <si>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</si>
  <si>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</si>
  <si>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</si>
  <si>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</si>
  <si>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</si>
  <si>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</si>
  <si>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</si>
  <si>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</si>
  <si>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</si>
  <si>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</si>
  <si>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</si>
  <si>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</si>
  <si>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</si>
  <si>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</si>
  <si>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</si>
  <si>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</si>
  <si>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</si>
  <si>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</si>
  <si>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</si>
  <si>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</si>
  <si>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</si>
  <si>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</si>
  <si>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</si>
  <si>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</si>
  <si>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</si>
  <si>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</si>
  <si>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</si>
  <si>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</si>
  <si>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</si>
  <si>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</si>
  <si>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</si>
  <si>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</si>
  <si>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</si>
  <si>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</si>
  <si>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</si>
  <si>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</si>
  <si>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</si>
  <si>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</si>
  <si>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</si>
  <si>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</si>
  <si>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</si>
  <si>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</si>
  <si>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</si>
  <si>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</si>
  <si>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</si>
  <si>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</si>
  <si>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</si>
  <si>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</si>
  <si>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</si>
  <si>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刘梅</t>
  </si>
  <si>
    <t>吴薇</t>
  </si>
  <si>
    <t>中信银行</t>
    <phoneticPr fontId="6" type="noConversion"/>
  </si>
  <si>
    <t>房地产抵押价值</t>
  </si>
  <si>
    <t>北京市</t>
  </si>
  <si>
    <t>出让</t>
  </si>
  <si>
    <t>办公用房</t>
    <phoneticPr fontId="6" type="noConversion"/>
  </si>
  <si>
    <t>否</t>
  </si>
  <si>
    <t>复印件</t>
  </si>
  <si>
    <t>办公项目</t>
  </si>
  <si>
    <t>无</t>
  </si>
  <si>
    <t>现房</t>
  </si>
  <si>
    <t>通路</t>
  </si>
  <si>
    <t>通电</t>
  </si>
  <si>
    <t>通讯</t>
  </si>
  <si>
    <t>通上水</t>
  </si>
  <si>
    <t>通下水</t>
  </si>
  <si>
    <t>通热</t>
  </si>
  <si>
    <t>燃气</t>
  </si>
  <si>
    <t>是</t>
  </si>
  <si>
    <t>地上</t>
  </si>
  <si>
    <t>办公</t>
    <phoneticPr fontId="7" type="noConversion"/>
  </si>
  <si>
    <t>成新度</t>
  </si>
  <si>
    <t>收益法</t>
  </si>
  <si>
    <t>较一致</t>
    <phoneticPr fontId="25" type="noConversion"/>
  </si>
  <si>
    <t>单面临街</t>
  </si>
  <si>
    <t>钢混</t>
  </si>
  <si>
    <t>钢混</t>
    <phoneticPr fontId="32" type="noConversion"/>
  </si>
  <si>
    <t>精装</t>
    <phoneticPr fontId="32" type="noConversion"/>
  </si>
  <si>
    <t>普装</t>
  </si>
  <si>
    <t>普装</t>
    <phoneticPr fontId="32" type="noConversion"/>
  </si>
  <si>
    <t>简装</t>
    <phoneticPr fontId="32" type="noConversion"/>
  </si>
  <si>
    <t>毛坯</t>
    <phoneticPr fontId="32" type="noConversion"/>
  </si>
  <si>
    <t>甲级</t>
  </si>
  <si>
    <t>甲级</t>
    <phoneticPr fontId="32" type="noConversion"/>
  </si>
  <si>
    <t>乙级</t>
    <phoneticPr fontId="32" type="noConversion"/>
  </si>
  <si>
    <t>专业</t>
    <phoneticPr fontId="32" type="noConversion"/>
  </si>
  <si>
    <t>普通</t>
  </si>
  <si>
    <t>普通</t>
    <phoneticPr fontId="32" type="noConversion"/>
  </si>
  <si>
    <t>七通</t>
  </si>
  <si>
    <t>七通</t>
    <phoneticPr fontId="32" type="noConversion"/>
  </si>
  <si>
    <t>超高</t>
    <phoneticPr fontId="32" type="noConversion"/>
  </si>
  <si>
    <t>高速路</t>
    <phoneticPr fontId="32" type="noConversion"/>
  </si>
  <si>
    <t>城市快速路</t>
  </si>
  <si>
    <t>城市快速路</t>
    <phoneticPr fontId="32" type="noConversion"/>
  </si>
  <si>
    <t>城市主干道</t>
    <phoneticPr fontId="32" type="noConversion"/>
  </si>
  <si>
    <t>城市次干道</t>
    <phoneticPr fontId="32" type="noConversion"/>
  </si>
  <si>
    <t>城市支路</t>
    <phoneticPr fontId="32" type="noConversion"/>
  </si>
  <si>
    <t>高区</t>
    <phoneticPr fontId="32" type="noConversion"/>
  </si>
  <si>
    <t>中区</t>
  </si>
  <si>
    <t>中区</t>
    <phoneticPr fontId="32" type="noConversion"/>
  </si>
  <si>
    <t>低区</t>
  </si>
  <si>
    <t>低区</t>
    <phoneticPr fontId="32" type="noConversion"/>
  </si>
  <si>
    <t>正常</t>
  </si>
  <si>
    <t>办公</t>
    <phoneticPr fontId="32"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</si>
  <si>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</si>
  <si>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30-40（含）</t>
  </si>
  <si>
    <t>40-50（含）</t>
  </si>
  <si>
    <t>较好</t>
  </si>
  <si>
    <t>好</t>
  </si>
  <si>
    <t>标准写字楼</t>
  </si>
  <si>
    <t>标准写字楼</t>
    <phoneticPr fontId="32" type="noConversion"/>
  </si>
  <si>
    <t>标准</t>
  </si>
  <si>
    <t>标准</t>
    <phoneticPr fontId="32" type="noConversion"/>
  </si>
  <si>
    <t>非生产用房</t>
  </si>
  <si>
    <t>押一</t>
  </si>
  <si>
    <t>项目局部</t>
  </si>
  <si>
    <t>比较法-办公</t>
  </si>
  <si>
    <t>售价</t>
  </si>
  <si>
    <t>租金</t>
  </si>
  <si>
    <t>收益比率</t>
  </si>
  <si>
    <t>三里屯SOHO</t>
    <phoneticPr fontId="3" type="noConversion"/>
  </si>
  <si>
    <t>高区</t>
  </si>
  <si>
    <t>耿海涛</t>
    <phoneticPr fontId="6" type="noConversion"/>
  </si>
  <si>
    <t>抵押</t>
  </si>
  <si>
    <t>自然人</t>
  </si>
  <si>
    <t>朝阳区幸福二村39号楼4层4单元401</t>
    <phoneticPr fontId="6" type="noConversion"/>
  </si>
  <si>
    <t>办公41年</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</si>
  <si>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712052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</si>
  <si>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1"/>
        <color theme="9" tint="-0.249977111117893"/>
        <rFont val="宋体"/>
        <family val="3"/>
        <charset val="134"/>
      </rPr>
      <t>估价对象</t>
    </r>
    <r>
      <rPr>
        <sz val="11"/>
        <color theme="9" tint="-0.249977111117893"/>
        <rFont val="宋体"/>
        <family val="3"/>
        <charset val="134"/>
      </rPr>
      <t>周边办公楼项目较多，入驻率高，办公集聚程度较好</t>
    </r>
    <phoneticPr fontId="25" type="noConversion"/>
  </si>
  <si>
    <t>估价对象周边道路通达、公共交通通达、停车便捷，综合评价交通便捷度较好</t>
    <phoneticPr fontId="41" type="noConversion"/>
  </si>
  <si>
    <t>估价对象所在区域公共配套设施齐备</t>
    <phoneticPr fontId="41" type="noConversion"/>
  </si>
  <si>
    <t>估价对象所在区域基础设施水平达七通</t>
    <phoneticPr fontId="25" type="noConversion"/>
  </si>
  <si>
    <t>区域自然环境较好；人文环境较好；综合评价环境状况较好</t>
    <phoneticPr fontId="41" type="noConversion"/>
  </si>
  <si>
    <r>
      <t>2</t>
    </r>
    <r>
      <rPr>
        <sz val="11"/>
        <rFont val="宋体"/>
        <family val="3"/>
        <charset val="134"/>
      </rPr>
      <t>号线、东四十条</t>
    </r>
    <phoneticPr fontId="32" type="noConversion"/>
  </si>
  <si>
    <r>
      <t>10</t>
    </r>
    <r>
      <rPr>
        <sz val="11"/>
        <rFont val="宋体"/>
        <family val="3"/>
        <charset val="134"/>
      </rPr>
      <t>号线团结湖</t>
    </r>
    <phoneticPr fontId="32" type="noConversion"/>
  </si>
  <si>
    <r>
      <t>10</t>
    </r>
    <r>
      <rPr>
        <sz val="11"/>
        <rFont val="宋体"/>
        <family val="3"/>
        <charset val="134"/>
      </rPr>
      <t>号线团结湖</t>
    </r>
    <phoneticPr fontId="32" type="noConversion"/>
  </si>
  <si>
    <t>城市快速路——东二环路</t>
    <phoneticPr fontId="32" type="noConversion"/>
  </si>
  <si>
    <t>工体、朝阳公园</t>
    <phoneticPr fontId="32" type="noConversion"/>
  </si>
  <si>
    <t>工体、朝阳公园</t>
    <phoneticPr fontId="32" type="noConversion"/>
  </si>
  <si>
    <t>盈科中心</t>
    <phoneticPr fontId="3" type="noConversion"/>
  </si>
  <si>
    <t>保利大厦</t>
    <phoneticPr fontId="32" type="noConversion"/>
  </si>
  <si>
    <t>工体</t>
    <phoneticPr fontId="32" type="noConversion"/>
  </si>
  <si>
    <t>城市次干道——新东路</t>
    <phoneticPr fontId="32" type="noConversion"/>
  </si>
  <si>
    <t>城市次干道</t>
  </si>
  <si>
    <t>城市次干道——工人体育场北路</t>
    <phoneticPr fontId="32" type="noConversion"/>
  </si>
  <si>
    <t>盈科中心</t>
    <phoneticPr fontId="3" type="noConversion"/>
  </si>
  <si>
    <t>永利国际中心</t>
    <phoneticPr fontId="3" type="noConversion"/>
  </si>
  <si>
    <t>东方银座</t>
    <phoneticPr fontId="3" type="noConversion"/>
  </si>
  <si>
    <r>
      <rPr>
        <sz val="11"/>
        <rFont val="宋体"/>
        <family val="3"/>
        <charset val="134"/>
      </rPr>
      <t>城市快速路</t>
    </r>
    <r>
      <rPr>
        <sz val="11"/>
        <rFont val="Arial"/>
        <family val="2"/>
      </rPr>
      <t>——</t>
    </r>
    <r>
      <rPr>
        <sz val="11"/>
        <rFont val="宋体"/>
        <family val="3"/>
        <charset val="134"/>
      </rPr>
      <t>东二环路</t>
    </r>
    <phoneticPr fontId="32"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</si>
</sst>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225" fillId="0" borderId="4" xfId="0" applyNumberFormat="1" applyFont="1" applyFill="1" applyBorder="1" applyAlignment="1" applyProtection="1">
      <alignment horizontal="lef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protection locked="0"/>
    </xf>
    <xf numFmtId="181" fontId="47" fillId="9" borderId="1" xfId="0" applyNumberFormat="1" applyFont="1" applyFill="1" applyBorder="1" applyAlignment="1" applyProtection="1">
      <alignment vertical="center"/>
      <protection locked="0"/>
    </xf>
    <xf numFmtId="10" fontId="47" fillId="9" borderId="61" xfId="0" applyNumberFormat="1" applyFont="1" applyFill="1" applyBorder="1" applyAlignment="1" applyProtection="1">
      <alignment horizontal="center" vertical="center"/>
      <protection locked="0"/>
    </xf>
    <xf numFmtId="49" fontId="47" fillId="9" borderId="23"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180975</xdr:colOff>
      <xdr:row>13</xdr:row>
      <xdr:rowOff>86450</xdr:rowOff>
    </xdr:to>
    <xdr:pic>
      <xdr:nvPicPr>
        <xdr:cNvPr id="11" name="图片 10"/>
        <xdr:cNvPicPr>
          <a:picLocks noChangeAspect="1"/>
        </xdr:cNvPicPr>
      </xdr:nvPicPr>
      <xdr:blipFill>
        <a:blip xmlns:r="http://schemas.openxmlformats.org/officeDocument/2006/relationships" r:embed="rId1" cstate="print"/>
        <a:stretch>
          <a:fillRect/>
        </a:stretch>
      </xdr:blipFill>
      <xdr:spPr>
        <a:xfrm>
          <a:off x="685800" y="0"/>
          <a:ext cx="4981575" cy="2315300"/>
        </a:xfrm>
        <a:prstGeom prst="rect">
          <a:avLst/>
        </a:prstGeom>
      </xdr:spPr>
    </xdr:pic>
    <xdr:clientData/>
  </xdr:twoCellAnchor>
  <xdr:twoCellAnchor editAs="oneCell">
    <xdr:from>
      <xdr:col>1</xdr:col>
      <xdr:colOff>1</xdr:colOff>
      <xdr:row>14</xdr:row>
      <xdr:rowOff>0</xdr:rowOff>
    </xdr:from>
    <xdr:to>
      <xdr:col>8</xdr:col>
      <xdr:colOff>238125</xdr:colOff>
      <xdr:row>28</xdr:row>
      <xdr:rowOff>44456</xdr:rowOff>
    </xdr:to>
    <xdr:pic>
      <xdr:nvPicPr>
        <xdr:cNvPr id="12" name="图片 11"/>
        <xdr:cNvPicPr>
          <a:picLocks noChangeAspect="1"/>
        </xdr:cNvPicPr>
      </xdr:nvPicPr>
      <xdr:blipFill>
        <a:blip xmlns:r="http://schemas.openxmlformats.org/officeDocument/2006/relationships" r:embed="rId2" cstate="print"/>
        <a:stretch>
          <a:fillRect/>
        </a:stretch>
      </xdr:blipFill>
      <xdr:spPr>
        <a:xfrm>
          <a:off x="685801" y="2400300"/>
          <a:ext cx="5038724" cy="2444756"/>
        </a:xfrm>
        <a:prstGeom prst="rect">
          <a:avLst/>
        </a:prstGeom>
      </xdr:spPr>
    </xdr:pic>
    <xdr:clientData/>
  </xdr:twoCellAnchor>
  <xdr:twoCellAnchor editAs="oneCell">
    <xdr:from>
      <xdr:col>1</xdr:col>
      <xdr:colOff>1</xdr:colOff>
      <xdr:row>28</xdr:row>
      <xdr:rowOff>0</xdr:rowOff>
    </xdr:from>
    <xdr:to>
      <xdr:col>8</xdr:col>
      <xdr:colOff>237497</xdr:colOff>
      <xdr:row>43</xdr:row>
      <xdr:rowOff>161925</xdr:rowOff>
    </xdr:to>
    <xdr:pic>
      <xdr:nvPicPr>
        <xdr:cNvPr id="13" name="图片 12"/>
        <xdr:cNvPicPr>
          <a:picLocks noChangeAspect="1"/>
        </xdr:cNvPicPr>
      </xdr:nvPicPr>
      <xdr:blipFill>
        <a:blip xmlns:r="http://schemas.openxmlformats.org/officeDocument/2006/relationships" r:embed="rId3" cstate="print"/>
        <a:stretch>
          <a:fillRect/>
        </a:stretch>
      </xdr:blipFill>
      <xdr:spPr>
        <a:xfrm>
          <a:off x="685801" y="4800600"/>
          <a:ext cx="5038096" cy="2733675"/>
        </a:xfrm>
        <a:prstGeom prst="rect">
          <a:avLst/>
        </a:prstGeom>
      </xdr:spPr>
    </xdr:pic>
    <xdr:clientData/>
  </xdr:twoCellAnchor>
  <xdr:twoCellAnchor editAs="oneCell">
    <xdr:from>
      <xdr:col>8</xdr:col>
      <xdr:colOff>76200</xdr:colOff>
      <xdr:row>0</xdr:row>
      <xdr:rowOff>0</xdr:rowOff>
    </xdr:from>
    <xdr:to>
      <xdr:col>16</xdr:col>
      <xdr:colOff>170753</xdr:colOff>
      <xdr:row>21</xdr:row>
      <xdr:rowOff>142407</xdr:rowOff>
    </xdr:to>
    <xdr:pic>
      <xdr:nvPicPr>
        <xdr:cNvPr id="14" name="图片 13"/>
        <xdr:cNvPicPr>
          <a:picLocks noChangeAspect="1"/>
        </xdr:cNvPicPr>
      </xdr:nvPicPr>
      <xdr:blipFill>
        <a:blip xmlns:r="http://schemas.openxmlformats.org/officeDocument/2006/relationships" r:embed="rId4" cstate="print"/>
        <a:stretch>
          <a:fillRect/>
        </a:stretch>
      </xdr:blipFill>
      <xdr:spPr>
        <a:xfrm>
          <a:off x="5562600" y="0"/>
          <a:ext cx="5580953" cy="3742857"/>
        </a:xfrm>
        <a:prstGeom prst="rect">
          <a:avLst/>
        </a:prstGeom>
      </xdr:spPr>
    </xdr:pic>
    <xdr:clientData/>
  </xdr:twoCellAnchor>
  <xdr:twoCellAnchor editAs="oneCell">
    <xdr:from>
      <xdr:col>8</xdr:col>
      <xdr:colOff>95250</xdr:colOff>
      <xdr:row>21</xdr:row>
      <xdr:rowOff>66676</xdr:rowOff>
    </xdr:from>
    <xdr:to>
      <xdr:col>16</xdr:col>
      <xdr:colOff>95250</xdr:colOff>
      <xdr:row>43</xdr:row>
      <xdr:rowOff>170536</xdr:rowOff>
    </xdr:to>
    <xdr:pic>
      <xdr:nvPicPr>
        <xdr:cNvPr id="15" name="图片 14"/>
        <xdr:cNvPicPr>
          <a:picLocks noChangeAspect="1"/>
        </xdr:cNvPicPr>
      </xdr:nvPicPr>
      <xdr:blipFill>
        <a:blip xmlns:r="http://schemas.openxmlformats.org/officeDocument/2006/relationships" r:embed="rId5" cstate="print"/>
        <a:stretch>
          <a:fillRect/>
        </a:stretch>
      </xdr:blipFill>
      <xdr:spPr>
        <a:xfrm>
          <a:off x="5581650" y="3667126"/>
          <a:ext cx="5486400" cy="3875760"/>
        </a:xfrm>
        <a:prstGeom prst="rect">
          <a:avLst/>
        </a:prstGeom>
      </xdr:spPr>
    </xdr:pic>
    <xdr:clientData/>
  </xdr:twoCellAnchor>
  <xdr:twoCellAnchor editAs="oneCell">
    <xdr:from>
      <xdr:col>8</xdr:col>
      <xdr:colOff>85725</xdr:colOff>
      <xdr:row>43</xdr:row>
      <xdr:rowOff>142875</xdr:rowOff>
    </xdr:from>
    <xdr:to>
      <xdr:col>16</xdr:col>
      <xdr:colOff>28575</xdr:colOff>
      <xdr:row>65</xdr:row>
      <xdr:rowOff>79931</xdr:rowOff>
    </xdr:to>
    <xdr:pic>
      <xdr:nvPicPr>
        <xdr:cNvPr id="2" name="图片 1"/>
        <xdr:cNvPicPr>
          <a:picLocks noChangeAspect="1"/>
        </xdr:cNvPicPr>
      </xdr:nvPicPr>
      <xdr:blipFill>
        <a:blip xmlns:r="http://schemas.openxmlformats.org/officeDocument/2006/relationships" r:embed="rId6" cstate="print"/>
        <a:stretch>
          <a:fillRect/>
        </a:stretch>
      </xdr:blipFill>
      <xdr:spPr>
        <a:xfrm>
          <a:off x="5572125" y="7515225"/>
          <a:ext cx="5429250" cy="3708956"/>
        </a:xfrm>
        <a:prstGeom prst="rect">
          <a:avLst/>
        </a:prstGeom>
      </xdr:spPr>
    </xdr:pic>
    <xdr:clientData/>
  </xdr:twoCellAnchor>
  <xdr:twoCellAnchor editAs="oneCell">
    <xdr:from>
      <xdr:col>1</xdr:col>
      <xdr:colOff>0</xdr:colOff>
      <xdr:row>44</xdr:row>
      <xdr:rowOff>0</xdr:rowOff>
    </xdr:from>
    <xdr:to>
      <xdr:col>8</xdr:col>
      <xdr:colOff>114300</xdr:colOff>
      <xdr:row>58</xdr:row>
      <xdr:rowOff>79339</xdr:rowOff>
    </xdr:to>
    <xdr:pic>
      <xdr:nvPicPr>
        <xdr:cNvPr id="3" name="图片 2"/>
        <xdr:cNvPicPr>
          <a:picLocks noChangeAspect="1"/>
        </xdr:cNvPicPr>
      </xdr:nvPicPr>
      <xdr:blipFill>
        <a:blip xmlns:r="http://schemas.openxmlformats.org/officeDocument/2006/relationships" r:embed="rId7" cstate="print"/>
        <a:stretch>
          <a:fillRect/>
        </a:stretch>
      </xdr:blipFill>
      <xdr:spPr>
        <a:xfrm>
          <a:off x="685800" y="7543800"/>
          <a:ext cx="4914900" cy="2479639"/>
        </a:xfrm>
        <a:prstGeom prst="rect">
          <a:avLst/>
        </a:prstGeom>
      </xdr:spPr>
    </xdr:pic>
    <xdr:clientData/>
  </xdr:twoCellAnchor>
  <xdr:twoCellAnchor editAs="oneCell">
    <xdr:from>
      <xdr:col>0</xdr:col>
      <xdr:colOff>657225</xdr:colOff>
      <xdr:row>58</xdr:row>
      <xdr:rowOff>114300</xdr:rowOff>
    </xdr:from>
    <xdr:to>
      <xdr:col>8</xdr:col>
      <xdr:colOff>123825</xdr:colOff>
      <xdr:row>72</xdr:row>
      <xdr:rowOff>46775</xdr:rowOff>
    </xdr:to>
    <xdr:pic>
      <xdr:nvPicPr>
        <xdr:cNvPr id="4" name="图片 3"/>
        <xdr:cNvPicPr>
          <a:picLocks noChangeAspect="1"/>
        </xdr:cNvPicPr>
      </xdr:nvPicPr>
      <xdr:blipFill>
        <a:blip xmlns:r="http://schemas.openxmlformats.org/officeDocument/2006/relationships" r:embed="rId8" cstate="print"/>
        <a:stretch>
          <a:fillRect/>
        </a:stretch>
      </xdr:blipFill>
      <xdr:spPr>
        <a:xfrm>
          <a:off x="657225" y="10058400"/>
          <a:ext cx="4953000" cy="2332775"/>
        </a:xfrm>
        <a:prstGeom prst="rect">
          <a:avLst/>
        </a:prstGeom>
      </xdr:spPr>
    </xdr:pic>
    <xdr:clientData/>
  </xdr:twoCellAnchor>
  <xdr:twoCellAnchor editAs="oneCell">
    <xdr:from>
      <xdr:col>1</xdr:col>
      <xdr:colOff>0</xdr:colOff>
      <xdr:row>72</xdr:row>
      <xdr:rowOff>0</xdr:rowOff>
    </xdr:from>
    <xdr:to>
      <xdr:col>8</xdr:col>
      <xdr:colOff>161925</xdr:colOff>
      <xdr:row>86</xdr:row>
      <xdr:rowOff>47203</xdr:rowOff>
    </xdr:to>
    <xdr:pic>
      <xdr:nvPicPr>
        <xdr:cNvPr id="5" name="图片 4"/>
        <xdr:cNvPicPr>
          <a:picLocks noChangeAspect="1"/>
        </xdr:cNvPicPr>
      </xdr:nvPicPr>
      <xdr:blipFill>
        <a:blip xmlns:r="http://schemas.openxmlformats.org/officeDocument/2006/relationships" r:embed="rId9" cstate="print"/>
        <a:stretch>
          <a:fillRect/>
        </a:stretch>
      </xdr:blipFill>
      <xdr:spPr>
        <a:xfrm>
          <a:off x="685800" y="12344400"/>
          <a:ext cx="4962525" cy="2447503"/>
        </a:xfrm>
        <a:prstGeom prst="rect">
          <a:avLst/>
        </a:prstGeom>
      </xdr:spPr>
    </xdr:pic>
    <xdr:clientData/>
  </xdr:twoCellAnchor>
  <xdr:twoCellAnchor editAs="oneCell">
    <xdr:from>
      <xdr:col>8</xdr:col>
      <xdr:colOff>176392</xdr:colOff>
      <xdr:row>65</xdr:row>
      <xdr:rowOff>28575</xdr:rowOff>
    </xdr:from>
    <xdr:to>
      <xdr:col>16</xdr:col>
      <xdr:colOff>27051</xdr:colOff>
      <xdr:row>89</xdr:row>
      <xdr:rowOff>75013</xdr:rowOff>
    </xdr:to>
    <xdr:pic>
      <xdr:nvPicPr>
        <xdr:cNvPr id="6" name="图片 5"/>
        <xdr:cNvPicPr>
          <a:picLocks noChangeAspect="1"/>
        </xdr:cNvPicPr>
      </xdr:nvPicPr>
      <xdr:blipFill>
        <a:blip xmlns:r="http://schemas.openxmlformats.org/officeDocument/2006/relationships" r:embed="rId10" cstate="print"/>
        <a:stretch>
          <a:fillRect/>
        </a:stretch>
      </xdr:blipFill>
      <xdr:spPr>
        <a:xfrm>
          <a:off x="5662792" y="11172825"/>
          <a:ext cx="5337059" cy="4161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北京市朝阳区幸福二村39号楼4层4单元401房地产抵押价值预评估</v>
      </c>
    </row>
    <row r="3" spans="1:2" s="1598" customFormat="1">
      <c r="A3" s="1596" t="s">
        <v>1222</v>
      </c>
      <c r="B3" s="1597" t="str">
        <f>'预评函-封皮'!B40</f>
        <v>耿海涛</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受贵公司委托，我公司对北京市朝阳区幸福二村39号楼4层4单元401房地产抵押价值进行了预评估。</v>
      </c>
    </row>
    <row r="7" spans="1:2" s="1598" customFormat="1">
      <c r="A7" s="1596" t="s">
        <v>1265</v>
      </c>
      <c r="B7" s="1597" t="str">
        <f>'预评函-1'!A7</f>
        <v>估价对象为北京市朝阳区幸福二村39号楼4层4单元401房地产，为耿海涛所有。根据，估价对象（分摊）出让国有建设用地使用权面积为0平方米。根据《房屋所有权证》[X京房权证朝字第712052号]，估价对象建筑面积为898.32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朝阳区幸福二村39号楼4层4单元401房地产,属耿海涛开发建设的办公项目，该项目尚在开发建设中。根据，估价对象（分摊）出让国有建设用地使用权面积为0平方米。根据《房屋所有权证》[X京房权证朝字第712052号]，估价对象规划建筑面积为898.32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为估价委托人在向中信银行办理贷款手续过程中，确定房地产抵押贷款额度提供参考依据而评估房地产抵押价值。</v>
      </c>
    </row>
    <row r="12" spans="1:2" s="1598" customFormat="1">
      <c r="A12" s="1596" t="s">
        <v>1227</v>
      </c>
      <c r="B12" s="1597" t="str">
        <f>'预评函-1'!A15</f>
        <v>2017年11月14日（评估专业人员实地查勘之日）</v>
      </c>
    </row>
    <row r="13" spans="1:2" s="1598" customFormat="1">
      <c r="A13" s="1596" t="s">
        <v>1228</v>
      </c>
      <c r="B13" s="1597" t="str">
        <f>'预评函-1'!A18</f>
        <v>本次估价的“房地产价值”是指在正常市场情况下，在价值时点2017年11月14日，估价对象规划用途为办公用房，土地取得方式为出让，出让国有建设用地使用权剩余土地使用年限为办公41年，假定未设立法定优先受偿款下的房地产市场价值。</v>
      </c>
    </row>
    <row r="14" spans="1:2" s="1598" customFormat="1">
      <c r="A14" s="1596" t="s">
        <v>1229</v>
      </c>
      <c r="B14" s="1597" t="str">
        <f>'预评函-1'!A19</f>
        <v>其中，“出让国有建设用地使用权价值”是指估价对象用途为办公用房，实际开发程度为宗地红线外“七通”（即通路、通电、通讯、通上水、通下水、通热、燃气）、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本次评估采用的主估价方法为比较法和收益法。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4097</v>
      </c>
    </row>
    <row r="21" spans="1:2" s="1598" customFormat="1">
      <c r="A21" s="1596" t="s">
        <v>1236</v>
      </c>
      <c r="B21" s="1597">
        <f ca="1">'预评函-2'!D7</f>
        <v>45607</v>
      </c>
    </row>
    <row r="22" spans="1:2" s="1598" customFormat="1">
      <c r="A22" s="1596" t="s">
        <v>1237</v>
      </c>
      <c r="B22" s="1597" t="str">
        <f ca="1">'预评函-2'!D6</f>
        <v>肆仟零玖拾柒万元整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4097</v>
      </c>
    </row>
    <row r="31" spans="1:2" s="1598" customFormat="1">
      <c r="A31" s="1596" t="s">
        <v>1275</v>
      </c>
      <c r="B31" s="1597">
        <f ca="1">'预评函-2'!D15</f>
        <v>45607</v>
      </c>
    </row>
    <row r="32" spans="1:2" s="1598" customFormat="1">
      <c r="A32" s="1596" t="s">
        <v>1242</v>
      </c>
      <c r="B32" s="1597" t="str">
        <f ca="1">'预评函-2'!D14</f>
        <v>肆仟零玖拾柒万元整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北京市朝阳区幸福二村39号楼4层4单元401房地产</v>
      </c>
    </row>
    <row r="42" spans="1:2" s="1598" customFormat="1">
      <c r="A42" s="1596" t="s">
        <v>1289</v>
      </c>
      <c r="B42" s="1597" t="str">
        <f>'预评函-3'!B2</f>
        <v>建筑面积</v>
      </c>
    </row>
    <row r="43" spans="1:2" s="1598" customFormat="1">
      <c r="A43" s="1596" t="s">
        <v>1290</v>
      </c>
      <c r="B43" s="1597">
        <f>'预评函-3'!B4</f>
        <v>898.32</v>
      </c>
    </row>
    <row r="44" spans="1:2" s="1598" customFormat="1">
      <c r="A44" s="1596" t="s">
        <v>1274</v>
      </c>
      <c r="B44" s="1597" t="str">
        <f>'预评函-3'!C2</f>
        <v>(分摊)土地面积</v>
      </c>
    </row>
    <row r="45" spans="1:2" s="1598" customFormat="1">
      <c r="A45" s="1596" t="s">
        <v>1246</v>
      </c>
      <c r="B45" s="1597">
        <f>'预评函-3'!C4</f>
        <v>0</v>
      </c>
    </row>
    <row r="46" spans="1:2" s="1598" customFormat="1">
      <c r="A46" s="1596" t="s">
        <v>1272</v>
      </c>
      <c r="B46" s="1597" t="str">
        <f>'预评函-3'!D2</f>
        <v>出让国有建设用地使用权价值</v>
      </c>
    </row>
    <row r="47" spans="1:2" s="1598" customFormat="1">
      <c r="A47" s="1596" t="s">
        <v>1247</v>
      </c>
      <c r="B47" s="1597">
        <f ca="1">'预评函-3'!D4</f>
        <v>3187</v>
      </c>
    </row>
    <row r="48" spans="1:2" s="1598" customFormat="1">
      <c r="A48" s="1596" t="s">
        <v>1248</v>
      </c>
      <c r="B48" s="1597">
        <f ca="1">'预评函-3'!E4</f>
        <v>35477</v>
      </c>
    </row>
    <row r="49" spans="1:2" s="1598" customFormat="1">
      <c r="A49" s="1596" t="s">
        <v>1249</v>
      </c>
      <c r="B49" s="1597" t="str">
        <f ca="1">'预评函-3'!D5</f>
        <v>叁仟壹佰捌拾柒万元整</v>
      </c>
    </row>
    <row r="50" spans="1:2" s="1598" customFormat="1">
      <c r="A50" s="1596" t="s">
        <v>1273</v>
      </c>
      <c r="B50" s="1597" t="str">
        <f>'预评函-3'!F2</f>
        <v>在建建筑物价值</v>
      </c>
    </row>
    <row r="51" spans="1:2" s="1598" customFormat="1">
      <c r="A51" s="1596" t="s">
        <v>1250</v>
      </c>
      <c r="B51" s="1597">
        <f ca="1">'预评函-3'!F4</f>
        <v>910</v>
      </c>
    </row>
    <row r="52" spans="1:2" s="1598" customFormat="1">
      <c r="A52" s="1596" t="s">
        <v>1251</v>
      </c>
      <c r="B52" s="1597">
        <f ca="1">'预评函-3'!G4</f>
        <v>10130</v>
      </c>
    </row>
    <row r="53" spans="1:2" s="1598" customFormat="1">
      <c r="A53" s="1596" t="s">
        <v>1279</v>
      </c>
      <c r="B53" s="1597" t="str">
        <f ca="1">'预评函-3'!F5</f>
        <v>玖佰壹拾万元整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（1）根据估价对象《房屋所有权证》复印件，截至价值时点，估价对象抵押权未见登记。</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1691</v>
      </c>
      <c r="C1" s="2014" t="s">
        <v>759</v>
      </c>
      <c r="D1" s="2015" t="s">
        <v>1692</v>
      </c>
      <c r="E1" s="2015" t="s">
        <v>1693</v>
      </c>
      <c r="F1" s="2015" t="s">
        <v>1694</v>
      </c>
      <c r="G1" s="2015" t="s">
        <v>1695</v>
      </c>
      <c r="H1" s="2015" t="s">
        <v>1696</v>
      </c>
      <c r="I1" s="2015" t="s">
        <v>1697</v>
      </c>
      <c r="J1" s="2015" t="s">
        <v>1698</v>
      </c>
      <c r="K1" s="2015" t="s">
        <v>1699</v>
      </c>
      <c r="L1" s="2015" t="s">
        <v>1700</v>
      </c>
      <c r="M1" s="2015" t="s">
        <v>1701</v>
      </c>
      <c r="N1" s="2015" t="s">
        <v>1702</v>
      </c>
      <c r="O1" s="2015" t="s">
        <v>1703</v>
      </c>
      <c r="P1" s="2016" t="s">
        <v>753</v>
      </c>
      <c r="Q1" s="2016" t="s">
        <v>1144</v>
      </c>
      <c r="R1" s="2015" t="s">
        <v>1138</v>
      </c>
      <c r="S1" s="2015" t="s">
        <v>1704</v>
      </c>
      <c r="T1" s="2017" t="s">
        <v>1705</v>
      </c>
      <c r="U1" s="2015" t="s">
        <v>1706</v>
      </c>
      <c r="V1" s="2015" t="s">
        <v>1707</v>
      </c>
      <c r="W1" s="2015" t="s">
        <v>755</v>
      </c>
    </row>
    <row r="2" spans="1:23">
      <c r="A2" s="2019" t="s">
        <v>22</v>
      </c>
      <c r="B2" s="2019" t="s">
        <v>1708</v>
      </c>
      <c r="C2" s="2020" t="s">
        <v>760</v>
      </c>
      <c r="D2" s="2021" t="s">
        <v>1709</v>
      </c>
      <c r="E2" s="2021" t="s">
        <v>1710</v>
      </c>
      <c r="F2" s="2021" t="s">
        <v>1711</v>
      </c>
      <c r="G2" s="2021">
        <v>40</v>
      </c>
      <c r="H2" s="2021" t="s">
        <v>1711</v>
      </c>
      <c r="I2" s="2021" t="s">
        <v>1712</v>
      </c>
      <c r="J2" s="2021" t="s">
        <v>1713</v>
      </c>
      <c r="K2" s="2021" t="s">
        <v>1714</v>
      </c>
      <c r="L2" s="2021" t="s">
        <v>1714</v>
      </c>
      <c r="M2" s="2021" t="s">
        <v>1714</v>
      </c>
      <c r="N2" s="2021" t="s">
        <v>1714</v>
      </c>
      <c r="O2" s="2021" t="s">
        <v>1714</v>
      </c>
      <c r="P2" s="2021" t="s">
        <v>1714</v>
      </c>
      <c r="Q2" s="2021" t="s">
        <v>1714</v>
      </c>
      <c r="R2" s="2021" t="s">
        <v>1140</v>
      </c>
      <c r="S2" s="2021" t="s">
        <v>1714</v>
      </c>
      <c r="T2" s="2021" t="s">
        <v>1715</v>
      </c>
      <c r="U2" s="2021" t="s">
        <v>1714</v>
      </c>
      <c r="V2" s="2021" t="s">
        <v>1716</v>
      </c>
      <c r="W2" s="2021" t="s">
        <v>1714</v>
      </c>
    </row>
    <row r="3" spans="1:23">
      <c r="A3" s="2019" t="s">
        <v>1717</v>
      </c>
      <c r="B3" s="2022" t="s">
        <v>1145</v>
      </c>
      <c r="C3" s="2023" t="s">
        <v>761</v>
      </c>
      <c r="D3" s="2021" t="s">
        <v>1718</v>
      </c>
      <c r="E3" s="2021" t="s">
        <v>16</v>
      </c>
      <c r="F3" s="2021" t="s">
        <v>1719</v>
      </c>
      <c r="G3" s="2021">
        <v>50</v>
      </c>
      <c r="H3" s="2021" t="s">
        <v>1719</v>
      </c>
      <c r="I3" s="2021" t="s">
        <v>1720</v>
      </c>
      <c r="J3" s="2021" t="s">
        <v>1721</v>
      </c>
      <c r="K3" s="2021" t="s">
        <v>1722</v>
      </c>
      <c r="L3" s="2021" t="s">
        <v>1722</v>
      </c>
      <c r="M3" s="2021" t="s">
        <v>1722</v>
      </c>
      <c r="N3" s="2021" t="s">
        <v>1722</v>
      </c>
      <c r="O3" s="2021" t="s">
        <v>1722</v>
      </c>
      <c r="P3" s="2021" t="s">
        <v>1722</v>
      </c>
      <c r="Q3" s="2021" t="s">
        <v>1722</v>
      </c>
      <c r="R3" s="2021" t="s">
        <v>1139</v>
      </c>
      <c r="S3" s="2021" t="s">
        <v>1722</v>
      </c>
      <c r="T3" s="2021" t="s">
        <v>1723</v>
      </c>
      <c r="U3" s="2021" t="s">
        <v>1722</v>
      </c>
      <c r="V3" s="2021" t="s">
        <v>1724</v>
      </c>
      <c r="W3" s="2021" t="s">
        <v>1722</v>
      </c>
    </row>
    <row r="4" spans="1:23">
      <c r="A4" s="2019" t="s">
        <v>1725</v>
      </c>
      <c r="B4" s="2019" t="s">
        <v>1726</v>
      </c>
      <c r="C4" s="2020" t="s">
        <v>762</v>
      </c>
      <c r="D4" s="2021" t="s">
        <v>868</v>
      </c>
      <c r="E4" s="2021" t="s">
        <v>1727</v>
      </c>
      <c r="F4" s="2021" t="s">
        <v>1728</v>
      </c>
      <c r="G4" s="2021">
        <v>70</v>
      </c>
      <c r="H4" s="2021" t="s">
        <v>1728</v>
      </c>
      <c r="I4" s="2021" t="s">
        <v>1729</v>
      </c>
      <c r="K4" s="2021" t="s">
        <v>1730</v>
      </c>
      <c r="L4" s="2021" t="s">
        <v>1730</v>
      </c>
      <c r="M4" s="2021" t="s">
        <v>1730</v>
      </c>
      <c r="N4" s="2021" t="s">
        <v>1730</v>
      </c>
      <c r="O4" s="2021" t="s">
        <v>1730</v>
      </c>
      <c r="P4" s="2021" t="s">
        <v>1730</v>
      </c>
      <c r="Q4" s="2021" t="s">
        <v>1730</v>
      </c>
      <c r="R4" s="2021" t="s">
        <v>1141</v>
      </c>
      <c r="S4" s="2021" t="s">
        <v>1730</v>
      </c>
      <c r="T4" s="2021" t="s">
        <v>1731</v>
      </c>
      <c r="U4" s="2021" t="s">
        <v>1730</v>
      </c>
      <c r="W4" s="2021" t="s">
        <v>1730</v>
      </c>
    </row>
    <row r="5" spans="1:23">
      <c r="A5" s="2019" t="s">
        <v>1732</v>
      </c>
      <c r="B5" s="2019" t="s">
        <v>1733</v>
      </c>
      <c r="C5" s="2020" t="s">
        <v>763</v>
      </c>
      <c r="F5" s="2021" t="s">
        <v>1734</v>
      </c>
      <c r="H5" s="2021" t="s">
        <v>1735</v>
      </c>
      <c r="I5" s="2021" t="s">
        <v>1736</v>
      </c>
      <c r="K5" s="2021" t="s">
        <v>1737</v>
      </c>
      <c r="L5" s="2021" t="s">
        <v>1737</v>
      </c>
      <c r="M5" s="2021" t="s">
        <v>1737</v>
      </c>
      <c r="N5" s="2021" t="s">
        <v>1737</v>
      </c>
      <c r="O5" s="2021" t="s">
        <v>1737</v>
      </c>
      <c r="P5" s="2021" t="s">
        <v>1737</v>
      </c>
      <c r="Q5" s="2021" t="s">
        <v>1737</v>
      </c>
      <c r="R5" s="2021" t="s">
        <v>1142</v>
      </c>
      <c r="S5" s="2021" t="s">
        <v>1737</v>
      </c>
      <c r="T5" s="2021" t="s">
        <v>1738</v>
      </c>
      <c r="U5" s="2021" t="s">
        <v>1737</v>
      </c>
      <c r="W5" s="2021" t="s">
        <v>1737</v>
      </c>
    </row>
    <row r="6" spans="1:23">
      <c r="A6" s="2019" t="s">
        <v>1739</v>
      </c>
      <c r="B6" s="2022" t="s">
        <v>1146</v>
      </c>
      <c r="C6" s="2025" t="s">
        <v>30</v>
      </c>
      <c r="F6" s="2021" t="s">
        <v>1735</v>
      </c>
      <c r="H6" s="2021" t="s">
        <v>1740</v>
      </c>
      <c r="I6" s="2021" t="s">
        <v>1741</v>
      </c>
      <c r="K6" s="2021" t="s">
        <v>1742</v>
      </c>
      <c r="L6" s="2021" t="s">
        <v>1742</v>
      </c>
      <c r="M6" s="2021" t="s">
        <v>1742</v>
      </c>
      <c r="N6" s="2021" t="s">
        <v>1742</v>
      </c>
      <c r="O6" s="2021" t="s">
        <v>1742</v>
      </c>
      <c r="P6" s="2021" t="s">
        <v>1742</v>
      </c>
      <c r="Q6" s="2021" t="s">
        <v>1742</v>
      </c>
      <c r="R6" s="2021" t="s">
        <v>1143</v>
      </c>
      <c r="S6" s="2021" t="s">
        <v>1742</v>
      </c>
      <c r="T6" s="2021"/>
      <c r="U6" s="2021" t="s">
        <v>1742</v>
      </c>
      <c r="W6" s="2021" t="s">
        <v>1742</v>
      </c>
    </row>
    <row r="7" spans="1:23">
      <c r="A7" s="2019" t="s">
        <v>1743</v>
      </c>
      <c r="B7" s="2022" t="s">
        <v>1147</v>
      </c>
      <c r="C7" s="2020" t="s">
        <v>31</v>
      </c>
      <c r="F7" s="2021" t="s">
        <v>1744</v>
      </c>
      <c r="H7" s="2021" t="s">
        <v>1745</v>
      </c>
      <c r="I7" s="2021" t="s">
        <v>1746</v>
      </c>
    </row>
    <row r="8" spans="1:23">
      <c r="A8" s="2019" t="s">
        <v>1747</v>
      </c>
      <c r="B8" s="2019" t="s">
        <v>1748</v>
      </c>
      <c r="C8" s="2020" t="s">
        <v>764</v>
      </c>
      <c r="F8" s="2021" t="s">
        <v>1749</v>
      </c>
      <c r="H8" s="2021"/>
      <c r="I8" s="2021" t="s">
        <v>1750</v>
      </c>
    </row>
    <row r="9" spans="1:23">
      <c r="A9" s="2019" t="s">
        <v>1751</v>
      </c>
      <c r="B9" s="2019" t="s">
        <v>1752</v>
      </c>
      <c r="C9" s="2020" t="s">
        <v>765</v>
      </c>
      <c r="F9" s="2021" t="s">
        <v>1753</v>
      </c>
      <c r="H9" s="2021"/>
    </row>
    <row r="10" spans="1:23">
      <c r="A10" s="2019" t="s">
        <v>1754</v>
      </c>
      <c r="B10" s="2019" t="s">
        <v>1755</v>
      </c>
      <c r="C10" s="2020" t="s">
        <v>766</v>
      </c>
      <c r="F10" s="2021" t="s">
        <v>16</v>
      </c>
    </row>
    <row r="11" spans="1:23">
      <c r="A11" s="2019" t="s">
        <v>1756</v>
      </c>
      <c r="B11" s="2019" t="s">
        <v>1757</v>
      </c>
      <c r="C11" s="2020" t="s">
        <v>767</v>
      </c>
    </row>
    <row r="12" spans="1:23">
      <c r="A12" s="2019" t="s">
        <v>1758</v>
      </c>
      <c r="B12" s="2019" t="s">
        <v>1759</v>
      </c>
      <c r="C12" s="2020" t="s">
        <v>768</v>
      </c>
    </row>
    <row r="13" spans="1:23">
      <c r="A13" s="2019" t="s">
        <v>1760</v>
      </c>
      <c r="B13" s="2019" t="s">
        <v>1761</v>
      </c>
      <c r="C13" s="2020" t="s">
        <v>769</v>
      </c>
    </row>
    <row r="14" spans="1:23">
      <c r="A14" s="2019" t="s">
        <v>1762</v>
      </c>
      <c r="B14" s="2019" t="s">
        <v>1763</v>
      </c>
      <c r="C14" s="2021" t="s">
        <v>16</v>
      </c>
    </row>
    <row r="15" spans="1:23">
      <c r="A15" s="2019" t="s">
        <v>1764</v>
      </c>
      <c r="B15" s="2019" t="s">
        <v>1765</v>
      </c>
      <c r="C15" s="2020"/>
    </row>
    <row r="16" spans="1:23">
      <c r="A16" s="2019" t="s">
        <v>1766</v>
      </c>
      <c r="B16" s="2019" t="s">
        <v>756</v>
      </c>
      <c r="C16" s="2020"/>
    </row>
    <row r="17" spans="1:3">
      <c r="A17" s="2019" t="s">
        <v>1767</v>
      </c>
      <c r="B17" s="2019" t="s">
        <v>757</v>
      </c>
      <c r="C17" s="2020"/>
    </row>
    <row r="18" spans="1:3">
      <c r="A18" s="2019" t="s">
        <v>1768</v>
      </c>
      <c r="B18" s="2019" t="s">
        <v>757</v>
      </c>
      <c r="C18" s="2020"/>
    </row>
    <row r="19" spans="1:3">
      <c r="A19" s="2019" t="s">
        <v>1769</v>
      </c>
      <c r="B19" s="2019" t="s">
        <v>757</v>
      </c>
      <c r="C19" s="2020"/>
    </row>
    <row r="20" spans="1:3">
      <c r="A20" s="2019" t="s">
        <v>1770</v>
      </c>
      <c r="B20" s="2019" t="s">
        <v>757</v>
      </c>
      <c r="C20" s="2020"/>
    </row>
    <row r="21" spans="1:3">
      <c r="A21" s="2019" t="s">
        <v>1771</v>
      </c>
      <c r="B21" s="2019" t="s">
        <v>757</v>
      </c>
      <c r="C21" s="2020"/>
    </row>
    <row r="22" spans="1:3">
      <c r="A22" s="2019" t="s">
        <v>1772</v>
      </c>
      <c r="B22" s="2019" t="s">
        <v>757</v>
      </c>
      <c r="C22" s="2020"/>
    </row>
    <row r="23" spans="1:3">
      <c r="A23" s="2019" t="s">
        <v>1773</v>
      </c>
      <c r="B23" s="2019" t="s">
        <v>757</v>
      </c>
      <c r="C23" s="2020"/>
    </row>
    <row r="24" spans="1:3">
      <c r="A24" s="2019" t="s">
        <v>1774</v>
      </c>
      <c r="B24" s="2019" t="s">
        <v>757</v>
      </c>
      <c r="C24" s="2020"/>
    </row>
    <row r="25" spans="1:3">
      <c r="A25" s="2019" t="s">
        <v>1775</v>
      </c>
      <c r="B25" s="2019" t="s">
        <v>757</v>
      </c>
      <c r="C25" s="2020"/>
    </row>
    <row r="26" spans="1:3">
      <c r="A26" s="2019" t="s">
        <v>1776</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为估价委托人在向中信银行办理贷款手续过程中，确定房地产抵押贷款额度提供参考依据而评估房地产抵押价值。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耿海涛拟使用北京市朝阳区幸福二村39号楼4层4单元401房地产作为抵押担保物，向中信银行办理贷款手续。中信银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04"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14日，估价对象规划用途为办公用房土地取得方式为出让，出让国有建设用地使用权剩余土地使用年限为XX年(多用途剩余年限尾数不同时，可只体现小数点后一位)，假定未设立法定优先受偿款下的房地产市场价值。</v>
      </c>
    </row>
    <row r="54" spans="1:4">
      <c r="A54" s="3004"/>
      <c r="B54" s="2027" t="s">
        <v>864</v>
      </c>
      <c r="C54" s="2024" t="s">
        <v>1282</v>
      </c>
    </row>
    <row r="55" spans="1:4">
      <c r="A55" s="3004"/>
      <c r="B55" s="2027" t="s">
        <v>865</v>
      </c>
      <c r="C55" s="2024" t="s">
        <v>1283</v>
      </c>
    </row>
    <row r="56" spans="1:4">
      <c r="A56" s="3004"/>
      <c r="B56" s="2027" t="s">
        <v>866</v>
      </c>
      <c r="C56" s="2024" t="s">
        <v>1287</v>
      </c>
    </row>
    <row r="57" spans="1:4">
      <c r="A57" s="3004"/>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31" zoomScale="90" zoomScaleNormal="100" zoomScaleSheetLayoutView="90" workbookViewId="0">
      <selection activeCell="G13" sqref="G13"/>
    </sheetView>
  </sheetViews>
  <sheetFormatPr defaultColWidth="10" defaultRowHeight="18" customHeight="1"/>
  <cols>
    <col min="1" max="1" width="14.875" style="2037" customWidth="1"/>
    <col min="2" max="2" width="15.25" style="2037" customWidth="1"/>
    <col min="3" max="3" width="11.5" style="2037" customWidth="1"/>
    <col min="4" max="4" width="13.375" style="2037" customWidth="1"/>
    <col min="5" max="6" width="10" style="2037" customWidth="1"/>
    <col min="7" max="7" width="10.75" style="2037" customWidth="1"/>
    <col min="8" max="8" width="10" style="2037" customWidth="1"/>
    <col min="9" max="9" width="11.125" style="2162" customWidth="1"/>
    <col min="10" max="10" width="10" style="2037" customWidth="1"/>
    <col min="11" max="11" width="10" style="2163" customWidth="1"/>
    <col min="12" max="13" width="10" style="2164" customWidth="1"/>
    <col min="14" max="14" width="10" style="2037" customWidth="1"/>
    <col min="15" max="15" width="10" style="2162" customWidth="1"/>
    <col min="16" max="17" width="10" style="2037"/>
    <col min="18" max="18" width="10" style="2037" customWidth="1"/>
    <col min="19" max="16384" width="10" style="2037"/>
  </cols>
  <sheetData>
    <row r="1" spans="1:19" ht="38.25" customHeight="1" thickBot="1">
      <c r="A1" s="2030" t="s">
        <v>1777</v>
      </c>
      <c r="B1" s="3013" t="str">
        <f>IF(B10="北京市","北京市",C10)&amp;F10&amp;IF(结果表!G1="在建","出让国有建设用地使用权及在建建筑物",IF(结果表!G1="土地","出让国有建设用地使用权",))&amp;B9&amp;"预评估"</f>
        <v>北京市朝阳区幸福二村39号楼4层4单元401房地产抵押价值预评估</v>
      </c>
      <c r="C1" s="3014"/>
      <c r="D1" s="3014"/>
      <c r="E1" s="3014"/>
      <c r="F1" s="3014"/>
      <c r="G1" s="3014"/>
      <c r="H1" s="3014"/>
      <c r="I1" s="3015"/>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北京市朝阳区幸福二村39号楼4层4单元401房地产抵押价值</v>
      </c>
    </row>
    <row r="2" spans="1:19" ht="18" customHeight="1">
      <c r="A2" s="2031" t="s">
        <v>1778</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北京市朝阳区幸福二村39号楼4层4单元401房地产</v>
      </c>
    </row>
    <row r="3" spans="1:19" ht="18" customHeight="1">
      <c r="A3" s="2040" t="s">
        <v>1779</v>
      </c>
      <c r="B3" s="2041">
        <v>43053</v>
      </c>
      <c r="C3" s="2042" t="s">
        <v>1780</v>
      </c>
      <c r="D3" s="2041">
        <f>B3</f>
        <v>43053</v>
      </c>
      <c r="E3" s="2031"/>
      <c r="F3" s="2031"/>
      <c r="G3" s="2031"/>
      <c r="H3" s="2031"/>
      <c r="I3" s="2031"/>
      <c r="J3" s="2031"/>
      <c r="K3" s="2032"/>
      <c r="L3" s="2033"/>
      <c r="M3" s="2033"/>
      <c r="N3" s="2034"/>
      <c r="O3" s="2035"/>
      <c r="P3" s="2034"/>
      <c r="Q3" s="2034"/>
      <c r="R3" s="2034"/>
      <c r="S3" s="2036"/>
    </row>
    <row r="4" spans="1:19" ht="18" customHeight="1" thickBot="1">
      <c r="A4" s="2043" t="s">
        <v>1781</v>
      </c>
      <c r="B4" s="2044" t="s">
        <v>3039</v>
      </c>
      <c r="C4" s="1041">
        <f ca="1">SUMIF(注册房地产估价师,B4,估价师及机构信息!B3:B24)</f>
        <v>1120140022</v>
      </c>
      <c r="D4" s="2044" t="s">
        <v>3040</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1782</v>
      </c>
      <c r="B5" s="2941" t="s">
        <v>3112</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1783</v>
      </c>
      <c r="B6" s="2942" t="s">
        <v>3041</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1784</v>
      </c>
      <c r="B7" s="2056" t="str">
        <f>B5</f>
        <v>耿海涛</v>
      </c>
      <c r="C7" s="2053"/>
      <c r="D7" s="2054"/>
      <c r="E7" s="2039"/>
      <c r="F7" s="2047"/>
      <c r="G7" s="2047"/>
      <c r="H7" s="2047"/>
      <c r="I7" s="2047"/>
      <c r="J7" s="2047"/>
      <c r="K7" s="2057"/>
      <c r="L7" s="2033"/>
      <c r="M7" s="2033"/>
      <c r="N7" s="2034"/>
      <c r="O7" s="2035"/>
      <c r="P7" s="2034"/>
      <c r="Q7" s="2034"/>
      <c r="R7" s="2034"/>
    </row>
    <row r="8" spans="1:19" ht="18" customHeight="1">
      <c r="A8" s="2052" t="s">
        <v>1785</v>
      </c>
      <c r="B8" s="2058" t="s">
        <v>3113</v>
      </c>
      <c r="C8" s="2059"/>
      <c r="D8" s="3016" t="s">
        <v>1786</v>
      </c>
      <c r="E8" s="2060" t="s">
        <v>3042</v>
      </c>
      <c r="F8" s="2061"/>
      <c r="G8" s="2031"/>
      <c r="H8" s="2031"/>
      <c r="I8" s="2031"/>
      <c r="J8" s="2047"/>
      <c r="K8" s="2048"/>
      <c r="L8" s="2033"/>
      <c r="M8" s="2033"/>
      <c r="N8" s="2034"/>
      <c r="O8" s="2035"/>
      <c r="P8" s="2034"/>
      <c r="Q8" s="2034"/>
      <c r="R8" s="2034"/>
    </row>
    <row r="9" spans="1:19" ht="18" customHeight="1" thickBot="1">
      <c r="A9" s="2045" t="s">
        <v>1787</v>
      </c>
      <c r="B9" s="2062" t="s">
        <v>3042</v>
      </c>
      <c r="C9" s="2063"/>
      <c r="D9" s="3017"/>
      <c r="E9" s="2062" t="s">
        <v>70</v>
      </c>
      <c r="F9" s="2064"/>
      <c r="G9" s="2065"/>
      <c r="H9" s="2065"/>
      <c r="I9" s="2065"/>
      <c r="J9" s="2047"/>
      <c r="K9" s="2057"/>
      <c r="L9" s="2033"/>
      <c r="M9" s="2033"/>
      <c r="N9" s="2034"/>
      <c r="O9" s="2035"/>
      <c r="P9" s="2034"/>
      <c r="Q9" s="2034"/>
      <c r="R9" s="2034"/>
    </row>
    <row r="10" spans="1:19" ht="18" customHeight="1" thickTop="1">
      <c r="A10" s="2066" t="s">
        <v>1788</v>
      </c>
      <c r="B10" s="2067" t="s">
        <v>3043</v>
      </c>
      <c r="C10" s="2068"/>
      <c r="D10" s="2051"/>
      <c r="E10" s="2069" t="s">
        <v>1789</v>
      </c>
      <c r="F10" s="2950" t="s">
        <v>3115</v>
      </c>
      <c r="G10" s="2070"/>
      <c r="H10" s="2071"/>
      <c r="I10" s="2051"/>
      <c r="J10" s="2047"/>
      <c r="K10" s="2057"/>
      <c r="L10" s="2033"/>
      <c r="M10" s="2033"/>
      <c r="N10" s="2034"/>
      <c r="O10" s="2035"/>
      <c r="P10" s="2034"/>
      <c r="Q10" s="2034"/>
      <c r="R10" s="2034"/>
    </row>
    <row r="11" spans="1:19" ht="18" customHeight="1">
      <c r="A11" s="2072" t="s">
        <v>1790</v>
      </c>
      <c r="B11" s="2073" t="s">
        <v>3114</v>
      </c>
      <c r="C11" s="2074" t="str">
        <f>B5</f>
        <v>耿海涛</v>
      </c>
      <c r="D11" s="2075"/>
      <c r="E11" s="2047"/>
      <c r="F11" s="2047"/>
      <c r="G11" s="2047"/>
      <c r="H11" s="2047"/>
      <c r="I11" s="2047"/>
      <c r="J11" s="2047"/>
      <c r="K11" s="2057"/>
      <c r="L11" s="2033"/>
      <c r="M11" s="2033"/>
      <c r="N11" s="2034"/>
      <c r="O11" s="2035"/>
      <c r="P11" s="2034"/>
      <c r="Q11" s="2034"/>
      <c r="R11" s="2034"/>
    </row>
    <row r="12" spans="1:19" ht="18" customHeight="1">
      <c r="A12" s="2076" t="s">
        <v>1791</v>
      </c>
      <c r="B12" s="2073" t="s">
        <v>3044</v>
      </c>
      <c r="C12" s="2077" t="s">
        <v>1792</v>
      </c>
      <c r="D12" s="2078" t="s">
        <v>1793</v>
      </c>
      <c r="E12" s="2078" t="s">
        <v>1794</v>
      </c>
      <c r="F12" s="2078" t="s">
        <v>1795</v>
      </c>
      <c r="G12" s="2078" t="s">
        <v>1796</v>
      </c>
      <c r="H12" s="2078" t="s">
        <v>1797</v>
      </c>
      <c r="I12" s="2078" t="s">
        <v>1798</v>
      </c>
      <c r="J12" s="2047"/>
      <c r="K12" s="2057"/>
      <c r="L12" s="2033"/>
      <c r="M12" s="2033"/>
      <c r="N12" s="2034"/>
      <c r="O12" s="2035"/>
      <c r="P12" s="2034"/>
      <c r="Q12" s="2034"/>
      <c r="R12" s="2034"/>
    </row>
    <row r="13" spans="1:19" ht="18" customHeight="1">
      <c r="A13" s="2079"/>
      <c r="B13" s="2080"/>
      <c r="C13" s="2081" t="s">
        <v>1799</v>
      </c>
      <c r="D13" s="2082"/>
      <c r="E13" s="2082"/>
      <c r="F13" s="2082">
        <v>58028</v>
      </c>
      <c r="G13" s="2082"/>
      <c r="H13" s="2082"/>
      <c r="I13" s="1051"/>
      <c r="J13" s="2047"/>
      <c r="K13" s="2057"/>
      <c r="L13" s="2033"/>
      <c r="M13" s="2033"/>
      <c r="N13" s="2034"/>
      <c r="O13" s="2035"/>
      <c r="P13" s="2034"/>
      <c r="Q13" s="2034"/>
      <c r="R13" s="2034"/>
    </row>
    <row r="14" spans="1:19" ht="18" customHeight="1">
      <c r="A14" s="2079"/>
      <c r="B14" s="2080"/>
      <c r="C14" s="2081" t="s">
        <v>1800</v>
      </c>
      <c r="D14" s="1054"/>
      <c r="E14" s="1054"/>
      <c r="F14" s="1054">
        <v>50</v>
      </c>
      <c r="G14" s="1054"/>
      <c r="H14" s="1054"/>
      <c r="I14" s="1054"/>
      <c r="J14" s="2047"/>
      <c r="K14" s="2083"/>
      <c r="L14" s="2033"/>
      <c r="M14" s="2033"/>
      <c r="N14" s="2034"/>
      <c r="O14" s="2035"/>
      <c r="P14" s="2034"/>
      <c r="Q14" s="2034"/>
      <c r="R14" s="2034"/>
    </row>
    <row r="15" spans="1:19" ht="18" customHeight="1">
      <c r="A15" s="2066"/>
      <c r="B15" s="2084"/>
      <c r="C15" s="2081" t="s">
        <v>1801</v>
      </c>
      <c r="D15" s="1053" t="str">
        <f>IF(B12="出让",IF(D13="","",ROUNDDOWN(MIN((D13-$D$3)/365,D14),2)),D14)</f>
        <v/>
      </c>
      <c r="E15" s="1053" t="str">
        <f>IF(B12="出让",IF(E13="","",ROUNDDOWN(MIN((E13-$D$3)/365,E14),2)),E14)</f>
        <v/>
      </c>
      <c r="F15" s="1053">
        <f>IF(B12="出让",IF(F13="","",ROUNDDOWN(MIN((F13-$D$3)/365,F14),2)),F14)</f>
        <v>41.02</v>
      </c>
      <c r="G15" s="1053" t="str">
        <f>IF(B12="出让",IF(G13="","",ROUNDDOWN(MIN((G13-$D$3)/365,G14),2)),G14)</f>
        <v/>
      </c>
      <c r="H15" s="1053" t="str">
        <f>IF(B12="出让",IF(H13="","",ROUNDDOWN(MIN((H13-$D$3)/365,H14),2)),H14)</f>
        <v/>
      </c>
      <c r="I15" s="1053" t="str">
        <f>IF(B12="出让",IF(I13="","",ROUNDDOWN(MIN((I13-$D$3)/365,I14),2)),I14)</f>
        <v/>
      </c>
      <c r="J15" s="2047"/>
      <c r="K15" s="2085"/>
      <c r="L15" s="2086"/>
      <c r="M15" s="2086"/>
      <c r="N15" s="2087"/>
      <c r="O15" s="2086"/>
      <c r="P15" s="2087"/>
      <c r="Q15" s="2034"/>
      <c r="R15" s="2034"/>
    </row>
    <row r="16" spans="1:19" ht="30.75" customHeight="1">
      <c r="A16" s="2069" t="s">
        <v>1802</v>
      </c>
      <c r="B16" s="3023" t="s">
        <v>3045</v>
      </c>
      <c r="C16" s="3024"/>
      <c r="D16" s="3025"/>
      <c r="E16" s="2088" t="s">
        <v>1803</v>
      </c>
      <c r="F16" s="3026" t="s">
        <v>3116</v>
      </c>
      <c r="G16" s="3027"/>
      <c r="H16" s="3027"/>
      <c r="I16" s="3028"/>
      <c r="J16" s="2034"/>
      <c r="K16" s="2085"/>
      <c r="L16" s="2086"/>
      <c r="M16" s="2086"/>
      <c r="N16" s="2087"/>
      <c r="O16" s="2086"/>
      <c r="P16" s="2087"/>
      <c r="Q16" s="2034"/>
      <c r="R16" s="2034"/>
    </row>
    <row r="17" spans="1:22" ht="18" customHeight="1">
      <c r="A17" s="2089" t="s">
        <v>1804</v>
      </c>
      <c r="B17" s="2040" t="s">
        <v>1805</v>
      </c>
      <c r="C17" s="1058">
        <f>'数据-汇总表'!E3</f>
        <v>898.32</v>
      </c>
      <c r="D17" s="2090" t="s">
        <v>1806</v>
      </c>
      <c r="E17" s="3029" t="s">
        <v>3117</v>
      </c>
      <c r="F17" s="3030"/>
      <c r="G17" s="3030"/>
      <c r="H17" s="3030"/>
      <c r="I17" s="3031"/>
      <c r="J17" s="2034"/>
      <c r="K17" s="2091"/>
      <c r="L17" s="2086"/>
      <c r="M17" s="2086"/>
      <c r="N17" s="2087"/>
      <c r="O17" s="2086"/>
      <c r="P17" s="2087"/>
      <c r="Q17" s="2034"/>
      <c r="R17" s="2034"/>
      <c r="S17" s="2034"/>
      <c r="T17" s="2034"/>
      <c r="U17" s="2034"/>
      <c r="V17" s="2034"/>
    </row>
    <row r="18" spans="1:22" ht="36" customHeight="1" thickBot="1">
      <c r="A18" s="2092" t="s">
        <v>70</v>
      </c>
      <c r="B18" s="2043" t="s">
        <v>1807</v>
      </c>
      <c r="C18" s="1448">
        <f>'数据-汇总表'!D3</f>
        <v>0</v>
      </c>
      <c r="D18" s="2093" t="s">
        <v>1806</v>
      </c>
      <c r="E18" s="3032"/>
      <c r="F18" s="3033"/>
      <c r="G18" s="3033"/>
      <c r="H18" s="3033"/>
      <c r="I18" s="3034"/>
      <c r="J18" s="2034"/>
      <c r="K18" s="2091"/>
      <c r="L18" s="2086"/>
      <c r="M18" s="2086"/>
      <c r="N18" s="2087"/>
      <c r="O18" s="2086"/>
      <c r="P18" s="2087"/>
      <c r="Q18" s="2034"/>
      <c r="R18" s="2034"/>
      <c r="S18" s="2034"/>
      <c r="T18" s="2034"/>
      <c r="U18" s="2034"/>
      <c r="V18" s="2034"/>
    </row>
    <row r="19" spans="1:22" ht="37.5" customHeight="1" thickTop="1" thickBot="1">
      <c r="A19" s="374" t="s">
        <v>1808</v>
      </c>
      <c r="B19" s="353" t="s">
        <v>1809</v>
      </c>
      <c r="C19" s="2094" t="s">
        <v>3046</v>
      </c>
      <c r="D19" s="2095" t="s">
        <v>1810</v>
      </c>
      <c r="E19" s="2096" t="s">
        <v>70</v>
      </c>
      <c r="F19" s="2097" t="str">
        <f>IF(AND(C19="是",E19="否"),"是否提供他项权证或相关说明","")</f>
        <v/>
      </c>
      <c r="G19" s="2098" t="s">
        <v>70</v>
      </c>
      <c r="H19" s="2047"/>
      <c r="I19" s="2047"/>
      <c r="J19" s="2047"/>
      <c r="K19" s="2057"/>
      <c r="L19" s="2033"/>
      <c r="M19" s="2033"/>
      <c r="N19" s="2087"/>
      <c r="O19" s="2086"/>
      <c r="P19" s="2087"/>
      <c r="Q19" s="2034"/>
      <c r="R19" s="2034"/>
      <c r="S19" s="2034"/>
      <c r="T19" s="2034"/>
      <c r="U19" s="2034"/>
      <c r="V19" s="2034"/>
    </row>
    <row r="20" spans="1:22" ht="18" customHeight="1">
      <c r="A20" s="2099" t="s">
        <v>1811</v>
      </c>
      <c r="B20" s="3019" t="s">
        <v>1812</v>
      </c>
      <c r="C20" s="3020"/>
      <c r="D20" s="3021" t="s">
        <v>1813</v>
      </c>
      <c r="E20" s="3022"/>
      <c r="F20" s="2100" t="s">
        <v>1814</v>
      </c>
      <c r="G20" s="2047"/>
      <c r="H20" s="2047"/>
      <c r="I20" s="2047"/>
      <c r="J20" s="2047"/>
      <c r="K20" s="3018" t="s">
        <v>1815</v>
      </c>
      <c r="L20" s="749"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3"/>
      <c r="N20" s="2087"/>
      <c r="O20" s="2086"/>
      <c r="P20" s="2087"/>
      <c r="Q20" s="2034"/>
      <c r="R20" s="2034"/>
      <c r="S20" s="2034"/>
      <c r="T20" s="2034"/>
      <c r="U20" s="2034"/>
      <c r="V20" s="2034"/>
    </row>
    <row r="21" spans="1:22" ht="24.75" customHeight="1">
      <c r="A21" s="2099"/>
      <c r="B21" s="2101" t="s">
        <v>1816</v>
      </c>
      <c r="C21" s="2102" t="s">
        <v>3047</v>
      </c>
      <c r="D21" s="2103"/>
      <c r="E21" s="2104" t="s">
        <v>1817</v>
      </c>
      <c r="F21" s="2105"/>
      <c r="G21" s="2047"/>
      <c r="H21" s="2047"/>
      <c r="I21" s="2047"/>
      <c r="J21" s="2047"/>
      <c r="K21" s="3018"/>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7"/>
      <c r="O21" s="2086"/>
      <c r="P21" s="2087"/>
      <c r="Q21" s="2034"/>
      <c r="R21" s="2034"/>
      <c r="S21" s="2034"/>
      <c r="T21" s="2034"/>
      <c r="U21" s="2034"/>
      <c r="V21" s="2034"/>
    </row>
    <row r="22" spans="1:22" ht="24.75" customHeight="1" thickBot="1">
      <c r="A22" s="2099"/>
      <c r="B22" s="2106" t="s">
        <v>70</v>
      </c>
      <c r="C22" s="2102" t="s">
        <v>70</v>
      </c>
      <c r="D22" s="2031"/>
      <c r="E22" s="2031"/>
      <c r="F22" s="2107"/>
      <c r="G22" s="2047"/>
      <c r="H22" s="2047"/>
      <c r="I22" s="2047"/>
      <c r="J22" s="2047"/>
      <c r="K22" s="3018"/>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7"/>
      <c r="O22" s="2086"/>
      <c r="P22" s="2087"/>
      <c r="Q22" s="2034"/>
      <c r="R22" s="2034"/>
      <c r="S22" s="2034"/>
      <c r="T22" s="2034"/>
      <c r="U22" s="2034"/>
      <c r="V22" s="2034"/>
    </row>
    <row r="23" spans="1:22" ht="18" customHeight="1">
      <c r="A23" s="2108" t="s">
        <v>1818</v>
      </c>
      <c r="B23" s="184" t="s">
        <v>1819</v>
      </c>
      <c r="C23" s="2109"/>
      <c r="D23" s="2110" t="s">
        <v>1819</v>
      </c>
      <c r="E23" s="2111"/>
      <c r="F23" s="2107"/>
      <c r="G23" s="2047"/>
      <c r="H23" s="2047"/>
      <c r="I23" s="2047"/>
      <c r="J23" s="2047"/>
      <c r="K23" s="2112"/>
      <c r="L23" s="749"/>
      <c r="M23" s="2033"/>
      <c r="N23" s="2087"/>
      <c r="O23" s="2086"/>
      <c r="P23" s="2087"/>
      <c r="Q23" s="2034"/>
      <c r="R23" s="2034"/>
      <c r="S23" s="2034"/>
      <c r="T23" s="2034"/>
      <c r="U23" s="2034"/>
      <c r="V23" s="2034"/>
    </row>
    <row r="24" spans="1:22" ht="18" customHeight="1">
      <c r="A24" s="2113"/>
      <c r="B24" s="184" t="s">
        <v>1820</v>
      </c>
      <c r="C24" s="2114"/>
      <c r="D24" s="2108" t="s">
        <v>1820</v>
      </c>
      <c r="E24" s="2115"/>
      <c r="F24" s="2107"/>
      <c r="G24" s="2047"/>
      <c r="H24" s="2047"/>
      <c r="I24" s="2047"/>
      <c r="J24" s="2047"/>
      <c r="K24" s="2112"/>
      <c r="L24" s="749"/>
      <c r="M24" s="2033"/>
      <c r="N24" s="2087"/>
      <c r="O24" s="2086"/>
      <c r="P24" s="2087"/>
      <c r="Q24" s="2034"/>
      <c r="R24" s="2034"/>
      <c r="S24" s="2034"/>
      <c r="T24" s="2034"/>
      <c r="U24" s="2034"/>
      <c r="V24" s="2034"/>
    </row>
    <row r="25" spans="1:22" ht="18" customHeight="1">
      <c r="A25" s="2113"/>
      <c r="B25" s="184" t="s">
        <v>1821</v>
      </c>
      <c r="C25" s="2114"/>
      <c r="D25" s="2108" t="s">
        <v>1821</v>
      </c>
      <c r="E25" s="2115"/>
      <c r="F25" s="2107"/>
      <c r="G25" s="2047"/>
      <c r="H25" s="2047"/>
      <c r="I25" s="2047"/>
      <c r="J25" s="2047"/>
      <c r="K25" s="2057"/>
      <c r="L25" s="2033"/>
      <c r="M25" s="2033"/>
      <c r="N25" s="2087"/>
      <c r="O25" s="2086"/>
      <c r="P25" s="2087"/>
      <c r="Q25" s="2034"/>
      <c r="R25" s="2034"/>
      <c r="S25" s="2034"/>
      <c r="T25" s="2034"/>
      <c r="U25" s="2034"/>
      <c r="V25" s="2034"/>
    </row>
    <row r="26" spans="1:22" ht="18" customHeight="1" thickBot="1">
      <c r="A26" s="2116"/>
      <c r="B26" s="2117" t="s">
        <v>1822</v>
      </c>
      <c r="C26" s="2118"/>
      <c r="D26" s="2119" t="s">
        <v>1823</v>
      </c>
      <c r="E26" s="2120"/>
      <c r="F26" s="2121"/>
      <c r="G26" s="2065"/>
      <c r="H26" s="2065"/>
      <c r="I26" s="2065"/>
      <c r="J26" s="2047"/>
      <c r="K26" s="2057"/>
      <c r="L26" s="2033"/>
      <c r="M26" s="2033"/>
      <c r="N26" s="2087"/>
      <c r="O26" s="2086"/>
      <c r="P26" s="2087"/>
      <c r="Q26" s="2034"/>
      <c r="R26" s="2034"/>
      <c r="S26" s="2034"/>
      <c r="T26" s="2034"/>
      <c r="U26" s="2034"/>
      <c r="V26" s="2034"/>
    </row>
    <row r="27" spans="1:22" ht="18" customHeight="1" thickTop="1">
      <c r="A27" s="3006" t="s">
        <v>1824</v>
      </c>
      <c r="B27" s="2066" t="s">
        <v>1825</v>
      </c>
      <c r="C27" s="2122" t="s">
        <v>3048</v>
      </c>
      <c r="D27" s="2123"/>
      <c r="E27" s="2047"/>
      <c r="F27" s="2047"/>
      <c r="G27" s="2047"/>
      <c r="H27" s="2047"/>
      <c r="I27" s="2047"/>
      <c r="J27" s="2034"/>
      <c r="K27" s="2085"/>
      <c r="L27" s="2086"/>
      <c r="M27" s="2086"/>
      <c r="N27" s="2087"/>
      <c r="O27" s="2086"/>
      <c r="P27" s="2087"/>
      <c r="Q27" s="2034"/>
      <c r="R27" s="2034"/>
      <c r="S27" s="2034"/>
      <c r="T27" s="2034"/>
      <c r="U27" s="2034"/>
      <c r="V27" s="2034"/>
    </row>
    <row r="28" spans="1:22" ht="18" customHeight="1">
      <c r="A28" s="3006"/>
      <c r="B28" s="2040" t="s">
        <v>1826</v>
      </c>
      <c r="C28" s="2124" t="s">
        <v>3049</v>
      </c>
      <c r="D28" s="2125"/>
      <c r="E28" s="2047"/>
      <c r="F28" s="2047"/>
      <c r="G28" s="2047"/>
      <c r="H28" s="2047"/>
      <c r="I28" s="2047"/>
      <c r="J28" s="2034"/>
      <c r="K28" s="2126"/>
      <c r="L28" s="2033"/>
      <c r="M28" s="2033"/>
      <c r="N28" s="2034"/>
      <c r="O28" s="2035"/>
      <c r="P28" s="2034"/>
      <c r="Q28" s="2034"/>
      <c r="R28" s="2034"/>
      <c r="S28" s="2034"/>
      <c r="T28" s="2034"/>
      <c r="U28" s="2034"/>
      <c r="V28" s="2034"/>
    </row>
    <row r="29" spans="1:22" ht="18" customHeight="1">
      <c r="A29" s="3006"/>
      <c r="B29" s="2040" t="s">
        <v>1827</v>
      </c>
      <c r="C29" s="2127" t="s">
        <v>3046</v>
      </c>
      <c r="D29" s="2128"/>
      <c r="E29" s="2047"/>
      <c r="F29" s="2047"/>
      <c r="G29" s="2047"/>
      <c r="H29" s="2047"/>
      <c r="I29" s="2047"/>
      <c r="J29" s="2034"/>
      <c r="K29" s="2126"/>
      <c r="L29" s="2033"/>
      <c r="M29" s="2033"/>
      <c r="N29" s="2034"/>
      <c r="O29" s="2035"/>
      <c r="P29" s="2034"/>
      <c r="Q29" s="2034"/>
      <c r="R29" s="2034"/>
      <c r="S29" s="2034"/>
      <c r="T29" s="2034"/>
      <c r="U29" s="2034"/>
      <c r="V29" s="2034"/>
    </row>
    <row r="30" spans="1:22" ht="18" customHeight="1">
      <c r="A30" s="3007"/>
      <c r="B30" s="2040" t="s">
        <v>1828</v>
      </c>
      <c r="C30" s="3008"/>
      <c r="D30" s="3009"/>
      <c r="E30" s="2047"/>
      <c r="F30" s="2047"/>
      <c r="G30" s="2047"/>
      <c r="H30" s="2047"/>
      <c r="I30" s="2047"/>
      <c r="J30" s="2034"/>
      <c r="K30" s="2126"/>
      <c r="L30" s="2033"/>
      <c r="M30" s="2033"/>
      <c r="N30" s="2034"/>
      <c r="O30" s="2035"/>
      <c r="P30" s="2034"/>
      <c r="Q30" s="2034"/>
      <c r="R30" s="2034"/>
      <c r="S30" s="2034"/>
      <c r="T30" s="2034"/>
      <c r="U30" s="2034"/>
      <c r="V30" s="2034"/>
    </row>
    <row r="31" spans="1:22" ht="18" customHeight="1">
      <c r="A31" s="3010" t="s">
        <v>1829</v>
      </c>
      <c r="B31" s="2129" t="s">
        <v>3050</v>
      </c>
      <c r="C31" s="2130" t="str">
        <f>IF(B31="现房","成新及维护状况正常否",IF(B31="在建","工程状态是否正常",IF(B31="土地","是否闲置","-")))</f>
        <v>成新及维护状况正常否</v>
      </c>
      <c r="D31" s="2131"/>
      <c r="E31" s="2132"/>
      <c r="F31" s="2047"/>
      <c r="G31" s="2047"/>
      <c r="H31" s="2047"/>
      <c r="I31" s="2047"/>
      <c r="J31" s="2047"/>
      <c r="K31" s="2055"/>
      <c r="L31" s="2033"/>
      <c r="M31" s="2033"/>
      <c r="N31" s="2034"/>
      <c r="O31" s="2035"/>
      <c r="P31" s="2034"/>
      <c r="Q31" s="2034"/>
      <c r="R31" s="2034"/>
      <c r="S31" s="2034"/>
      <c r="T31" s="2034"/>
      <c r="U31" s="2034"/>
      <c r="V31" s="2034"/>
    </row>
    <row r="32" spans="1:22" ht="18" customHeight="1">
      <c r="A32" s="3011"/>
      <c r="B32" s="2129" t="s">
        <v>3050</v>
      </c>
      <c r="C32" s="2130" t="str">
        <f>IF(B32="现房","成新及维护状况是否正常",IF(B32="在建","工程状态是否正常",IF(B32="土地","是否闲置","-")))</f>
        <v>成新及维护状况是否正常</v>
      </c>
      <c r="D32" s="2131"/>
      <c r="E32" s="2132"/>
      <c r="F32" s="2047"/>
      <c r="G32" s="2047"/>
      <c r="H32" s="2047"/>
      <c r="I32" s="2047"/>
      <c r="J32" s="2047"/>
      <c r="K32" s="2057"/>
      <c r="L32" s="2033"/>
      <c r="M32" s="2033"/>
      <c r="N32" s="2034"/>
      <c r="O32" s="2035"/>
      <c r="P32" s="2034"/>
      <c r="Q32" s="2034"/>
      <c r="R32" s="2034"/>
      <c r="S32" s="2034"/>
      <c r="T32" s="2034"/>
      <c r="U32" s="2034"/>
      <c r="V32" s="2034"/>
    </row>
    <row r="33" spans="1:22" ht="18" customHeight="1">
      <c r="A33" s="3011"/>
      <c r="B33" s="2133"/>
      <c r="C33" s="2072" t="str">
        <f>IF(B33="现房","成新及维护状况是否正常",IF(B33="在建","工程状态是否正常",IF(B33="土地","是否闲置","-")))</f>
        <v>-</v>
      </c>
      <c r="D33" s="2134"/>
      <c r="E33" s="2135"/>
      <c r="F33" s="2047"/>
      <c r="G33" s="2047"/>
      <c r="H33" s="2047"/>
      <c r="I33" s="2047"/>
      <c r="J33" s="2047"/>
      <c r="K33" s="2057"/>
      <c r="L33" s="2033"/>
      <c r="M33" s="2033"/>
      <c r="N33" s="2034"/>
      <c r="O33" s="2035"/>
      <c r="P33" s="2034"/>
      <c r="Q33" s="2034"/>
      <c r="R33" s="2034"/>
      <c r="S33" s="2034"/>
      <c r="T33" s="2034"/>
      <c r="U33" s="2034"/>
      <c r="V33" s="2034"/>
    </row>
    <row r="34" spans="1:22" ht="18" customHeight="1">
      <c r="A34" s="2040" t="s">
        <v>1830</v>
      </c>
      <c r="B34" s="2136" t="s">
        <v>3051</v>
      </c>
      <c r="C34" s="2136" t="s">
        <v>3052</v>
      </c>
      <c r="D34" s="2136" t="s">
        <v>3053</v>
      </c>
      <c r="E34" s="2136" t="s">
        <v>3054</v>
      </c>
      <c r="F34" s="2136" t="s">
        <v>3055</v>
      </c>
      <c r="G34" s="2136" t="s">
        <v>3056</v>
      </c>
      <c r="H34" s="2136" t="s">
        <v>3057</v>
      </c>
      <c r="I34" s="2047"/>
      <c r="J34" s="2047"/>
      <c r="K34" s="1800">
        <f>COUNTIF(B34:H34,"——")</f>
        <v>0</v>
      </c>
      <c r="L34" s="2077" t="s">
        <v>1831</v>
      </c>
      <c r="M34" s="2077" t="s">
        <v>1832</v>
      </c>
      <c r="N34" s="2077" t="s">
        <v>1833</v>
      </c>
      <c r="O34" s="2077" t="s">
        <v>1834</v>
      </c>
      <c r="P34" s="2077" t="s">
        <v>1835</v>
      </c>
      <c r="Q34" s="2077" t="s">
        <v>1836</v>
      </c>
      <c r="R34" s="2077" t="s">
        <v>1837</v>
      </c>
      <c r="S34" s="3005" t="s">
        <v>1838</v>
      </c>
      <c r="T34" s="2137" t="str">
        <f>NUMBERSTRING(7-K34,1)&amp;"通"</f>
        <v>七通</v>
      </c>
      <c r="U34" s="2034"/>
      <c r="V34" s="2034"/>
    </row>
    <row r="35" spans="1:22" ht="18" customHeight="1">
      <c r="A35" s="2138"/>
      <c r="B35" s="3012" t="s">
        <v>1839</v>
      </c>
      <c r="C35" s="3012"/>
      <c r="D35" s="3012"/>
      <c r="E35" s="3012"/>
      <c r="F35" s="2139">
        <f>C10</f>
        <v>0</v>
      </c>
      <c r="G35" s="2047"/>
      <c r="H35" s="2047"/>
      <c r="I35" s="2047"/>
      <c r="J35" s="2047"/>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5"/>
      <c r="T35" s="48" t="str">
        <f>IF(T34="一通",L35,IF(T34="二通",M35,IF(T34="三通",N35,IF(T34="四通",O35,IF(T34="五通",P35,IF(T34="六通",Q35,R35))))))</f>
        <v>通路、通电、通讯、通上水、通下水、通热、燃气</v>
      </c>
      <c r="U35" s="2034"/>
      <c r="V35" s="2034"/>
    </row>
    <row r="36" spans="1:22" ht="18" customHeight="1">
      <c r="A36" s="2140"/>
      <c r="B36" s="2139" t="s">
        <v>1840</v>
      </c>
      <c r="C36" s="2139" t="s">
        <v>1841</v>
      </c>
      <c r="D36" s="2139" t="s">
        <v>1842</v>
      </c>
      <c r="E36" s="2139" t="s">
        <v>1843</v>
      </c>
      <c r="F36" s="2141"/>
      <c r="G36" s="2047"/>
      <c r="H36" s="2047"/>
      <c r="I36" s="2047"/>
      <c r="J36" s="2047"/>
      <c r="K36" s="2057"/>
      <c r="L36" s="2033"/>
      <c r="M36" s="2033"/>
      <c r="N36" s="2034"/>
      <c r="O36" s="2035"/>
      <c r="P36" s="2034"/>
      <c r="Q36" s="2034"/>
      <c r="R36" s="2034"/>
      <c r="S36" s="2034"/>
      <c r="T36" s="2034"/>
      <c r="U36" s="2034"/>
      <c r="V36" s="2034"/>
    </row>
    <row r="37" spans="1:22" ht="18" customHeight="1">
      <c r="A37" s="2142" t="s">
        <v>1844</v>
      </c>
      <c r="B37" s="2143"/>
      <c r="C37" s="2143"/>
      <c r="D37" s="2143"/>
      <c r="E37" s="2143"/>
      <c r="F37" s="2141"/>
      <c r="G37" s="2047"/>
      <c r="H37" s="2047"/>
      <c r="I37" s="2047"/>
      <c r="J37" s="2047"/>
      <c r="K37" s="2057"/>
      <c r="L37" s="2033"/>
      <c r="M37" s="2033"/>
      <c r="N37" s="2034"/>
      <c r="O37" s="2035"/>
      <c r="P37" s="2034"/>
      <c r="Q37" s="2034"/>
      <c r="R37" s="2034"/>
      <c r="S37" s="2034"/>
      <c r="T37" s="2034"/>
      <c r="U37" s="2034"/>
      <c r="V37" s="2034"/>
    </row>
    <row r="38" spans="1:22" ht="18" customHeight="1" thickBot="1">
      <c r="A38" s="2144" t="s">
        <v>1845</v>
      </c>
      <c r="B38" s="2145"/>
      <c r="C38" s="2145"/>
      <c r="D38" s="2145"/>
      <c r="E38" s="2145"/>
      <c r="F38" s="2146"/>
      <c r="G38" s="2065"/>
      <c r="H38" s="2065"/>
      <c r="I38" s="2065"/>
      <c r="J38" s="2047"/>
      <c r="K38" s="2057"/>
      <c r="L38" s="2033"/>
      <c r="M38" s="2033"/>
      <c r="N38" s="2034"/>
      <c r="O38" s="2035"/>
      <c r="P38" s="2034"/>
      <c r="Q38" s="2034"/>
      <c r="R38" s="2034"/>
      <c r="S38" s="2034"/>
      <c r="T38" s="2034"/>
      <c r="U38" s="2034"/>
      <c r="V38" s="2034"/>
    </row>
    <row r="39" spans="1:22" s="2151" customFormat="1" ht="18" customHeight="1" thickTop="1" thickBot="1">
      <c r="A39" s="2147" t="s">
        <v>1846</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4"/>
      <c r="B40" s="2034"/>
      <c r="C40" s="2034"/>
      <c r="D40" s="2034"/>
      <c r="E40" s="2034"/>
      <c r="F40" s="2034"/>
      <c r="G40" s="2034"/>
      <c r="H40" s="2034"/>
      <c r="I40" s="2152"/>
      <c r="J40" s="2087"/>
      <c r="K40" s="667"/>
      <c r="L40" s="2086"/>
      <c r="M40" s="2086"/>
      <c r="N40" s="2087"/>
      <c r="O40" s="2086"/>
      <c r="P40" s="2034"/>
      <c r="Q40" s="2034"/>
      <c r="R40" s="2034"/>
      <c r="S40" s="2034"/>
      <c r="T40" s="2034"/>
      <c r="U40" s="2034"/>
      <c r="V40" s="2034"/>
    </row>
    <row r="41" spans="1:22" ht="18" customHeight="1">
      <c r="A41" s="8" t="s">
        <v>1847</v>
      </c>
      <c r="B41" s="2153"/>
      <c r="C41" s="2154"/>
      <c r="D41" s="2034"/>
      <c r="E41" s="2034"/>
      <c r="F41" s="2034"/>
      <c r="G41" s="2034"/>
      <c r="H41" s="2034"/>
      <c r="I41" s="2035"/>
      <c r="J41" s="2034"/>
      <c r="K41" s="2126"/>
      <c r="L41" s="2033"/>
      <c r="M41" s="2033"/>
      <c r="N41" s="2034"/>
      <c r="O41" s="2035"/>
      <c r="P41" s="2034"/>
      <c r="Q41" s="2034"/>
      <c r="R41" s="2034"/>
      <c r="S41" s="2034"/>
      <c r="T41" s="2034"/>
      <c r="U41" s="2034"/>
      <c r="V41" s="2034"/>
    </row>
    <row r="42" spans="1:22" ht="18" customHeight="1">
      <c r="A42" s="2077" t="s">
        <v>1848</v>
      </c>
      <c r="B42" s="1800" t="s">
        <v>1849</v>
      </c>
      <c r="C42" s="1800" t="s">
        <v>1850</v>
      </c>
      <c r="D42" s="1800" t="s">
        <v>1851</v>
      </c>
      <c r="E42" s="1800" t="s">
        <v>1852</v>
      </c>
      <c r="F42" s="1800" t="s">
        <v>1853</v>
      </c>
      <c r="G42" s="1800" t="s">
        <v>1854</v>
      </c>
      <c r="H42" s="1800" t="s">
        <v>1855</v>
      </c>
      <c r="I42" s="1800" t="s">
        <v>1856</v>
      </c>
      <c r="J42" s="2155" t="s">
        <v>1857</v>
      </c>
      <c r="K42" s="2078" t="s">
        <v>1858</v>
      </c>
      <c r="L42" s="2078" t="s">
        <v>1859</v>
      </c>
      <c r="M42" s="2078" t="s">
        <v>1860</v>
      </c>
      <c r="N42" s="1800" t="s">
        <v>1861</v>
      </c>
      <c r="O42" s="1800" t="s">
        <v>1862</v>
      </c>
      <c r="P42" s="1800" t="s">
        <v>1863</v>
      </c>
      <c r="Q42" s="2077" t="s">
        <v>1864</v>
      </c>
      <c r="R42" s="2077" t="s">
        <v>1865</v>
      </c>
      <c r="S42" s="2034"/>
      <c r="T42" s="2034"/>
      <c r="U42" s="2034"/>
      <c r="V42" s="2034"/>
    </row>
    <row r="43" spans="1:22" s="2160" customFormat="1" ht="18" customHeight="1">
      <c r="A43" s="2156"/>
      <c r="B43" s="1276"/>
      <c r="C43" s="1276"/>
      <c r="D43" s="1276"/>
      <c r="E43" s="1276"/>
      <c r="F43" s="1276"/>
      <c r="G43" s="1276"/>
      <c r="H43" s="9"/>
      <c r="I43" s="9"/>
      <c r="J43" s="2157"/>
      <c r="K43" s="2158"/>
      <c r="L43" s="2158"/>
      <c r="M43" s="9"/>
      <c r="N43" s="1276"/>
      <c r="O43" s="9"/>
      <c r="P43" s="1276"/>
      <c r="Q43" s="1276"/>
      <c r="R43" s="1276"/>
      <c r="S43" s="2159"/>
      <c r="T43" s="2159"/>
      <c r="U43" s="2159"/>
      <c r="V43" s="2159"/>
    </row>
    <row r="44" spans="1:22" s="2160" customFormat="1" ht="18" customHeight="1">
      <c r="A44" s="2156"/>
      <c r="B44" s="2156"/>
      <c r="C44" s="1276"/>
      <c r="D44" s="1276"/>
      <c r="E44" s="1276"/>
      <c r="F44" s="1276"/>
      <c r="G44" s="1276"/>
      <c r="H44" s="9"/>
      <c r="I44" s="9"/>
      <c r="J44" s="2157"/>
      <c r="K44" s="2158"/>
      <c r="L44" s="2158"/>
      <c r="M44" s="9"/>
      <c r="N44" s="1276"/>
      <c r="O44" s="9"/>
      <c r="P44" s="1276"/>
      <c r="Q44" s="1276"/>
      <c r="R44" s="1276"/>
      <c r="S44" s="2159"/>
      <c r="T44" s="2159"/>
      <c r="U44" s="2159"/>
      <c r="V44" s="2159"/>
    </row>
    <row r="45" spans="1:22" s="2160" customFormat="1" ht="18" customHeight="1">
      <c r="A45" s="2156"/>
      <c r="B45" s="2156"/>
      <c r="C45" s="1276"/>
      <c r="D45" s="1276"/>
      <c r="E45" s="1276"/>
      <c r="F45" s="1276"/>
      <c r="G45" s="1276"/>
      <c r="H45" s="9"/>
      <c r="I45" s="9"/>
      <c r="J45" s="2157"/>
      <c r="K45" s="2158"/>
      <c r="L45" s="2158"/>
      <c r="M45" s="9"/>
      <c r="N45" s="1276"/>
      <c r="O45" s="9"/>
      <c r="P45" s="1276"/>
      <c r="Q45" s="1276"/>
      <c r="R45" s="1276"/>
      <c r="S45" s="2159"/>
      <c r="T45" s="2159"/>
      <c r="U45" s="2159"/>
      <c r="V45" s="2159"/>
    </row>
    <row r="46" spans="1:22" s="2160" customFormat="1" ht="18" customHeight="1">
      <c r="A46" s="2156"/>
      <c r="B46" s="2156"/>
      <c r="C46" s="1276"/>
      <c r="D46" s="1276"/>
      <c r="E46" s="1276"/>
      <c r="F46" s="1276"/>
      <c r="G46" s="1276"/>
      <c r="H46" s="9"/>
      <c r="I46" s="9"/>
      <c r="J46" s="2157"/>
      <c r="K46" s="2158"/>
      <c r="L46" s="2158"/>
      <c r="M46" s="9"/>
      <c r="N46" s="1276"/>
      <c r="O46" s="9"/>
      <c r="P46" s="1276"/>
      <c r="Q46" s="1276"/>
      <c r="R46" s="1276"/>
      <c r="S46" s="2159"/>
      <c r="T46" s="2159"/>
      <c r="U46" s="2159"/>
      <c r="V46" s="2159"/>
    </row>
    <row r="47" spans="1:22" s="2160" customFormat="1" ht="18" customHeight="1">
      <c r="A47" s="2156"/>
      <c r="B47" s="2156"/>
      <c r="C47" s="1276"/>
      <c r="D47" s="1276"/>
      <c r="E47" s="1276"/>
      <c r="F47" s="1276"/>
      <c r="G47" s="1276"/>
      <c r="H47" s="9"/>
      <c r="I47" s="9"/>
      <c r="J47" s="2157"/>
      <c r="K47" s="2158"/>
      <c r="L47" s="2158"/>
      <c r="M47" s="9"/>
      <c r="N47" s="1276"/>
      <c r="O47" s="9"/>
      <c r="P47" s="1276"/>
      <c r="Q47" s="1276"/>
      <c r="R47" s="1276"/>
      <c r="S47" s="2159"/>
      <c r="T47" s="2159"/>
      <c r="U47" s="2159"/>
      <c r="V47" s="2159"/>
    </row>
    <row r="48" spans="1:22" s="2160" customFormat="1" ht="18" customHeight="1">
      <c r="A48" s="2156"/>
      <c r="B48" s="2156"/>
      <c r="C48" s="1276"/>
      <c r="D48" s="1276"/>
      <c r="E48" s="1276"/>
      <c r="F48" s="1276"/>
      <c r="G48" s="1276"/>
      <c r="H48" s="9"/>
      <c r="I48" s="9"/>
      <c r="J48" s="2157"/>
      <c r="K48" s="2158"/>
      <c r="L48" s="2158"/>
      <c r="M48" s="9"/>
      <c r="N48" s="1276"/>
      <c r="O48" s="9"/>
      <c r="P48" s="1276"/>
      <c r="Q48" s="1276"/>
      <c r="R48" s="1276"/>
      <c r="S48" s="2159"/>
      <c r="T48" s="2159"/>
      <c r="U48" s="2159"/>
      <c r="V48" s="2159"/>
    </row>
    <row r="49" spans="1:22" s="2160" customFormat="1" ht="18" customHeight="1">
      <c r="A49" s="2156"/>
      <c r="B49" s="2156"/>
      <c r="C49" s="1276"/>
      <c r="D49" s="1276"/>
      <c r="E49" s="1276"/>
      <c r="F49" s="1276"/>
      <c r="G49" s="1276"/>
      <c r="H49" s="9"/>
      <c r="I49" s="9"/>
      <c r="J49" s="2157"/>
      <c r="K49" s="2158"/>
      <c r="L49" s="2158"/>
      <c r="M49" s="9"/>
      <c r="N49" s="1276"/>
      <c r="O49" s="9"/>
      <c r="P49" s="1276"/>
      <c r="Q49" s="1276"/>
      <c r="R49" s="1276"/>
      <c r="S49" s="2159"/>
      <c r="T49" s="2159"/>
      <c r="U49" s="2159"/>
      <c r="V49" s="2159"/>
    </row>
    <row r="50" spans="1:22" s="2160" customFormat="1" ht="18" customHeight="1">
      <c r="A50" s="2156"/>
      <c r="B50" s="2156"/>
      <c r="C50" s="1276"/>
      <c r="D50" s="1276"/>
      <c r="E50" s="1276"/>
      <c r="F50" s="1276"/>
      <c r="G50" s="1276"/>
      <c r="H50" s="9"/>
      <c r="I50" s="9"/>
      <c r="J50" s="2157"/>
      <c r="K50" s="2158"/>
      <c r="L50" s="2158"/>
      <c r="M50" s="9"/>
      <c r="N50" s="1276"/>
      <c r="O50" s="9"/>
      <c r="P50" s="1276"/>
      <c r="Q50" s="1276"/>
      <c r="R50" s="1276"/>
      <c r="S50" s="2159"/>
      <c r="T50" s="2159"/>
      <c r="U50" s="2159"/>
      <c r="V50" s="2159"/>
    </row>
    <row r="51" spans="1:22" s="2160" customFormat="1" ht="18" customHeight="1">
      <c r="A51" s="2156"/>
      <c r="B51" s="2156"/>
      <c r="C51" s="1276"/>
      <c r="D51" s="1276"/>
      <c r="E51" s="1276"/>
      <c r="F51" s="1276"/>
      <c r="G51" s="1276"/>
      <c r="H51" s="9"/>
      <c r="I51" s="9"/>
      <c r="J51" s="2157"/>
      <c r="K51" s="2158"/>
      <c r="L51" s="2158"/>
      <c r="M51" s="9"/>
      <c r="N51" s="1276"/>
      <c r="O51" s="9"/>
      <c r="P51" s="1276"/>
      <c r="Q51" s="1276"/>
      <c r="R51" s="1276"/>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1866</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6" t="s">
        <v>1867</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0" customFormat="1" ht="24">
      <c r="A2" s="11" t="s">
        <v>1868</v>
      </c>
      <c r="B2" s="11" t="s">
        <v>1869</v>
      </c>
      <c r="C2" s="11" t="s">
        <v>1870</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3" t="s">
        <v>1871</v>
      </c>
      <c r="AZ2" s="1274" t="s">
        <v>1872</v>
      </c>
      <c r="BA2" s="11" t="s">
        <v>1873</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898.32</v>
      </c>
      <c r="C3" s="2171" t="s">
        <v>1874</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5"/>
      <c r="AZ3" s="1276"/>
      <c r="BA3" s="1277"/>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1875</v>
      </c>
      <c r="B5" s="1808"/>
      <c r="C5" s="1808"/>
      <c r="D5" s="1811"/>
      <c r="E5" s="16" t="s">
        <v>1</v>
      </c>
      <c r="F5" s="16">
        <f>SUM(F13:F587)</f>
        <v>0</v>
      </c>
      <c r="G5" s="16">
        <f>SUM(G13:G587)</f>
        <v>898.32</v>
      </c>
      <c r="H5" s="16">
        <f t="shared" ref="H5:AT5" si="0">SUM(H13:H656)</f>
        <v>898.32</v>
      </c>
      <c r="I5" s="16">
        <f t="shared" si="0"/>
        <v>898.32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1875</v>
      </c>
      <c r="AW5" s="1808"/>
      <c r="AX5" s="1808"/>
      <c r="AY5" s="17" t="s">
        <v>3</v>
      </c>
      <c r="AZ5" s="18">
        <f t="shared" ref="AZ5:BT5" si="1">SUM(AZ13:AZ656)</f>
        <v>898.32</v>
      </c>
      <c r="BA5" s="18">
        <f t="shared" si="1"/>
        <v>898.32</v>
      </c>
      <c r="BB5" s="18">
        <f t="shared" si="1"/>
        <v>898.32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1876</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1876</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1877</v>
      </c>
      <c r="B7" s="2112" t="s">
        <v>1878</v>
      </c>
      <c r="C7" s="2112" t="s">
        <v>1879</v>
      </c>
      <c r="D7" s="2112" t="s">
        <v>1880</v>
      </c>
      <c r="E7" s="2112" t="s">
        <v>1881</v>
      </c>
      <c r="F7" s="2112" t="s">
        <v>1882</v>
      </c>
      <c r="G7" s="2181" t="s">
        <v>1883</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1"/>
      <c r="AU7" s="2182" t="s">
        <v>1884</v>
      </c>
      <c r="AV7" s="23" t="s">
        <v>1885</v>
      </c>
      <c r="AW7" s="2169" t="s">
        <v>1886</v>
      </c>
      <c r="AX7" s="23" t="s">
        <v>1879</v>
      </c>
      <c r="AY7" s="1808" t="s">
        <v>1887</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1888</v>
      </c>
      <c r="H8" s="2187" t="s">
        <v>1889</v>
      </c>
      <c r="I8" s="2188"/>
      <c r="J8" s="1823"/>
      <c r="K8" s="1823"/>
      <c r="L8" s="1823"/>
      <c r="M8" s="1823"/>
      <c r="N8" s="1823"/>
      <c r="O8" s="1823"/>
      <c r="P8" s="1823"/>
      <c r="Q8" s="1823"/>
      <c r="R8" s="1823"/>
      <c r="S8" s="1823"/>
      <c r="T8" s="1823"/>
      <c r="U8" s="1823"/>
      <c r="V8" s="2189"/>
      <c r="W8" s="1823"/>
      <c r="X8" s="1823"/>
      <c r="Y8" s="1823"/>
      <c r="Z8" s="1823"/>
      <c r="AA8" s="2189"/>
      <c r="AB8" s="2190"/>
      <c r="AC8" s="985" t="s">
        <v>1890</v>
      </c>
      <c r="AD8" s="2191"/>
      <c r="AE8" s="2183"/>
      <c r="AF8" s="1823"/>
      <c r="AG8" s="1823"/>
      <c r="AH8" s="1823"/>
      <c r="AI8" s="1823"/>
      <c r="AJ8" s="1823"/>
      <c r="AK8" s="1823"/>
      <c r="AL8" s="1823"/>
      <c r="AM8" s="1823"/>
      <c r="AN8" s="1823"/>
      <c r="AO8" s="1823"/>
      <c r="AP8" s="1823"/>
      <c r="AQ8" s="1823"/>
      <c r="AR8" s="1823"/>
      <c r="AS8" s="1823"/>
      <c r="AT8" s="1296" t="s">
        <v>1891</v>
      </c>
      <c r="AU8" s="2185" t="s">
        <v>1892</v>
      </c>
      <c r="AV8" s="1296"/>
      <c r="AW8" s="2168"/>
      <c r="AX8" s="1296"/>
      <c r="AY8" s="2169" t="s">
        <v>1893</v>
      </c>
      <c r="AZ8" s="1822" t="s">
        <v>1894</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2" customFormat="1" ht="12.75">
      <c r="A9" s="2185"/>
      <c r="B9" s="2185"/>
      <c r="C9" s="2185"/>
      <c r="D9" s="2185"/>
      <c r="E9" s="2185"/>
      <c r="F9" s="2185"/>
      <c r="G9" s="1296"/>
      <c r="H9" s="2193" t="s">
        <v>1895</v>
      </c>
      <c r="I9" s="2194" t="s">
        <v>3059</v>
      </c>
      <c r="J9" s="985"/>
      <c r="K9" s="2194"/>
      <c r="L9" s="985"/>
      <c r="M9" s="2194"/>
      <c r="N9" s="985"/>
      <c r="O9" s="2194"/>
      <c r="P9" s="985"/>
      <c r="Q9" s="2194"/>
      <c r="R9" s="985"/>
      <c r="S9" s="2194"/>
      <c r="T9" s="985"/>
      <c r="U9" s="2194"/>
      <c r="V9" s="985"/>
      <c r="W9" s="2194"/>
      <c r="X9" s="2195"/>
      <c r="Y9" s="2194"/>
      <c r="Z9" s="985"/>
      <c r="AA9" s="2194"/>
      <c r="AB9" s="985"/>
      <c r="AC9" s="2186" t="s">
        <v>1895</v>
      </c>
      <c r="AD9" s="15" t="s">
        <v>1896</v>
      </c>
      <c r="AE9" s="1302"/>
      <c r="AF9" s="15" t="s">
        <v>1897</v>
      </c>
      <c r="AG9" s="1302"/>
      <c r="AH9" s="15" t="s">
        <v>1896</v>
      </c>
      <c r="AI9" s="1302"/>
      <c r="AJ9" s="15" t="s">
        <v>1897</v>
      </c>
      <c r="AK9" s="1302"/>
      <c r="AL9" s="15" t="s">
        <v>1896</v>
      </c>
      <c r="AM9" s="1302"/>
      <c r="AN9" s="15" t="s">
        <v>1897</v>
      </c>
      <c r="AO9" s="1302"/>
      <c r="AP9" s="15" t="s">
        <v>1896</v>
      </c>
      <c r="AQ9" s="1302"/>
      <c r="AR9" s="15" t="s">
        <v>1897</v>
      </c>
      <c r="AS9" s="2196"/>
      <c r="AT9" s="2185"/>
      <c r="AU9" s="2185" t="s">
        <v>1898</v>
      </c>
      <c r="AV9" s="1296"/>
      <c r="AW9" s="2168"/>
      <c r="AX9" s="1296"/>
      <c r="AY9" s="28"/>
      <c r="AZ9" s="28" t="s">
        <v>1888</v>
      </c>
      <c r="BA9" s="2197" t="s">
        <v>1899</v>
      </c>
      <c r="BB9" s="2198"/>
      <c r="BC9" s="1342"/>
      <c r="BD9" s="1342"/>
      <c r="BE9" s="1342"/>
      <c r="BF9" s="1342"/>
      <c r="BG9" s="1342"/>
      <c r="BH9" s="1342"/>
      <c r="BI9" s="1342"/>
      <c r="BJ9" s="1342"/>
      <c r="BK9" s="2199"/>
      <c r="BL9" s="15" t="s">
        <v>1900</v>
      </c>
      <c r="BM9" s="1823"/>
      <c r="BN9" s="2188"/>
      <c r="BO9" s="1823"/>
      <c r="BP9" s="1823"/>
      <c r="BQ9" s="1823"/>
      <c r="BR9" s="1823"/>
      <c r="BS9" s="1823"/>
      <c r="BT9" s="26"/>
    </row>
    <row r="10" spans="1:72" s="2192" customFormat="1" ht="12.75">
      <c r="A10" s="2185"/>
      <c r="B10" s="2185"/>
      <c r="C10" s="2185"/>
      <c r="D10" s="2185"/>
      <c r="E10" s="2185"/>
      <c r="F10" s="2185"/>
      <c r="G10" s="1296"/>
      <c r="H10" s="28"/>
      <c r="I10" s="2194" t="s">
        <v>27</v>
      </c>
      <c r="J10" s="985"/>
      <c r="K10" s="2200"/>
      <c r="L10" s="985"/>
      <c r="M10" s="2200"/>
      <c r="N10" s="985"/>
      <c r="O10" s="2200"/>
      <c r="P10" s="985"/>
      <c r="Q10" s="2200"/>
      <c r="R10" s="985"/>
      <c r="S10" s="2200"/>
      <c r="T10" s="985"/>
      <c r="U10" s="2200"/>
      <c r="V10" s="985"/>
      <c r="W10" s="2200"/>
      <c r="X10" s="985"/>
      <c r="Y10" s="2200"/>
      <c r="Z10" s="985"/>
      <c r="AA10" s="2200"/>
      <c r="AB10" s="985"/>
      <c r="AC10" s="1296"/>
      <c r="AD10" s="15" t="s">
        <v>1901</v>
      </c>
      <c r="AE10" s="2201"/>
      <c r="AF10" s="15" t="s">
        <v>1901</v>
      </c>
      <c r="AG10" s="2201"/>
      <c r="AH10" s="15" t="s">
        <v>1902</v>
      </c>
      <c r="AI10" s="2201"/>
      <c r="AJ10" s="15" t="s">
        <v>1902</v>
      </c>
      <c r="AK10" s="2201"/>
      <c r="AL10" s="15" t="s">
        <v>1903</v>
      </c>
      <c r="AM10" s="1302"/>
      <c r="AN10" s="15" t="s">
        <v>1903</v>
      </c>
      <c r="AO10" s="1302"/>
      <c r="AP10" s="15" t="s">
        <v>1904</v>
      </c>
      <c r="AQ10" s="1302"/>
      <c r="AR10" s="15" t="s">
        <v>1904</v>
      </c>
      <c r="AS10" s="1302"/>
      <c r="AT10" s="2185"/>
      <c r="AU10" s="2185"/>
      <c r="AV10" s="1296"/>
      <c r="AW10" s="2168"/>
      <c r="AX10" s="1296"/>
      <c r="AY10" s="28"/>
      <c r="AZ10" s="28"/>
      <c r="BA10" s="2202" t="s">
        <v>1895</v>
      </c>
      <c r="BB10" s="2203" t="str">
        <f>I9</f>
        <v>地上</v>
      </c>
      <c r="BC10" s="29">
        <f>K9</f>
        <v>0</v>
      </c>
      <c r="BD10" s="29">
        <f>M9</f>
        <v>0</v>
      </c>
      <c r="BE10" s="29">
        <f>O9</f>
        <v>0</v>
      </c>
      <c r="BF10" s="29">
        <f>Q9</f>
        <v>0</v>
      </c>
      <c r="BG10" s="29">
        <f>S9</f>
        <v>0</v>
      </c>
      <c r="BH10" s="29">
        <f>U9</f>
        <v>0</v>
      </c>
      <c r="BI10" s="29">
        <f>W9</f>
        <v>0</v>
      </c>
      <c r="BJ10" s="29">
        <f>Y9</f>
        <v>0</v>
      </c>
      <c r="BK10" s="29">
        <f>AA9</f>
        <v>0</v>
      </c>
      <c r="BL10" s="25" t="s">
        <v>1895</v>
      </c>
      <c r="BM10" s="1822" t="str">
        <f>AD9</f>
        <v>地上</v>
      </c>
      <c r="BN10" s="29" t="str">
        <f>AF9</f>
        <v>地下</v>
      </c>
      <c r="BO10" s="1822" t="str">
        <f>AH9</f>
        <v>地上</v>
      </c>
      <c r="BP10" s="29" t="str">
        <f>AJ9</f>
        <v>地下</v>
      </c>
      <c r="BQ10" s="1822" t="str">
        <f>AL9</f>
        <v>地上</v>
      </c>
      <c r="BR10" s="29" t="str">
        <f>AN9</f>
        <v>地下</v>
      </c>
      <c r="BS10" s="1822" t="str">
        <f>AP9</f>
        <v>地上</v>
      </c>
      <c r="BT10" s="2204" t="str">
        <f>AR9</f>
        <v>地下</v>
      </c>
    </row>
    <row r="11" spans="1:72" s="2192" customFormat="1" ht="12.75">
      <c r="A11" s="2185"/>
      <c r="B11" s="2185"/>
      <c r="C11" s="2185"/>
      <c r="D11" s="2185"/>
      <c r="E11" s="2185"/>
      <c r="F11" s="2185"/>
      <c r="G11" s="1296"/>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6"/>
      <c r="AD11" s="2207" t="s">
        <v>1905</v>
      </c>
      <c r="AE11" s="1824"/>
      <c r="AF11" s="2207" t="s">
        <v>1905</v>
      </c>
      <c r="AG11" s="1824"/>
      <c r="AH11" s="2207" t="s">
        <v>1906</v>
      </c>
      <c r="AI11" s="2208"/>
      <c r="AJ11" s="2207" t="s">
        <v>1906</v>
      </c>
      <c r="AK11" s="1824"/>
      <c r="AL11" s="1822"/>
      <c r="AM11" s="1824"/>
      <c r="AN11" s="1822"/>
      <c r="AO11" s="1824"/>
      <c r="AP11" s="1822"/>
      <c r="AQ11" s="1824"/>
      <c r="AR11" s="1822"/>
      <c r="AS11" s="1824"/>
      <c r="AT11" s="2168"/>
      <c r="AU11" s="2185"/>
      <c r="AV11" s="1296"/>
      <c r="AW11" s="2168"/>
      <c r="AX11" s="1296"/>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1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7" t="s">
        <v>1908</v>
      </c>
      <c r="W12" s="11" t="s">
        <v>1907</v>
      </c>
      <c r="X12" s="11" t="s">
        <v>1908</v>
      </c>
      <c r="Y12" s="11" t="s">
        <v>1907</v>
      </c>
      <c r="Z12" s="11" t="s">
        <v>1908</v>
      </c>
      <c r="AA12" s="11" t="s">
        <v>1907</v>
      </c>
      <c r="AB12" s="11" t="s">
        <v>1908</v>
      </c>
      <c r="AC12" s="2212"/>
      <c r="AD12" s="181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10" t="s">
        <v>1908</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09">
        <f>AR11</f>
        <v>0</v>
      </c>
    </row>
    <row r="13" spans="1:72" s="2170" customFormat="1" ht="12.75">
      <c r="A13" s="1276"/>
      <c r="B13" s="1276"/>
      <c r="C13" s="1276">
        <v>401</v>
      </c>
      <c r="D13" s="2216" t="s">
        <v>3058</v>
      </c>
      <c r="E13" s="16">
        <f>IF($C$3="是",ROUND($A$3*G13/$B$3,2),ROUND($A$3*(G13-AT13)/$B$3,2))</f>
        <v>0</v>
      </c>
      <c r="F13" s="32"/>
      <c r="G13" s="33">
        <f>H13+AC13+AT13</f>
        <v>898.32</v>
      </c>
      <c r="H13" s="20">
        <f>SUMIF(I$12:AB$12,"总值",I13:AB13)</f>
        <v>898.32</v>
      </c>
      <c r="I13" s="2217">
        <v>898.32</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401</v>
      </c>
      <c r="AY13" s="1811">
        <f>ROUND($AY$6*AZ13/$AZ$5,2)</f>
        <v>0</v>
      </c>
      <c r="AZ13" s="16">
        <f>BA13+BL13</f>
        <v>898.32</v>
      </c>
      <c r="BA13" s="16">
        <f>SUM(BB13:BK13)</f>
        <v>898.32</v>
      </c>
      <c r="BB13" s="16">
        <f>IF($D13="是",I13-J13,0)</f>
        <v>898.32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6"/>
      <c r="B14" s="1276"/>
      <c r="C14" s="127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6"/>
      <c r="B15" s="1276"/>
      <c r="C15" s="127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6"/>
      <c r="B16" s="1276"/>
      <c r="C16" s="127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6"/>
      <c r="B17" s="1276"/>
      <c r="C17" s="127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6"/>
      <c r="B18" s="1276"/>
      <c r="C18" s="1276"/>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6"/>
      <c r="B19" s="1276"/>
      <c r="C19" s="1276"/>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6"/>
      <c r="B20" s="1276"/>
      <c r="C20" s="1276"/>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1934</v>
      </c>
      <c r="B1" s="1396"/>
      <c r="C1" s="1396"/>
      <c r="D1" s="1396"/>
      <c r="E1" s="1396"/>
      <c r="F1" s="1396"/>
      <c r="G1" s="1396"/>
      <c r="H1" s="1396"/>
      <c r="I1" s="1396"/>
      <c r="J1" s="1396"/>
      <c r="K1" s="1396"/>
      <c r="L1" s="1396"/>
      <c r="M1" s="1396"/>
      <c r="N1" s="1396"/>
      <c r="O1" s="1396"/>
      <c r="P1" s="1396"/>
    </row>
    <row r="2" spans="1:16" ht="15">
      <c r="A2" s="3046" t="s">
        <v>1935</v>
      </c>
      <c r="B2" s="3046"/>
      <c r="C2" s="3046"/>
      <c r="D2" s="971" t="s">
        <v>1911</v>
      </c>
      <c r="E2" s="2230" t="s">
        <v>1912</v>
      </c>
      <c r="F2" s="1396"/>
      <c r="G2" s="2231"/>
      <c r="H2" s="2232"/>
      <c r="I2" s="2233" t="s">
        <v>1936</v>
      </c>
      <c r="J2" s="1396"/>
      <c r="K2" s="1396"/>
      <c r="L2" s="1396"/>
      <c r="M2" s="1396"/>
      <c r="N2" s="1431"/>
      <c r="O2" s="1396"/>
      <c r="P2" s="1396"/>
    </row>
    <row r="3" spans="1:16" ht="15.75" thickBot="1">
      <c r="A3" s="3047" t="s">
        <v>1909</v>
      </c>
      <c r="B3" s="3047"/>
      <c r="C3" s="3047"/>
      <c r="D3" s="46">
        <f>'数据-基础表'!AY6</f>
        <v>0</v>
      </c>
      <c r="E3" s="46">
        <f>'数据-基础表'!AZ5</f>
        <v>898.32</v>
      </c>
      <c r="F3" s="1396"/>
      <c r="G3" s="1403"/>
      <c r="H3" s="1251" t="s">
        <v>1910</v>
      </c>
      <c r="I3" s="55" t="e">
        <f>ROUND('数据-基础表'!B3/'数据-基础表'!A3,2)</f>
        <v>#DIV/0!</v>
      </c>
      <c r="J3" s="1396"/>
      <c r="K3" s="1396"/>
      <c r="L3" s="1396"/>
      <c r="M3" s="1396"/>
      <c r="N3" s="1431"/>
      <c r="O3" s="1396"/>
      <c r="P3" s="1396"/>
    </row>
    <row r="4" spans="1:16" ht="15">
      <c r="A4" s="3048"/>
      <c r="B4" s="3049"/>
      <c r="C4" s="3050"/>
      <c r="D4" s="2234" t="s">
        <v>1911</v>
      </c>
      <c r="E4" s="2235" t="s">
        <v>1912</v>
      </c>
      <c r="F4" s="1396"/>
      <c r="G4" s="2236" t="s">
        <v>1937</v>
      </c>
      <c r="H4" s="1251" t="s">
        <v>1917</v>
      </c>
      <c r="I4" s="55" t="e">
        <f>ROUND(SUMIF('数据-基础表'!I9:AS9,"地上",'数据-基础表'!I5:AS5)/'数据-基础表'!A3,2)</f>
        <v>#DIV/0!</v>
      </c>
      <c r="J4" s="1396"/>
      <c r="K4" s="1396"/>
      <c r="L4" s="1396"/>
      <c r="M4" s="1396"/>
      <c r="N4" s="1431"/>
      <c r="O4" s="1396"/>
      <c r="P4" s="1396"/>
    </row>
    <row r="5" spans="1:16">
      <c r="A5" s="47" t="s">
        <v>1913</v>
      </c>
      <c r="B5" s="3051" t="s">
        <v>1914</v>
      </c>
      <c r="C5" s="3051"/>
      <c r="D5" s="48">
        <f>ROUND($D$3*E5/$E$3,2)</f>
        <v>0</v>
      </c>
      <c r="E5" s="49">
        <f>SUMIF('数据-基础表'!$11:$11,"住宅",'数据-基础表'!$5:$5)</f>
        <v>0</v>
      </c>
      <c r="F5" s="1396"/>
      <c r="G5" s="1403"/>
      <c r="H5" s="1251" t="s">
        <v>1910</v>
      </c>
      <c r="I5" s="55" t="e">
        <f>ROUND(E31/D31,2)</f>
        <v>#DIV/0!</v>
      </c>
      <c r="J5" s="1396"/>
      <c r="K5" s="1396"/>
      <c r="L5" s="1396"/>
      <c r="M5" s="1396"/>
      <c r="N5" s="1396"/>
      <c r="O5" s="1396"/>
      <c r="P5" s="1396"/>
    </row>
    <row r="6" spans="1:16" ht="15" thickBot="1">
      <c r="A6" s="2237"/>
      <c r="B6" s="3051" t="s">
        <v>1915</v>
      </c>
      <c r="C6" s="3051"/>
      <c r="D6" s="48">
        <f>ROUND($D$3*E6/$E$3,2)</f>
        <v>0</v>
      </c>
      <c r="E6" s="49">
        <f>E3-E5</f>
        <v>898.32</v>
      </c>
      <c r="F6" s="1396"/>
      <c r="G6" s="2238" t="s">
        <v>1916</v>
      </c>
      <c r="H6" s="1403" t="s">
        <v>1917</v>
      </c>
      <c r="I6" s="943" t="e">
        <f>ROUND(F31/D31,2)</f>
        <v>#DIV/0!</v>
      </c>
      <c r="J6" s="1396"/>
      <c r="K6" s="1396"/>
      <c r="L6" s="1396"/>
      <c r="M6" s="1396"/>
      <c r="N6" s="1396"/>
      <c r="O6" s="1396"/>
      <c r="P6" s="1396"/>
    </row>
    <row r="7" spans="1:16" ht="15">
      <c r="A7" s="3043"/>
      <c r="B7" s="3044"/>
      <c r="C7" s="3045"/>
      <c r="D7" s="2234" t="s">
        <v>1911</v>
      </c>
      <c r="E7" s="2239" t="s">
        <v>1918</v>
      </c>
      <c r="F7" s="1396"/>
      <c r="G7" s="2231" t="s">
        <v>1919</v>
      </c>
      <c r="H7" s="64"/>
      <c r="I7" s="421"/>
      <c r="J7" s="1396"/>
      <c r="K7" s="1396"/>
      <c r="L7" s="1396"/>
      <c r="M7" s="1396"/>
      <c r="N7" s="1396"/>
      <c r="O7" s="1396"/>
      <c r="P7" s="1396"/>
    </row>
    <row r="8" spans="1:16">
      <c r="A8" s="47" t="s">
        <v>1920</v>
      </c>
      <c r="B8" s="50" t="s">
        <v>1921</v>
      </c>
      <c r="C8" s="48" t="s">
        <v>1922</v>
      </c>
      <c r="D8" s="48">
        <f t="shared" ref="D8:D15" si="0">ROUND($D$3*E8/$E$3,2)</f>
        <v>0</v>
      </c>
      <c r="E8" s="51">
        <f>SUMIF('数据-基础表'!BB10:BK10,"地上",'数据-基础表'!BB5:BK5)</f>
        <v>898.32</v>
      </c>
      <c r="F8" s="1396"/>
      <c r="G8" s="2240"/>
      <c r="H8" s="2240"/>
      <c r="I8" s="1396"/>
      <c r="J8" s="1396"/>
      <c r="K8" s="1396"/>
      <c r="L8" s="1396"/>
      <c r="M8" s="1396"/>
      <c r="N8" s="1396"/>
      <c r="O8" s="1396"/>
      <c r="P8" s="1396"/>
    </row>
    <row r="9" spans="1:16">
      <c r="A9" s="2241"/>
      <c r="B9" s="2242"/>
      <c r="C9" s="48" t="s">
        <v>1923</v>
      </c>
      <c r="D9" s="48">
        <f t="shared" si="0"/>
        <v>0</v>
      </c>
      <c r="E9" s="52">
        <v>0</v>
      </c>
      <c r="F9" s="1396"/>
      <c r="G9" s="2240"/>
      <c r="H9" s="2240"/>
      <c r="I9" s="1396"/>
      <c r="J9" s="1396"/>
      <c r="K9" s="1396"/>
      <c r="L9" s="1396"/>
      <c r="M9" s="1396"/>
      <c r="N9" s="1396"/>
      <c r="O9" s="1396"/>
      <c r="P9" s="1396"/>
    </row>
    <row r="10" spans="1:16">
      <c r="A10" s="2241"/>
      <c r="B10" s="2242"/>
      <c r="C10" s="48" t="s">
        <v>1932</v>
      </c>
      <c r="D10" s="48">
        <f t="shared" si="0"/>
        <v>0</v>
      </c>
      <c r="E10" s="51">
        <f>SUMPRODUCT(('数据-基础表'!BB10:BK10="地下")*('数据-基础表'!BB11:BK11="商业")*('数据-基础表'!BB5:BK5))</f>
        <v>0</v>
      </c>
      <c r="F10" s="1396"/>
      <c r="G10" s="2240"/>
      <c r="H10" s="2240"/>
      <c r="I10" s="1396"/>
      <c r="J10" s="1396"/>
      <c r="K10" s="1396"/>
      <c r="L10" s="1396"/>
      <c r="M10" s="1396"/>
      <c r="N10" s="1396"/>
      <c r="O10" s="1396"/>
      <c r="P10" s="1396"/>
    </row>
    <row r="11" spans="1:16">
      <c r="A11" s="2241"/>
      <c r="B11" s="2242"/>
      <c r="C11" s="48" t="s">
        <v>1924</v>
      </c>
      <c r="D11" s="48">
        <f t="shared" si="0"/>
        <v>0</v>
      </c>
      <c r="E11" s="51">
        <f>SUMPRODUCT(('数据-基础表'!BB10:BK10="地下")*('数据-基础表'!BB11:BK11="办公")*('数据-基础表'!BB5:BK5))+'数据-基础表'!BP5</f>
        <v>0</v>
      </c>
      <c r="F11" s="1396"/>
      <c r="G11" s="2240"/>
      <c r="H11" s="2240"/>
      <c r="I11" s="1396"/>
      <c r="J11" s="1396"/>
      <c r="K11" s="1396"/>
      <c r="L11" s="1396"/>
      <c r="M11" s="1396"/>
      <c r="N11" s="1396"/>
      <c r="O11" s="1396"/>
      <c r="P11" s="1396"/>
    </row>
    <row r="12" spans="1:16">
      <c r="A12" s="2241"/>
      <c r="B12" s="2242"/>
      <c r="C12" s="48" t="s">
        <v>1925</v>
      </c>
      <c r="D12" s="48">
        <f t="shared" si="0"/>
        <v>0</v>
      </c>
      <c r="E12" s="51">
        <f>SUMPRODUCT(('数据-基础表'!BB10:BK10="地下")*('数据-基础表'!BB11:BK11="仓储")*('数据-基础表'!BB5:BK5))</f>
        <v>0</v>
      </c>
      <c r="F12" s="1396"/>
      <c r="G12" s="2240"/>
      <c r="H12" s="2240"/>
      <c r="I12" s="1396"/>
      <c r="J12" s="1396"/>
      <c r="K12" s="1396"/>
      <c r="L12" s="1396"/>
      <c r="M12" s="1396"/>
      <c r="N12" s="1396"/>
      <c r="O12" s="1396"/>
      <c r="P12" s="1396"/>
    </row>
    <row r="13" spans="1:16">
      <c r="A13" s="2241"/>
      <c r="B13" s="2242"/>
      <c r="C13" s="48" t="s">
        <v>1926</v>
      </c>
      <c r="D13" s="48">
        <f t="shared" si="0"/>
        <v>0</v>
      </c>
      <c r="E13" s="51">
        <f>SUMPRODUCT(('数据-基础表'!BB10:BK10="地下")*('数据-基础表'!BB11:BK11="车库")*('数据-基础表'!BB5:BK5))</f>
        <v>0</v>
      </c>
      <c r="F13" s="1396"/>
      <c r="G13" s="2240"/>
      <c r="H13" s="2240"/>
      <c r="I13" s="1396"/>
      <c r="J13" s="1396"/>
      <c r="K13" s="1396"/>
      <c r="L13" s="1396"/>
      <c r="M13" s="1396"/>
      <c r="N13" s="1396"/>
      <c r="O13" s="1396"/>
      <c r="P13" s="1396"/>
    </row>
    <row r="14" spans="1:16">
      <c r="A14" s="2241"/>
      <c r="B14" s="2242"/>
      <c r="C14" s="48" t="s">
        <v>1938</v>
      </c>
      <c r="D14" s="48">
        <f t="shared" si="0"/>
        <v>0</v>
      </c>
      <c r="E14" s="51">
        <f>SUMPRODUCT(('数据-基础表'!BB10:BK10="地下")*('数据-基础表'!BB11:BK11="车库—商业")*('数据-基础表'!BB5:BK5))</f>
        <v>0</v>
      </c>
      <c r="F14" s="1396"/>
      <c r="G14" s="2240"/>
      <c r="H14" s="2240"/>
      <c r="I14" s="1396"/>
      <c r="J14" s="1396"/>
      <c r="K14" s="1396"/>
      <c r="L14" s="1396"/>
      <c r="M14" s="1396"/>
      <c r="N14" s="1396"/>
      <c r="O14" s="1396"/>
      <c r="P14" s="1396"/>
    </row>
    <row r="15" spans="1:16" ht="15" thickBot="1">
      <c r="A15" s="2241"/>
      <c r="B15" s="2242"/>
      <c r="C15" s="48" t="s">
        <v>1933</v>
      </c>
      <c r="D15" s="48">
        <f t="shared" si="0"/>
        <v>0</v>
      </c>
      <c r="E15" s="51">
        <f>SUMPRODUCT(('数据-基础表'!BB10:BK10="地下")*('数据-基础表'!BB11:BK11="车库—办公")*('数据-基础表'!BB5:BK5))</f>
        <v>0</v>
      </c>
      <c r="F15" s="1396"/>
      <c r="G15" s="2240"/>
      <c r="H15" s="2240"/>
      <c r="I15" s="1396"/>
      <c r="J15" s="1396"/>
      <c r="K15" s="1396"/>
      <c r="L15" s="1396"/>
      <c r="M15" s="1396"/>
      <c r="N15" s="1396"/>
      <c r="O15" s="1396"/>
      <c r="P15" s="1396"/>
    </row>
    <row r="16" spans="1:16" ht="15.75" thickBot="1">
      <c r="A16" s="2237"/>
      <c r="B16" s="2242"/>
      <c r="C16" s="50" t="s">
        <v>1927</v>
      </c>
      <c r="D16" s="50">
        <f>SUM(D8:D15)</f>
        <v>0</v>
      </c>
      <c r="E16" s="53">
        <f>SUM(E8:E15)</f>
        <v>898.32</v>
      </c>
      <c r="F16" s="1396"/>
      <c r="G16" s="2240"/>
      <c r="H16" s="2243" t="s">
        <v>1939</v>
      </c>
      <c r="I16" s="2244"/>
      <c r="J16" s="1396"/>
      <c r="K16" s="3040" t="s">
        <v>1939</v>
      </c>
      <c r="L16" s="3041"/>
      <c r="M16" s="3041"/>
      <c r="N16" s="3041"/>
      <c r="O16" s="3041"/>
      <c r="P16" s="3042"/>
    </row>
    <row r="17" spans="1:19" ht="15">
      <c r="A17" s="2245" t="s">
        <v>1940</v>
      </c>
      <c r="B17" s="2246" t="s">
        <v>1941</v>
      </c>
      <c r="C17" s="2247" t="s">
        <v>1942</v>
      </c>
      <c r="D17" s="2248" t="s">
        <v>1930</v>
      </c>
      <c r="E17" s="2249" t="s">
        <v>1931</v>
      </c>
      <c r="F17" s="2250"/>
      <c r="G17" s="2251"/>
      <c r="H17" s="2252" t="s">
        <v>1943</v>
      </c>
      <c r="I17" s="2253" t="s">
        <v>1928</v>
      </c>
      <c r="J17" s="1396"/>
      <c r="K17" s="3037" t="s">
        <v>1944</v>
      </c>
      <c r="L17" s="3038"/>
      <c r="M17" s="3039"/>
      <c r="N17" s="3037" t="s">
        <v>1945</v>
      </c>
      <c r="O17" s="3038"/>
      <c r="P17" s="3039"/>
      <c r="R17" s="2231" t="s">
        <v>1946</v>
      </c>
      <c r="S17" s="64"/>
    </row>
    <row r="18" spans="1:19" ht="15">
      <c r="A18" s="2241"/>
      <c r="B18" s="2254"/>
      <c r="C18" s="2255"/>
      <c r="D18" s="2256"/>
      <c r="E18" s="2257" t="s">
        <v>1947</v>
      </c>
      <c r="F18" s="2258" t="s">
        <v>1948</v>
      </c>
      <c r="G18" s="2259" t="s">
        <v>1949</v>
      </c>
      <c r="H18" s="1266" t="s">
        <v>1950</v>
      </c>
      <c r="I18" s="2260" t="s">
        <v>1951</v>
      </c>
      <c r="J18" s="1396"/>
      <c r="K18" s="1266" t="s">
        <v>1952</v>
      </c>
      <c r="L18" s="2261" t="s">
        <v>1953</v>
      </c>
      <c r="M18" s="1050" t="s">
        <v>1954</v>
      </c>
      <c r="N18" s="1266" t="s">
        <v>1952</v>
      </c>
      <c r="O18" s="2261" t="s">
        <v>1953</v>
      </c>
      <c r="P18" s="1050" t="s">
        <v>1954</v>
      </c>
      <c r="R18" s="1251" t="s">
        <v>1955</v>
      </c>
      <c r="S18" s="1251" t="s">
        <v>1956</v>
      </c>
    </row>
    <row r="19" spans="1:19">
      <c r="A19" s="2262"/>
      <c r="B19" s="50" t="s">
        <v>1929</v>
      </c>
      <c r="C19" s="2943" t="s">
        <v>3060</v>
      </c>
      <c r="D19" s="48">
        <f>ROUND($D$3*E19/$E$3,2)</f>
        <v>0</v>
      </c>
      <c r="E19" s="56">
        <f t="shared" ref="E19:E26" si="1">SUM(F19:G19)</f>
        <v>898.32</v>
      </c>
      <c r="F19" s="57">
        <f>'数据-基础表'!I13</f>
        <v>898.32</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4"/>
      <c r="O19" s="2265"/>
      <c r="P19" s="1407">
        <f>N19+O19</f>
        <v>0</v>
      </c>
      <c r="R19" s="1251">
        <f t="shared" ref="R19:S26" si="5">D19+H19</f>
        <v>0</v>
      </c>
      <c r="S19" s="1252">
        <f t="shared" si="5"/>
        <v>898.32</v>
      </c>
    </row>
    <row r="20" spans="1:19">
      <c r="A20" s="2266"/>
      <c r="B20" s="50" t="s">
        <v>1957</v>
      </c>
      <c r="C20" s="2263"/>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4"/>
      <c r="O20" s="2265"/>
      <c r="P20" s="1407">
        <f t="shared" ref="P20:P26" si="9">N20+O20</f>
        <v>0</v>
      </c>
      <c r="R20" s="1251">
        <f t="shared" si="5"/>
        <v>0</v>
      </c>
      <c r="S20" s="1252">
        <f t="shared" si="5"/>
        <v>0</v>
      </c>
    </row>
    <row r="21" spans="1:19">
      <c r="A21" s="2266"/>
      <c r="B21" s="50" t="s">
        <v>1957</v>
      </c>
      <c r="C21" s="2263"/>
      <c r="D21" s="48">
        <f t="shared" si="6"/>
        <v>0</v>
      </c>
      <c r="E21" s="56">
        <f t="shared" si="1"/>
        <v>0</v>
      </c>
      <c r="F21" s="57"/>
      <c r="G21" s="58"/>
      <c r="H21" s="724">
        <f t="shared" si="7"/>
        <v>0</v>
      </c>
      <c r="I21" s="51">
        <f t="shared" si="2"/>
        <v>0</v>
      </c>
      <c r="J21" s="1396"/>
      <c r="K21" s="1395">
        <f t="shared" si="3"/>
        <v>0</v>
      </c>
      <c r="L21" s="1251">
        <f t="shared" si="4"/>
        <v>0</v>
      </c>
      <c r="M21" s="1407">
        <f t="shared" si="8"/>
        <v>0</v>
      </c>
      <c r="N21" s="2264"/>
      <c r="O21" s="2265"/>
      <c r="P21" s="1407">
        <f t="shared" si="9"/>
        <v>0</v>
      </c>
      <c r="R21" s="1251">
        <f t="shared" si="5"/>
        <v>0</v>
      </c>
      <c r="S21" s="1252">
        <f t="shared" si="5"/>
        <v>0</v>
      </c>
    </row>
    <row r="22" spans="1:19">
      <c r="A22" s="2266"/>
      <c r="B22" s="50" t="s">
        <v>1957</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4"/>
      <c r="O22" s="2265"/>
      <c r="P22" s="1407">
        <f t="shared" si="9"/>
        <v>0</v>
      </c>
      <c r="R22" s="1251">
        <f t="shared" si="5"/>
        <v>0</v>
      </c>
      <c r="S22" s="1252">
        <f t="shared" si="5"/>
        <v>0</v>
      </c>
    </row>
    <row r="23" spans="1:19">
      <c r="A23" s="2266"/>
      <c r="B23" s="50" t="s">
        <v>1957</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4"/>
      <c r="O23" s="2265"/>
      <c r="P23" s="1407">
        <f t="shared" si="9"/>
        <v>0</v>
      </c>
      <c r="R23" s="1251">
        <f t="shared" si="5"/>
        <v>0</v>
      </c>
      <c r="S23" s="1252">
        <f t="shared" si="5"/>
        <v>0</v>
      </c>
    </row>
    <row r="24" spans="1:19">
      <c r="A24" s="2266"/>
      <c r="B24" s="50" t="s">
        <v>1957</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4"/>
      <c r="O24" s="2265"/>
      <c r="P24" s="1407">
        <f t="shared" si="9"/>
        <v>0</v>
      </c>
      <c r="R24" s="1251">
        <f t="shared" si="5"/>
        <v>0</v>
      </c>
      <c r="S24" s="1252">
        <f t="shared" si="5"/>
        <v>0</v>
      </c>
    </row>
    <row r="25" spans="1:19">
      <c r="A25" s="2266"/>
      <c r="B25" s="50" t="s">
        <v>1957</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4"/>
      <c r="O25" s="2265"/>
      <c r="P25" s="1407">
        <f t="shared" si="9"/>
        <v>0</v>
      </c>
      <c r="R25" s="1251">
        <f t="shared" si="5"/>
        <v>0</v>
      </c>
      <c r="S25" s="1252">
        <f t="shared" si="5"/>
        <v>0</v>
      </c>
    </row>
    <row r="26" spans="1:19">
      <c r="A26" s="2266"/>
      <c r="B26" s="50" t="s">
        <v>1957</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7"/>
      <c r="O26" s="2268"/>
      <c r="P26" s="67">
        <f t="shared" si="9"/>
        <v>0</v>
      </c>
      <c r="R26" s="1251">
        <f t="shared" si="5"/>
        <v>0</v>
      </c>
      <c r="S26" s="1252">
        <f t="shared" si="5"/>
        <v>0</v>
      </c>
    </row>
    <row r="27" spans="1:19" ht="15.75" thickBot="1">
      <c r="A27" s="2266"/>
      <c r="B27" s="48"/>
      <c r="C27" s="2269" t="s">
        <v>1958</v>
      </c>
      <c r="D27" s="1397">
        <f>SUM(D19:D26)</f>
        <v>0</v>
      </c>
      <c r="E27" s="1398">
        <f>IF(SUM(E19:E26)='数据-基础表'!BA5,SUM(E19:E26),IF(F27="地上面积有误","面积有误","地下面积有误"))</f>
        <v>898.32</v>
      </c>
      <c r="F27" s="1397">
        <f>IF(SUM(F19:F26)=E8,SUM(F19:F26),"地上面积有误")</f>
        <v>898.32</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0</v>
      </c>
      <c r="S27" s="1251">
        <f>IF(SUM(S19:S26)=$E$3,SUM(S19:S26),SUM(S19:S26)&amp;"误差"&amp;ROUND(SUM(S19:S26)-E3,2))</f>
        <v>898.32</v>
      </c>
    </row>
    <row r="28" spans="1:19">
      <c r="A28" s="2266"/>
      <c r="B28" s="50" t="s">
        <v>1959</v>
      </c>
      <c r="C28" s="1263" t="s">
        <v>1960</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6"/>
      <c r="B29" s="50" t="s">
        <v>1959</v>
      </c>
      <c r="C29" s="2270" t="s">
        <v>1961</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6"/>
      <c r="B30" s="50"/>
      <c r="C30" s="2271" t="s">
        <v>1958</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2"/>
      <c r="B31" s="2273"/>
      <c r="C31" s="1011" t="s">
        <v>1962</v>
      </c>
      <c r="D31" s="730">
        <f>D27+D30</f>
        <v>0</v>
      </c>
      <c r="E31" s="730">
        <f>E27+E30</f>
        <v>898.32</v>
      </c>
      <c r="F31" s="731">
        <f>F27+F30</f>
        <v>898.32</v>
      </c>
      <c r="G31" s="732">
        <f>G27+G30</f>
        <v>0</v>
      </c>
      <c r="H31" s="1396"/>
      <c r="I31" s="1396"/>
      <c r="J31" s="1396"/>
      <c r="K31" s="1396"/>
      <c r="L31" s="1396"/>
      <c r="M31" s="1396"/>
      <c r="N31" s="1396"/>
      <c r="O31" s="1396"/>
      <c r="P31" s="1396"/>
    </row>
    <row r="32" spans="1:19">
      <c r="A32" s="2236"/>
      <c r="B32" s="2236" t="s">
        <v>1963</v>
      </c>
      <c r="C32" s="2236"/>
      <c r="D32" s="2236"/>
      <c r="E32" s="1278">
        <f>SUMIF(C19:C26,"*住宅*",E19:E26)</f>
        <v>0</v>
      </c>
      <c r="F32" s="2236"/>
      <c r="G32" s="2236"/>
      <c r="H32" s="1396"/>
      <c r="I32" s="1396"/>
      <c r="J32" s="1396"/>
      <c r="K32" s="1396"/>
      <c r="L32" s="1396"/>
      <c r="M32" s="1396"/>
      <c r="N32" s="1396"/>
      <c r="O32" s="1396"/>
      <c r="P32" s="1396"/>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N18" sqref="AN18"/>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1964</v>
      </c>
      <c r="B1" s="733"/>
      <c r="C1" s="1586"/>
      <c r="D1" s="2276"/>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9" t="s">
        <v>1965</v>
      </c>
      <c r="B2" s="1270">
        <f>项目基本情况!D3</f>
        <v>43053</v>
      </c>
      <c r="C2" s="2280"/>
      <c r="D2" s="2281"/>
      <c r="E2" s="2280"/>
      <c r="F2" s="2280"/>
      <c r="G2" s="2280"/>
      <c r="H2" s="2280"/>
      <c r="I2" s="2280"/>
      <c r="J2" s="2280"/>
      <c r="K2" s="1431"/>
      <c r="L2" s="1431"/>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6" customFormat="1" ht="15" thickBot="1">
      <c r="A3" s="2034"/>
      <c r="B3" s="2283"/>
      <c r="C3" s="2280"/>
      <c r="D3" s="2281"/>
      <c r="E3" s="2280"/>
      <c r="F3" s="2280"/>
      <c r="G3" s="2280"/>
      <c r="H3" s="2280"/>
      <c r="I3" s="2280"/>
      <c r="J3" s="2280"/>
      <c r="K3" s="1431"/>
      <c r="L3" s="1431"/>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6" customFormat="1" ht="15" thickBot="1">
      <c r="A4" s="68" t="s">
        <v>1966</v>
      </c>
      <c r="B4" s="2284"/>
      <c r="C4" s="2285"/>
      <c r="D4" s="2286"/>
      <c r="E4" s="2285" t="s">
        <v>1967</v>
      </c>
      <c r="F4" s="2285"/>
      <c r="G4" s="2285"/>
      <c r="H4" s="2285"/>
      <c r="I4" s="2285"/>
      <c r="J4" s="2287"/>
      <c r="K4" s="2288"/>
      <c r="L4" s="2289"/>
      <c r="M4" s="2285"/>
      <c r="N4" s="2285" t="s">
        <v>1968</v>
      </c>
      <c r="O4" s="2285"/>
      <c r="P4" s="2285"/>
      <c r="Q4" s="2285"/>
      <c r="R4" s="2285"/>
      <c r="S4" s="2287"/>
      <c r="T4" s="2290" t="str">
        <f>'数据-汇总表'!I17</f>
        <v>按面积比例</v>
      </c>
      <c r="U4" s="2284" t="s">
        <v>1969</v>
      </c>
      <c r="V4" s="2285"/>
      <c r="W4" s="2285"/>
      <c r="X4" s="2285"/>
      <c r="Y4" s="2287"/>
      <c r="Z4" s="2247" t="s">
        <v>1970</v>
      </c>
      <c r="AA4" s="2247"/>
      <c r="AB4" s="2247"/>
      <c r="AC4" s="2247"/>
      <c r="AD4" s="2247"/>
      <c r="AE4" s="2245" t="s">
        <v>1971</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7" customFormat="1" ht="42">
      <c r="A5" s="2292" t="s">
        <v>1972</v>
      </c>
      <c r="B5" s="2293" t="s">
        <v>1973</v>
      </c>
      <c r="C5" s="2294" t="s">
        <v>1974</v>
      </c>
      <c r="D5" s="2295" t="s">
        <v>1975</v>
      </c>
      <c r="E5" s="1272" t="s">
        <v>1976</v>
      </c>
      <c r="F5" s="2296" t="s">
        <v>1977</v>
      </c>
      <c r="G5" s="1272" t="s">
        <v>1978</v>
      </c>
      <c r="H5" s="1272" t="s">
        <v>1979</v>
      </c>
      <c r="I5" s="1272" t="s">
        <v>1980</v>
      </c>
      <c r="J5" s="2297" t="s">
        <v>1981</v>
      </c>
      <c r="K5" s="2298" t="s">
        <v>1982</v>
      </c>
      <c r="L5" s="2299" t="s">
        <v>1983</v>
      </c>
      <c r="M5" s="2300" t="s">
        <v>1984</v>
      </c>
      <c r="N5" s="2301" t="s">
        <v>3061</v>
      </c>
      <c r="O5" s="2299" t="s">
        <v>1985</v>
      </c>
      <c r="P5" s="2302" t="s">
        <v>1986</v>
      </c>
      <c r="Q5" s="69" t="s">
        <v>1987</v>
      </c>
      <c r="R5" s="2303" t="s">
        <v>1988</v>
      </c>
      <c r="S5" s="2304" t="s">
        <v>1989</v>
      </c>
      <c r="T5" s="2305" t="s">
        <v>1990</v>
      </c>
      <c r="U5" s="1271" t="s">
        <v>1991</v>
      </c>
      <c r="V5" s="1272" t="s">
        <v>1992</v>
      </c>
      <c r="W5" s="1272" t="s">
        <v>1993</v>
      </c>
      <c r="X5" s="71"/>
      <c r="Y5" s="70" t="s">
        <v>1994</v>
      </c>
      <c r="Z5" s="2306" t="s">
        <v>1991</v>
      </c>
      <c r="AA5" s="1272" t="s">
        <v>1992</v>
      </c>
      <c r="AB5" s="1272" t="s">
        <v>1993</v>
      </c>
      <c r="AC5" s="71"/>
      <c r="AD5" s="71" t="s">
        <v>1994</v>
      </c>
      <c r="AE5" s="1271" t="s">
        <v>1995</v>
      </c>
      <c r="AF5" s="1272" t="s">
        <v>1996</v>
      </c>
      <c r="AG5" s="70" t="s">
        <v>1997</v>
      </c>
      <c r="AH5" s="1271" t="s">
        <v>1998</v>
      </c>
      <c r="AI5" s="2306" t="s">
        <v>1999</v>
      </c>
      <c r="AJ5" s="2306" t="s">
        <v>2000</v>
      </c>
      <c r="AK5" s="1272" t="s">
        <v>2001</v>
      </c>
      <c r="AL5" s="1272" t="s">
        <v>2002</v>
      </c>
      <c r="AM5" s="70" t="s">
        <v>2003</v>
      </c>
      <c r="AN5" s="2307" t="s">
        <v>2004</v>
      </c>
      <c r="AO5" s="2077" t="s">
        <v>2005</v>
      </c>
      <c r="AP5" s="1253" t="s">
        <v>2006</v>
      </c>
      <c r="AQ5" s="2308" t="s">
        <v>2007</v>
      </c>
      <c r="AR5" s="2308" t="s">
        <v>2008</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6" customFormat="1" ht="14.25">
      <c r="A6" s="2309" t="str">
        <f>'数据-汇总表'!C19</f>
        <v>办公</v>
      </c>
      <c r="B6" s="2310" t="str">
        <f>IF(A6=0,"","经营性")</f>
        <v>经营性</v>
      </c>
      <c r="C6" s="2311" t="s">
        <v>27</v>
      </c>
      <c r="D6" s="1055">
        <f>SUMIF(项目基本情况!D$12:I$12,C6,项目基本情况!D$14:I$14)</f>
        <v>50</v>
      </c>
      <c r="E6" s="1052">
        <f>IF(B6="","",SUMIF(项目基本情况!D$12:I$12,C6,项目基本情况!D$13:I$13))</f>
        <v>58028</v>
      </c>
      <c r="F6" s="72">
        <f>SUMIF(项目基本情况!D$12:I$12,C6,项目基本情况!D$15:I$15)</f>
        <v>41.02</v>
      </c>
      <c r="G6" s="73">
        <f>IF(ISERROR(ROUND(POWER(1+H6,D6-F6)*(POWER(1+H6,F6)-1)/(POWER(1+H6,D6)-1),3)),0,ROUND(POWER(1+H6,D6-F6)*(POWER(1+H6,F6)-1)/(POWER(1+H6,D6)-1),3))</f>
        <v>0.94</v>
      </c>
      <c r="H6" s="803">
        <v>4.4999999999999998E-2</v>
      </c>
      <c r="I6" s="803">
        <v>0.05</v>
      </c>
      <c r="J6" s="74">
        <v>8.5000000000000006E-2</v>
      </c>
      <c r="K6" s="1255">
        <f>SUMIF('数据-汇总表'!C$19:C$33,A6,'数据-汇总表'!E$19:E$33)</f>
        <v>898.32</v>
      </c>
      <c r="L6" s="804">
        <v>3000</v>
      </c>
      <c r="M6" s="75">
        <f t="shared" ref="M6:M14" si="0">ROUND(K6*L6/10000,0)</f>
        <v>269</v>
      </c>
      <c r="N6" s="802">
        <v>0.88</v>
      </c>
      <c r="O6" s="75" t="str">
        <f>IF($N$5="成新度","——",ROUND(M6*N6,0))</f>
        <v>——</v>
      </c>
      <c r="P6" s="76" t="str">
        <f>IF($N$5="成新度","——",M6-O6)</f>
        <v>——</v>
      </c>
      <c r="Q6" s="805">
        <v>0.2</v>
      </c>
      <c r="R6" s="77">
        <f ca="1">SUMIF('数据-汇总表'!C$19:C$33,A6,'数据-汇总表'!R$19:R$27)</f>
        <v>0</v>
      </c>
      <c r="S6" s="54">
        <f>IF('数据-汇总表'!$I$17="按面积比例",SUMIF('数据-汇总表'!C$19:C$33,A6,'数据-汇总表'!K$19:K$33),SUMIF('数据-汇总表'!C$19:C$33,A6,'数据-汇总表'!N$19:N$33))</f>
        <v>0</v>
      </c>
      <c r="T6" s="1447">
        <f>ROUND($L$14*S6/10000,0)</f>
        <v>0</v>
      </c>
      <c r="U6" s="78">
        <f>'比较法-办公 (租金)'!C50</f>
        <v>5.5</v>
      </c>
      <c r="V6" s="2957">
        <v>0.03</v>
      </c>
      <c r="W6" s="79">
        <v>0.1</v>
      </c>
      <c r="X6" s="1265"/>
      <c r="Y6" s="80">
        <v>0.88</v>
      </c>
      <c r="Z6" s="81"/>
      <c r="AA6" s="74"/>
      <c r="AB6" s="74"/>
      <c r="AC6" s="1265"/>
      <c r="AD6" s="82"/>
      <c r="AE6" s="1266">
        <f ca="1">IF(AN6="",0,SUMIF(INDIRECT("'"&amp;AN6&amp;"'"&amp;"!E:E"),$AE$5,INDIRECT("'"&amp;AN6&amp;"'"&amp;"!F:F")))</f>
        <v>41.02</v>
      </c>
      <c r="AF6" s="1809"/>
      <c r="AG6" s="147">
        <f>IF(AF6="",0,AE6-AF6)</f>
        <v>0</v>
      </c>
      <c r="AH6" s="83"/>
      <c r="AI6" s="85">
        <v>365</v>
      </c>
      <c r="AJ6" s="86"/>
      <c r="AK6" s="87">
        <v>1.4999999999999999E-2</v>
      </c>
      <c r="AL6" s="88">
        <v>1.5E-3</v>
      </c>
      <c r="AM6" s="89">
        <v>0.01</v>
      </c>
      <c r="AN6" s="2312" t="s">
        <v>3062</v>
      </c>
      <c r="AO6" s="55">
        <f ca="1">SUMIF(INDIRECT("'"&amp;AN6&amp;"'"&amp;"!A:A"),"总价",INDIRECT("'"&amp;AN6&amp;"'"&amp;"!B:B"))</f>
        <v>3688</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6" customFormat="1" ht="14.25">
      <c r="A7" s="2309">
        <f>'数据-汇总表'!C20</f>
        <v>0</v>
      </c>
      <c r="B7" s="2310" t="str">
        <f t="shared" ref="B7:B13" si="1">IF(A7=0,"","经营性")</f>
        <v/>
      </c>
      <c r="C7" s="2311"/>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6" customFormat="1" ht="14.25">
      <c r="A8" s="2309">
        <f>'数据-汇总表'!C21</f>
        <v>0</v>
      </c>
      <c r="B8" s="2310" t="str">
        <f t="shared" si="1"/>
        <v/>
      </c>
      <c r="C8" s="2311"/>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6" customFormat="1" ht="14.25">
      <c r="A9" s="2309">
        <f>'数据-汇总表'!C22</f>
        <v>0</v>
      </c>
      <c r="B9" s="2310" t="str">
        <f t="shared" si="1"/>
        <v/>
      </c>
      <c r="C9" s="2311"/>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6" customFormat="1" ht="14.25">
      <c r="A10" s="2309">
        <f>'数据-汇总表'!C23</f>
        <v>0</v>
      </c>
      <c r="B10" s="2310" t="str">
        <f t="shared" si="1"/>
        <v/>
      </c>
      <c r="C10" s="2311"/>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6" customFormat="1" ht="14.25">
      <c r="A11" s="2309">
        <f>'数据-汇总表'!C24</f>
        <v>0</v>
      </c>
      <c r="B11" s="2310" t="str">
        <f t="shared" si="1"/>
        <v/>
      </c>
      <c r="C11" s="2311"/>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6" customFormat="1" ht="14.25">
      <c r="A12" s="2309">
        <f>'数据-汇总表'!C25</f>
        <v>0</v>
      </c>
      <c r="B12" s="2310" t="str">
        <f t="shared" si="1"/>
        <v/>
      </c>
      <c r="C12" s="2311"/>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6" customFormat="1" ht="14.25">
      <c r="A13" s="2309">
        <f>'数据-汇总表'!C26</f>
        <v>0</v>
      </c>
      <c r="B13" s="2310" t="str">
        <f t="shared" si="1"/>
        <v/>
      </c>
      <c r="C13" s="2311"/>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6" customFormat="1" ht="14.25">
      <c r="A14" s="2314" t="s">
        <v>2009</v>
      </c>
      <c r="B14" s="2310" t="s">
        <v>2010</v>
      </c>
      <c r="C14" s="2315" t="s">
        <v>2009</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6" customFormat="1" ht="27">
      <c r="A15" s="2314" t="s">
        <v>2011</v>
      </c>
      <c r="B15" s="2310" t="s">
        <v>2010</v>
      </c>
      <c r="C15" s="2315" t="s">
        <v>2012</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6" customFormat="1" ht="15.75" thickBot="1">
      <c r="A16" s="2316" t="s">
        <v>2013</v>
      </c>
      <c r="B16" s="97"/>
      <c r="C16" s="1009"/>
      <c r="D16" s="2317"/>
      <c r="E16" s="97"/>
      <c r="F16" s="97"/>
      <c r="G16" s="98">
        <f>ROUND(SUMPRODUCT(G6:G13,K6:K13)/SUMPRODUCT((G6:G13&gt;0)*(K6:K13)),3)</f>
        <v>0.94</v>
      </c>
      <c r="H16" s="99">
        <f>ROUND(SUMPRODUCT(H6:H13,K6:K13)/SUMPRODUCT((H6:H13&gt;0)*(K6:K13)),3)</f>
        <v>4.4999999999999998E-2</v>
      </c>
      <c r="I16" s="100"/>
      <c r="J16" s="100"/>
      <c r="K16" s="101">
        <f>SUM(K6:K15)</f>
        <v>898.32</v>
      </c>
      <c r="L16" s="102">
        <f>ROUND(M16*10000/SUM(K6:K14),0)</f>
        <v>2994</v>
      </c>
      <c r="M16" s="102">
        <f>SUM(M6:M14)</f>
        <v>269</v>
      </c>
      <c r="N16" s="103">
        <f>ROUND(SUMPRODUCT(M6:M14,N6:N14)/M16,3)</f>
        <v>0.88</v>
      </c>
      <c r="O16" s="102">
        <f>SUM(O6:O14)</f>
        <v>0</v>
      </c>
      <c r="P16" s="102">
        <f>SUM(P6:P14)</f>
        <v>0</v>
      </c>
      <c r="Q16" s="104">
        <f>ROUND(SUMPRODUCT(Q6:Q13,K6:K13)/SUMPRODUCT((Q6:Q13&gt;0)*(K6:K13)),2)</f>
        <v>0.2</v>
      </c>
      <c r="R16" s="125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3"/>
      <c r="C17" s="1586"/>
      <c r="D17" s="2276"/>
      <c r="E17" s="2276"/>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2014</v>
      </c>
      <c r="B18" s="2283"/>
      <c r="C18" s="2280"/>
      <c r="D18" s="2281"/>
      <c r="E18" s="2280"/>
      <c r="F18" s="2280"/>
      <c r="G18" s="2280"/>
      <c r="H18" s="2280"/>
      <c r="I18" s="2280"/>
      <c r="J18" s="2280"/>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9" t="s">
        <v>2015</v>
      </c>
      <c r="B19" s="112">
        <v>0</v>
      </c>
      <c r="C19" s="2280" t="s">
        <v>2016</v>
      </c>
      <c r="D19" s="2281"/>
      <c r="E19" s="2280"/>
      <c r="F19" s="2280"/>
      <c r="G19" s="2280"/>
      <c r="H19" s="2280"/>
      <c r="I19" s="2280"/>
      <c r="J19" s="2280"/>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0" t="s">
        <v>2017</v>
      </c>
      <c r="B20" s="113">
        <v>1.5</v>
      </c>
      <c r="C20" s="2280" t="s">
        <v>2018</v>
      </c>
      <c r="D20" s="2281"/>
      <c r="E20" s="2280"/>
      <c r="F20" s="2280"/>
      <c r="G20" s="2280"/>
      <c r="H20" s="2280"/>
      <c r="I20" s="2280"/>
      <c r="J20" s="2280"/>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1" t="s">
        <v>2019</v>
      </c>
      <c r="B21" s="113">
        <v>1.5</v>
      </c>
      <c r="C21" s="2280"/>
      <c r="D21" s="2281"/>
      <c r="E21" s="2280"/>
      <c r="F21" s="2280"/>
      <c r="G21" s="2280"/>
      <c r="H21" s="2280"/>
      <c r="I21" s="2280"/>
      <c r="J21" s="2280"/>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0" t="s">
        <v>2020</v>
      </c>
      <c r="B22" s="114">
        <f>B19+B20</f>
        <v>1.5</v>
      </c>
      <c r="C22" s="2280"/>
      <c r="D22" s="2281"/>
      <c r="E22" s="2280"/>
      <c r="F22" s="2280"/>
      <c r="G22" s="2280"/>
      <c r="H22" s="2280"/>
      <c r="I22" s="2280"/>
      <c r="J22" s="2280"/>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1" t="s">
        <v>2021</v>
      </c>
      <c r="B23" s="114">
        <f>B19+B21</f>
        <v>1.5</v>
      </c>
      <c r="C23" s="2280"/>
      <c r="D23" s="2281"/>
      <c r="E23" s="2280"/>
      <c r="F23" s="2280"/>
      <c r="G23" s="2280"/>
      <c r="H23" s="2280"/>
      <c r="I23" s="2280"/>
      <c r="J23" s="2280"/>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2" t="s">
        <v>2022</v>
      </c>
      <c r="B24" s="115">
        <f>B20-B21</f>
        <v>0</v>
      </c>
      <c r="C24" s="2280"/>
      <c r="D24" s="2281"/>
      <c r="E24" s="2280"/>
      <c r="F24" s="2280"/>
      <c r="G24" s="2280"/>
      <c r="H24" s="2280"/>
      <c r="I24" s="2280"/>
      <c r="J24" s="2280"/>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3"/>
      <c r="C25" s="2280"/>
      <c r="D25" s="2281"/>
      <c r="E25" s="2280"/>
      <c r="F25" s="2280"/>
      <c r="G25" s="2280"/>
      <c r="H25" s="2280"/>
      <c r="I25" s="2280"/>
      <c r="J25" s="2280"/>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9" t="s">
        <v>2023</v>
      </c>
      <c r="B26" s="2323" t="s">
        <v>2024</v>
      </c>
      <c r="C26" s="2324" t="s">
        <v>2025</v>
      </c>
      <c r="D26" s="2281"/>
      <c r="E26" s="2280"/>
      <c r="F26" s="2280"/>
      <c r="G26" s="2280"/>
      <c r="H26" s="2280"/>
      <c r="I26" s="2280"/>
      <c r="J26" s="2280"/>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7" customFormat="1" ht="27.75">
      <c r="A27" s="2325" t="s">
        <v>2026</v>
      </c>
      <c r="B27" s="116"/>
      <c r="C27" s="1769" t="s">
        <v>2027</v>
      </c>
      <c r="D27" s="2326"/>
      <c r="E27" s="1431"/>
      <c r="F27" s="1431"/>
      <c r="G27" s="2280"/>
      <c r="H27" s="2280"/>
      <c r="I27" s="2280"/>
      <c r="J27" s="2280"/>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7" customFormat="1" ht="27.75">
      <c r="A28" s="2328" t="s">
        <v>2028</v>
      </c>
      <c r="B28" s="119">
        <v>0</v>
      </c>
      <c r="C28" s="2329"/>
      <c r="D28" s="2326"/>
      <c r="E28" s="1431"/>
      <c r="F28" s="1431"/>
      <c r="G28" s="2280"/>
      <c r="H28" s="2280"/>
      <c r="I28" s="2280"/>
      <c r="J28" s="2280"/>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7" customFormat="1" ht="28.5" thickBot="1">
      <c r="A29" s="2330" t="s">
        <v>2029</v>
      </c>
      <c r="B29" s="121">
        <v>200</v>
      </c>
      <c r="C29" s="1769" t="s">
        <v>2030</v>
      </c>
      <c r="D29" s="2326"/>
      <c r="E29" s="1431"/>
      <c r="F29" s="1431"/>
      <c r="G29" s="2280"/>
      <c r="H29" s="2280"/>
      <c r="I29" s="2280"/>
      <c r="J29" s="2280"/>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7" customFormat="1" ht="27">
      <c r="A30" s="2331" t="s">
        <v>2031</v>
      </c>
      <c r="B30" s="725">
        <v>200</v>
      </c>
      <c r="C30" s="2329"/>
      <c r="D30" s="2326"/>
      <c r="E30" s="1431"/>
      <c r="F30" s="1431"/>
      <c r="G30" s="2280"/>
      <c r="H30" s="2280"/>
      <c r="I30" s="2280"/>
      <c r="J30" s="2280"/>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7" customFormat="1" ht="27">
      <c r="A31" s="2328" t="s">
        <v>2032</v>
      </c>
      <c r="B31" s="120">
        <f>B30-B32</f>
        <v>200</v>
      </c>
      <c r="C31" s="1769"/>
      <c r="D31" s="2326"/>
      <c r="E31" s="1431"/>
      <c r="F31" s="1431"/>
      <c r="G31" s="2280"/>
      <c r="H31" s="2280"/>
      <c r="I31" s="2280"/>
      <c r="J31" s="2280"/>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7" customFormat="1" ht="27.75" thickBot="1">
      <c r="A32" s="2332" t="s">
        <v>2033</v>
      </c>
      <c r="B32" s="726">
        <v>0</v>
      </c>
      <c r="C32" s="2329"/>
      <c r="D32" s="2281"/>
      <c r="E32" s="2280"/>
      <c r="F32" s="2280"/>
      <c r="G32" s="2280"/>
      <c r="H32" s="2280"/>
      <c r="I32" s="2280"/>
      <c r="J32" s="2280"/>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7" customFormat="1" ht="14.25">
      <c r="A33" s="2325" t="s">
        <v>2034</v>
      </c>
      <c r="B33" s="727">
        <v>0.03</v>
      </c>
      <c r="C33" s="1768" t="s">
        <v>2035</v>
      </c>
      <c r="D33" s="2281"/>
      <c r="E33" s="2280"/>
      <c r="F33" s="2280"/>
      <c r="G33" s="2280"/>
      <c r="H33" s="2280"/>
      <c r="I33" s="2280"/>
      <c r="J33" s="2280"/>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7" customFormat="1" ht="14.25">
      <c r="A34" s="2328" t="s">
        <v>2036</v>
      </c>
      <c r="B34" s="122">
        <v>0.03</v>
      </c>
      <c r="C34" s="1768" t="s">
        <v>2037</v>
      </c>
      <c r="D34" s="2281" t="s">
        <v>2038</v>
      </c>
      <c r="E34" s="733"/>
      <c r="F34" s="2280"/>
      <c r="G34" s="2280"/>
      <c r="H34" s="2280"/>
      <c r="I34" s="2280"/>
      <c r="J34" s="2280"/>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7" customFormat="1" ht="14.25">
      <c r="A35" s="2328" t="s">
        <v>2039</v>
      </c>
      <c r="B35" s="119">
        <v>100</v>
      </c>
      <c r="C35" s="1768" t="s">
        <v>2040</v>
      </c>
      <c r="D35" s="2326"/>
      <c r="E35" s="1431"/>
      <c r="F35" s="1431"/>
      <c r="G35" s="2280"/>
      <c r="H35" s="2280"/>
      <c r="I35" s="2280"/>
      <c r="J35" s="2280"/>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0" t="s">
        <v>2041</v>
      </c>
      <c r="B36" s="123">
        <v>1.4999999999999999E-2</v>
      </c>
      <c r="C36" s="1768" t="s">
        <v>2042</v>
      </c>
      <c r="D36" s="2281"/>
      <c r="E36" s="2280"/>
      <c r="F36" s="2280"/>
      <c r="G36" s="2280"/>
      <c r="H36" s="2280"/>
      <c r="I36" s="2280"/>
      <c r="J36" s="2280"/>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1" t="s">
        <v>2043</v>
      </c>
      <c r="B37" s="124">
        <v>0.02</v>
      </c>
      <c r="C37" s="1768" t="s">
        <v>2044</v>
      </c>
      <c r="D37" s="2281"/>
      <c r="E37" s="2280"/>
      <c r="F37" s="2280"/>
      <c r="G37" s="2280"/>
      <c r="H37" s="2280"/>
      <c r="I37" s="2280"/>
      <c r="J37" s="2280"/>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8" t="s">
        <v>2045</v>
      </c>
      <c r="B38" s="122">
        <v>0.02</v>
      </c>
      <c r="C38" s="1768" t="s">
        <v>2044</v>
      </c>
      <c r="D38" s="2281"/>
      <c r="E38" s="2280"/>
      <c r="F38" s="2280"/>
      <c r="G38" s="2280"/>
      <c r="H38" s="2280"/>
      <c r="I38" s="2280"/>
      <c r="J38" s="2280"/>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2" t="s">
        <v>2046</v>
      </c>
      <c r="B39" s="363">
        <f ca="1">存贷款利率!I1</f>
        <v>1.4999999999999999E-2</v>
      </c>
      <c r="C39" s="1768"/>
      <c r="D39" s="2281"/>
      <c r="E39" s="2280"/>
      <c r="F39" s="2280"/>
      <c r="G39" s="2280"/>
      <c r="H39" s="2280"/>
      <c r="I39" s="2280"/>
      <c r="J39" s="2280"/>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2" t="s">
        <v>2047</v>
      </c>
      <c r="B40" s="1304">
        <f ca="1">存贷款利率!G1</f>
        <v>4.7500000000000001E-2</v>
      </c>
      <c r="C40" s="1768" t="s">
        <v>2048</v>
      </c>
      <c r="D40" s="1586"/>
      <c r="E40" s="2281"/>
      <c r="F40" s="2280"/>
      <c r="G40" s="2280"/>
      <c r="H40" s="2280"/>
      <c r="I40" s="2280"/>
      <c r="J40" s="2280"/>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5" t="s">
        <v>2049</v>
      </c>
      <c r="B41" s="125">
        <f>B42+B43</f>
        <v>5.6000000000000001E-2</v>
      </c>
      <c r="C41" s="1769"/>
      <c r="D41" s="1586"/>
      <c r="E41" s="2281"/>
      <c r="F41" s="2280"/>
      <c r="G41" s="2280"/>
      <c r="H41" s="2280"/>
      <c r="I41" s="2280"/>
      <c r="J41" s="2280"/>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3" t="s">
        <v>2050</v>
      </c>
      <c r="B42" s="2958">
        <v>0.05</v>
      </c>
      <c r="C42" s="2334">
        <f>IF(B2&lt;DATE(2016,5,1),0,B42)</f>
        <v>0.05</v>
      </c>
      <c r="D42" s="2281"/>
      <c r="E42" s="2280"/>
      <c r="F42" s="2280"/>
      <c r="G42" s="2280"/>
      <c r="H42" s="2280"/>
      <c r="I42" s="2280"/>
      <c r="J42" s="2280"/>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3" t="s">
        <v>2051</v>
      </c>
      <c r="B43" s="127">
        <f>B42*(B44+B45+B46)+B47</f>
        <v>6.000000000000001E-3</v>
      </c>
      <c r="C43" s="1769"/>
      <c r="D43" s="2281"/>
      <c r="E43" s="2280"/>
      <c r="F43" s="2280"/>
      <c r="G43" s="2280"/>
      <c r="H43" s="2280"/>
      <c r="I43" s="2280"/>
      <c r="J43" s="2280"/>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5" t="s">
        <v>2052</v>
      </c>
      <c r="B44" s="128">
        <v>7.0000000000000007E-2</v>
      </c>
      <c r="C44" s="1768" t="s">
        <v>2053</v>
      </c>
      <c r="D44" s="2281"/>
      <c r="E44" s="2280"/>
      <c r="F44" s="2280"/>
      <c r="G44" s="2280"/>
      <c r="H44" s="2280"/>
      <c r="I44" s="2280"/>
      <c r="J44" s="2280"/>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5" t="s">
        <v>2054</v>
      </c>
      <c r="B45" s="126">
        <v>0.03</v>
      </c>
      <c r="C45" s="1769" t="s">
        <v>2055</v>
      </c>
      <c r="D45" s="2281"/>
      <c r="E45" s="2280"/>
      <c r="F45" s="2280"/>
      <c r="G45" s="2280"/>
      <c r="H45" s="2280"/>
      <c r="I45" s="2280"/>
      <c r="J45" s="2280"/>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5" t="s">
        <v>2056</v>
      </c>
      <c r="B46" s="126">
        <v>0.02</v>
      </c>
      <c r="C46" s="1769" t="s">
        <v>2057</v>
      </c>
      <c r="D46" s="2281"/>
      <c r="E46" s="2280"/>
      <c r="F46" s="2280"/>
      <c r="G46" s="2280"/>
      <c r="H46" s="2280"/>
      <c r="I46" s="2280"/>
      <c r="J46" s="2280"/>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6" t="s">
        <v>2058</v>
      </c>
      <c r="B47" s="129">
        <v>0</v>
      </c>
      <c r="C47" s="1769" t="s">
        <v>2059</v>
      </c>
      <c r="D47" s="2281"/>
      <c r="E47" s="2280"/>
      <c r="F47" s="2280"/>
      <c r="G47" s="2280"/>
      <c r="H47" s="2280"/>
      <c r="I47" s="2280"/>
      <c r="J47" s="2280"/>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7" t="s">
        <v>2060</v>
      </c>
      <c r="B48" s="130">
        <v>0.03</v>
      </c>
      <c r="C48" s="1776" t="s">
        <v>2061</v>
      </c>
      <c r="D48" s="2281"/>
      <c r="E48" s="2280"/>
      <c r="F48" s="2280"/>
      <c r="G48" s="2280"/>
      <c r="H48" s="2280"/>
      <c r="I48" s="2280"/>
      <c r="J48" s="2280"/>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2" t="s">
        <v>2062</v>
      </c>
      <c r="B49" s="126">
        <v>5.0000000000000001E-4</v>
      </c>
      <c r="C49" s="1776" t="s">
        <v>2063</v>
      </c>
      <c r="D49" s="2281"/>
      <c r="E49" s="2280"/>
      <c r="F49" s="2280"/>
      <c r="G49" s="2280"/>
      <c r="H49" s="2280"/>
      <c r="I49" s="2280"/>
      <c r="J49" s="2280"/>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8" t="s">
        <v>2064</v>
      </c>
      <c r="B50" s="131">
        <v>1.2E-2</v>
      </c>
      <c r="C50" s="1431"/>
      <c r="D50" s="2281"/>
      <c r="E50" s="2280"/>
      <c r="F50" s="2280"/>
      <c r="G50" s="2280"/>
      <c r="H50" s="2280"/>
      <c r="I50" s="2280"/>
      <c r="J50" s="2280"/>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0" t="s">
        <v>2065</v>
      </c>
      <c r="B51" s="132">
        <v>0.12</v>
      </c>
      <c r="C51" s="1431"/>
      <c r="D51" s="2281"/>
      <c r="E51" s="2280"/>
      <c r="F51" s="2280"/>
      <c r="G51" s="2280"/>
      <c r="H51" s="2280"/>
      <c r="I51" s="2280"/>
      <c r="J51" s="2280"/>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8" t="s">
        <v>2066</v>
      </c>
      <c r="B52" s="133">
        <f>SUMIF(A54:A63,B53,B54:B63)</f>
        <v>18</v>
      </c>
      <c r="C52" s="1431"/>
      <c r="D52" s="2281"/>
      <c r="E52" s="2280"/>
      <c r="F52" s="2280"/>
      <c r="G52" s="2280"/>
      <c r="H52" s="2280"/>
      <c r="I52" s="2280"/>
      <c r="J52" s="2280"/>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8" t="s">
        <v>2067</v>
      </c>
      <c r="B53" s="2339" t="s">
        <v>442</v>
      </c>
      <c r="C53" s="1431" t="s">
        <v>2068</v>
      </c>
      <c r="D53" s="2340" t="s">
        <v>2069</v>
      </c>
      <c r="E53" s="2280"/>
      <c r="F53" s="2280"/>
      <c r="G53" s="2280"/>
      <c r="H53" s="2280"/>
      <c r="I53" s="2280"/>
      <c r="J53" s="2280"/>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1" t="s">
        <v>2070</v>
      </c>
      <c r="B54" s="84">
        <v>30</v>
      </c>
      <c r="C54" s="1431">
        <v>30</v>
      </c>
      <c r="D54" s="2281"/>
      <c r="E54" s="2280"/>
      <c r="F54" s="2280"/>
      <c r="G54" s="2280"/>
      <c r="H54" s="2280"/>
      <c r="I54" s="2280"/>
      <c r="J54" s="2280"/>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1" t="s">
        <v>2071</v>
      </c>
      <c r="B55" s="84">
        <v>24</v>
      </c>
      <c r="C55" s="1431">
        <v>24</v>
      </c>
      <c r="D55" s="2281"/>
      <c r="E55" s="2280"/>
      <c r="F55" s="2280"/>
      <c r="G55" s="2280"/>
      <c r="H55" s="2280"/>
      <c r="I55" s="2342"/>
      <c r="J55" s="2280"/>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1" t="s">
        <v>2072</v>
      </c>
      <c r="B56" s="84">
        <v>18</v>
      </c>
      <c r="C56" s="1431">
        <v>18</v>
      </c>
      <c r="D56" s="2281"/>
      <c r="E56" s="2280"/>
      <c r="F56" s="2280"/>
      <c r="G56" s="2280"/>
      <c r="H56" s="2280"/>
      <c r="I56" s="2280"/>
      <c r="J56" s="2280"/>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1" t="s">
        <v>2073</v>
      </c>
      <c r="B57" s="84"/>
      <c r="C57" s="1431">
        <v>12</v>
      </c>
      <c r="D57" s="2281"/>
      <c r="E57" s="2280"/>
      <c r="F57" s="2280"/>
      <c r="G57" s="2280"/>
      <c r="H57" s="2280"/>
      <c r="I57" s="2280"/>
      <c r="J57" s="2280"/>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1" t="s">
        <v>2074</v>
      </c>
      <c r="B58" s="84"/>
      <c r="C58" s="1431">
        <v>3</v>
      </c>
      <c r="D58" s="2281"/>
      <c r="E58" s="2280"/>
      <c r="F58" s="2280"/>
      <c r="G58" s="2280"/>
      <c r="H58" s="2280"/>
      <c r="I58" s="2280"/>
      <c r="J58" s="2280"/>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1" t="s">
        <v>2075</v>
      </c>
      <c r="B59" s="84"/>
      <c r="C59" s="1431">
        <v>1.5</v>
      </c>
      <c r="D59" s="2281"/>
      <c r="E59" s="2280"/>
      <c r="F59" s="2280"/>
      <c r="G59" s="2280"/>
      <c r="H59" s="2280"/>
      <c r="I59" s="2280"/>
      <c r="J59" s="2280"/>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1" t="s">
        <v>2076</v>
      </c>
      <c r="B60" s="84"/>
      <c r="C60" s="2280"/>
      <c r="D60" s="2281"/>
      <c r="E60" s="2280"/>
      <c r="F60" s="2280"/>
      <c r="G60" s="2280"/>
      <c r="H60" s="2280"/>
      <c r="I60" s="2280"/>
      <c r="J60" s="2280"/>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1" t="s">
        <v>2077</v>
      </c>
      <c r="B61" s="84"/>
      <c r="C61" s="2280"/>
      <c r="D61" s="2281"/>
      <c r="E61" s="2280"/>
      <c r="F61" s="2280"/>
      <c r="G61" s="2280"/>
      <c r="H61" s="2280"/>
      <c r="I61" s="2280"/>
      <c r="J61" s="2280"/>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1" t="s">
        <v>2078</v>
      </c>
      <c r="B62" s="84"/>
      <c r="C62" s="2280"/>
      <c r="D62" s="2281"/>
      <c r="E62" s="2280"/>
      <c r="F62" s="2280"/>
      <c r="G62" s="2280"/>
      <c r="H62" s="2280"/>
      <c r="I62" s="2280"/>
      <c r="J62" s="2280"/>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3" t="s">
        <v>2079</v>
      </c>
      <c r="B63" s="134"/>
      <c r="C63" s="2280"/>
      <c r="D63" s="2281"/>
      <c r="E63" s="2280"/>
      <c r="F63" s="2280"/>
      <c r="G63" s="2280"/>
      <c r="H63" s="2280"/>
      <c r="I63" s="2280"/>
      <c r="J63" s="2280"/>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4"/>
      <c r="D64" s="2345"/>
      <c r="K64" s="799"/>
      <c r="L64" s="799"/>
    </row>
    <row r="65" spans="1:12" s="968" customFormat="1">
      <c r="A65" s="2344"/>
      <c r="D65" s="2345"/>
      <c r="K65" s="799"/>
      <c r="L65" s="799"/>
    </row>
    <row r="66" spans="1:12" s="968" customFormat="1">
      <c r="A66" s="2344"/>
      <c r="D66" s="2345"/>
      <c r="K66" s="799"/>
      <c r="L66" s="799"/>
    </row>
    <row r="67" spans="1:12" s="968" customFormat="1">
      <c r="A67" s="2344"/>
      <c r="D67" s="2345"/>
      <c r="K67" s="799"/>
      <c r="L67" s="799"/>
    </row>
    <row r="68" spans="1:12" s="968" customFormat="1">
      <c r="A68" s="2344"/>
      <c r="D68" s="2345"/>
      <c r="K68" s="799"/>
      <c r="L68" s="799"/>
    </row>
    <row r="69" spans="1:12" s="968" customFormat="1">
      <c r="A69" s="2344"/>
      <c r="D69" s="2345"/>
      <c r="K69" s="799"/>
      <c r="L69" s="799"/>
    </row>
    <row r="70" spans="1:12" s="968" customFormat="1">
      <c r="A70" s="2344"/>
      <c r="D70" s="2345"/>
      <c r="K70" s="799"/>
      <c r="L70" s="799"/>
    </row>
    <row r="71" spans="1:12" s="968" customFormat="1">
      <c r="A71" s="2344"/>
      <c r="D71" s="2345"/>
      <c r="K71" s="799"/>
      <c r="L71" s="799"/>
    </row>
    <row r="72" spans="1:12" s="968" customFormat="1">
      <c r="A72" s="2344"/>
      <c r="D72" s="2345"/>
      <c r="K72" s="799"/>
      <c r="L72" s="799"/>
    </row>
    <row r="73" spans="1:12" s="968" customFormat="1">
      <c r="A73" s="2344"/>
      <c r="D73" s="2345"/>
      <c r="K73" s="799"/>
      <c r="L73" s="799"/>
    </row>
    <row r="74" spans="1:12" s="968" customFormat="1">
      <c r="A74" s="2344"/>
      <c r="D74" s="2345"/>
      <c r="K74" s="799"/>
      <c r="L74" s="799"/>
    </row>
    <row r="75" spans="1:12" s="968" customFormat="1">
      <c r="A75" s="2344"/>
      <c r="D75" s="2345"/>
      <c r="K75" s="799"/>
      <c r="L75" s="799"/>
    </row>
    <row r="76" spans="1:12" s="968" customFormat="1">
      <c r="A76" s="2344"/>
      <c r="D76" s="2345"/>
      <c r="K76" s="799"/>
      <c r="L76" s="799"/>
    </row>
    <row r="77" spans="1:12" s="968" customFormat="1">
      <c r="A77" s="2344"/>
      <c r="D77" s="2345"/>
      <c r="K77" s="799"/>
      <c r="L77" s="799"/>
    </row>
    <row r="78" spans="1:12" s="968" customFormat="1">
      <c r="A78" s="2344"/>
      <c r="D78" s="2345"/>
      <c r="K78" s="799"/>
      <c r="L78" s="799"/>
    </row>
    <row r="79" spans="1:12" s="968" customFormat="1">
      <c r="A79" s="2344"/>
      <c r="D79" s="2345"/>
      <c r="K79" s="799"/>
      <c r="L79" s="799"/>
    </row>
    <row r="80" spans="1:12" s="968" customFormat="1">
      <c r="A80" s="2344"/>
      <c r="D80" s="2345"/>
      <c r="K80" s="799"/>
      <c r="L80" s="799"/>
    </row>
    <row r="81" spans="1:12" s="968" customFormat="1">
      <c r="A81" s="2344"/>
      <c r="D81" s="2345"/>
      <c r="K81" s="799"/>
      <c r="L81" s="799"/>
    </row>
    <row r="82" spans="1:12" s="968" customFormat="1">
      <c r="A82" s="2344"/>
      <c r="D82" s="2345"/>
      <c r="K82" s="799"/>
      <c r="L82" s="799"/>
    </row>
    <row r="83" spans="1:12" s="968" customFormat="1">
      <c r="A83" s="2344"/>
      <c r="D83" s="2345"/>
      <c r="K83" s="799"/>
      <c r="L83" s="799"/>
    </row>
    <row r="84" spans="1:12" s="968" customFormat="1">
      <c r="A84" s="2344"/>
      <c r="D84" s="2345"/>
      <c r="K84" s="799"/>
      <c r="L84" s="799"/>
    </row>
    <row r="85" spans="1:12" s="968" customFormat="1">
      <c r="A85" s="2344"/>
      <c r="D85" s="2345"/>
      <c r="K85" s="799"/>
      <c r="L85" s="799"/>
    </row>
    <row r="86" spans="1:12" s="968" customFormat="1">
      <c r="A86" s="2344"/>
      <c r="D86" s="2345"/>
      <c r="K86" s="799"/>
      <c r="L86" s="799"/>
    </row>
    <row r="87" spans="1:12" s="968" customFormat="1">
      <c r="A87" s="2344"/>
      <c r="D87" s="2345"/>
      <c r="K87" s="799"/>
      <c r="L87" s="799"/>
    </row>
    <row r="88" spans="1:12" s="968" customFormat="1">
      <c r="A88" s="2344"/>
      <c r="D88" s="2345"/>
      <c r="K88" s="799"/>
      <c r="L88" s="799"/>
    </row>
    <row r="89" spans="1:12" s="968" customFormat="1">
      <c r="A89" s="2344"/>
      <c r="D89" s="2345"/>
      <c r="K89" s="799"/>
      <c r="L89" s="799"/>
    </row>
    <row r="90" spans="1:12" s="968" customFormat="1">
      <c r="A90" s="2344"/>
      <c r="D90" s="2345"/>
      <c r="K90" s="799"/>
      <c r="L90" s="799"/>
    </row>
    <row r="91" spans="1:12" s="968" customFormat="1">
      <c r="A91" s="2344"/>
      <c r="D91" s="2345"/>
      <c r="K91" s="799"/>
      <c r="L91" s="799"/>
    </row>
    <row r="92" spans="1:12" s="968" customFormat="1">
      <c r="A92" s="2344"/>
      <c r="D92" s="2345"/>
      <c r="K92" s="799"/>
      <c r="L92" s="799"/>
    </row>
    <row r="93" spans="1:12" s="968" customFormat="1">
      <c r="A93" s="2344"/>
      <c r="D93" s="2345"/>
      <c r="K93" s="799"/>
      <c r="L93" s="799"/>
    </row>
    <row r="94" spans="1:12" s="968" customFormat="1">
      <c r="A94" s="2344"/>
      <c r="D94" s="2345"/>
      <c r="K94" s="799"/>
      <c r="L94" s="799"/>
    </row>
    <row r="95" spans="1:12" s="968" customFormat="1">
      <c r="A95" s="2344"/>
      <c r="D95" s="2345"/>
      <c r="K95" s="799"/>
      <c r="L95" s="799"/>
    </row>
    <row r="96" spans="1:12" s="968" customFormat="1">
      <c r="A96" s="2344"/>
      <c r="D96" s="2345"/>
      <c r="K96" s="799"/>
      <c r="L96" s="799"/>
    </row>
    <row r="97" spans="1:12" s="968" customFormat="1">
      <c r="A97" s="2344"/>
      <c r="D97" s="2345"/>
      <c r="K97" s="799"/>
      <c r="L97" s="799"/>
    </row>
    <row r="98" spans="1:12" s="968" customFormat="1">
      <c r="A98" s="2344"/>
      <c r="D98" s="2345"/>
      <c r="K98" s="799"/>
      <c r="L98" s="799"/>
    </row>
    <row r="99" spans="1:12" s="968" customFormat="1">
      <c r="A99" s="2344"/>
      <c r="D99" s="2345"/>
      <c r="K99" s="799"/>
      <c r="L99" s="799"/>
    </row>
    <row r="100" spans="1:12" s="968" customFormat="1">
      <c r="A100" s="2344"/>
      <c r="D100" s="2345"/>
      <c r="K100" s="799"/>
      <c r="L100" s="799"/>
    </row>
    <row r="101" spans="1:12" s="968" customFormat="1">
      <c r="A101" s="2344"/>
      <c r="D101" s="2345"/>
      <c r="K101" s="799"/>
      <c r="L101" s="799"/>
    </row>
    <row r="102" spans="1:12" s="968" customFormat="1">
      <c r="A102" s="2344"/>
      <c r="D102" s="2345"/>
      <c r="K102" s="799"/>
      <c r="L102" s="799"/>
    </row>
    <row r="103" spans="1:12" s="968" customFormat="1">
      <c r="A103" s="2344"/>
      <c r="D103" s="2345"/>
      <c r="K103" s="799"/>
      <c r="L103" s="799"/>
    </row>
    <row r="104" spans="1:12" s="968" customFormat="1">
      <c r="A104" s="2344"/>
      <c r="D104" s="2345"/>
      <c r="K104" s="799"/>
      <c r="L104" s="799"/>
    </row>
    <row r="105" spans="1:12" s="968" customFormat="1">
      <c r="A105" s="2344"/>
      <c r="D105" s="2345"/>
      <c r="K105" s="799"/>
      <c r="L105" s="799"/>
    </row>
    <row r="106" spans="1:12" s="968" customFormat="1">
      <c r="A106" s="2344"/>
      <c r="D106" s="2345"/>
      <c r="K106" s="799"/>
      <c r="L106" s="799"/>
    </row>
    <row r="107" spans="1:12" s="968" customFormat="1">
      <c r="A107" s="2344"/>
      <c r="D107" s="2345"/>
      <c r="K107" s="799"/>
      <c r="L107" s="799"/>
    </row>
    <row r="108" spans="1:12" s="968" customFormat="1">
      <c r="A108" s="2344"/>
      <c r="D108" s="2345"/>
      <c r="K108" s="799"/>
      <c r="L108" s="799"/>
    </row>
    <row r="109" spans="1:12" s="968" customFormat="1">
      <c r="A109" s="2344"/>
      <c r="D109" s="2345"/>
      <c r="K109" s="799"/>
      <c r="L109" s="799"/>
    </row>
    <row r="110" spans="1:12" s="968" customFormat="1">
      <c r="A110" s="2344"/>
      <c r="D110" s="2345"/>
      <c r="K110" s="799"/>
      <c r="L110" s="799"/>
    </row>
    <row r="111" spans="1:12" s="968" customFormat="1">
      <c r="A111" s="2344"/>
      <c r="D111" s="2345"/>
      <c r="K111" s="799"/>
      <c r="L111" s="799"/>
    </row>
    <row r="112" spans="1:12" s="968" customFormat="1">
      <c r="A112" s="2344"/>
      <c r="D112" s="2345"/>
      <c r="K112" s="799"/>
      <c r="L112" s="799"/>
    </row>
    <row r="113" spans="1:12" s="968" customFormat="1">
      <c r="A113" s="2344"/>
      <c r="D113" s="2345"/>
      <c r="K113" s="799"/>
      <c r="L113" s="799"/>
    </row>
    <row r="114" spans="1:12" s="968" customFormat="1">
      <c r="A114" s="2344"/>
      <c r="D114" s="2345"/>
      <c r="K114" s="799"/>
      <c r="L114" s="799"/>
    </row>
    <row r="115" spans="1:12" s="968" customFormat="1">
      <c r="A115" s="2344"/>
      <c r="D115" s="2345"/>
      <c r="K115" s="799"/>
      <c r="L115" s="799"/>
    </row>
    <row r="116" spans="1:12" s="968" customFormat="1">
      <c r="A116" s="2344"/>
      <c r="D116" s="2345"/>
      <c r="K116" s="799"/>
      <c r="L116" s="799"/>
    </row>
    <row r="117" spans="1:12" s="968" customFormat="1">
      <c r="A117" s="2344"/>
      <c r="D117" s="2345"/>
      <c r="K117" s="799"/>
      <c r="L117" s="799"/>
    </row>
    <row r="118" spans="1:12" s="968" customFormat="1">
      <c r="A118" s="2344"/>
      <c r="D118" s="2345"/>
      <c r="K118" s="799"/>
      <c r="L118" s="799"/>
    </row>
    <row r="119" spans="1:12" s="968" customFormat="1">
      <c r="A119" s="2344"/>
      <c r="D119" s="2345"/>
      <c r="K119" s="799"/>
      <c r="L119" s="799"/>
    </row>
    <row r="120" spans="1:12" s="968" customFormat="1">
      <c r="A120" s="2344"/>
      <c r="D120" s="2345"/>
      <c r="K120" s="799"/>
      <c r="L120" s="799"/>
    </row>
    <row r="121" spans="1:12" s="968" customFormat="1">
      <c r="A121" s="2344"/>
      <c r="D121" s="2345"/>
      <c r="K121" s="799"/>
      <c r="L121" s="799"/>
    </row>
    <row r="122" spans="1:12" s="968" customFormat="1">
      <c r="A122" s="2344"/>
      <c r="D122" s="2345"/>
      <c r="K122" s="799"/>
      <c r="L122" s="799"/>
    </row>
    <row r="123" spans="1:12" s="968" customFormat="1">
      <c r="A123" s="2344"/>
      <c r="D123" s="2345"/>
      <c r="K123" s="799"/>
      <c r="L123" s="799"/>
    </row>
    <row r="124" spans="1:12" s="968" customFormat="1">
      <c r="A124" s="2344"/>
      <c r="D124" s="2345"/>
      <c r="K124" s="799"/>
      <c r="L124" s="799"/>
    </row>
    <row r="125" spans="1:12" s="968" customFormat="1">
      <c r="A125" s="2344"/>
      <c r="D125" s="2345"/>
      <c r="K125" s="799"/>
      <c r="L125" s="799"/>
    </row>
    <row r="126" spans="1:12" s="968" customFormat="1">
      <c r="A126" s="2344"/>
      <c r="D126" s="2345"/>
      <c r="K126" s="799"/>
      <c r="L126" s="799"/>
    </row>
    <row r="127" spans="1:12" s="968" customFormat="1">
      <c r="A127" s="2344"/>
      <c r="D127" s="2345"/>
      <c r="K127" s="799"/>
      <c r="L127" s="799"/>
    </row>
    <row r="128" spans="1:12" s="968" customFormat="1">
      <c r="A128" s="2344"/>
      <c r="D128" s="2345"/>
      <c r="K128" s="799"/>
      <c r="L128" s="799"/>
    </row>
    <row r="129" spans="1:12" s="968" customFormat="1">
      <c r="A129" s="2344"/>
      <c r="D129" s="2345"/>
      <c r="K129" s="799"/>
      <c r="L129" s="799"/>
    </row>
    <row r="130" spans="1:12" s="968" customFormat="1">
      <c r="A130" s="2344"/>
      <c r="D130" s="2345"/>
      <c r="K130" s="799"/>
      <c r="L130" s="799"/>
    </row>
    <row r="131" spans="1:12" s="968" customFormat="1">
      <c r="A131" s="2344"/>
      <c r="D131" s="2345"/>
      <c r="K131" s="799"/>
      <c r="L131" s="799"/>
    </row>
    <row r="132" spans="1:12" s="968" customFormat="1">
      <c r="A132" s="2344"/>
      <c r="D132" s="2345"/>
      <c r="K132" s="799"/>
      <c r="L132" s="799"/>
    </row>
    <row r="133" spans="1:12" s="968" customFormat="1">
      <c r="A133" s="2344"/>
      <c r="D133" s="2345"/>
      <c r="K133" s="799"/>
      <c r="L133" s="799"/>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8"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2" t="s">
        <v>2080</v>
      </c>
      <c r="B1" s="3053"/>
      <c r="C1" s="3053"/>
      <c r="D1" s="3053"/>
      <c r="E1" s="3053"/>
      <c r="F1" s="3053"/>
      <c r="G1" s="3053"/>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2081</v>
      </c>
      <c r="D2" s="2369"/>
      <c r="E2" s="2370"/>
      <c r="F2" s="2289"/>
      <c r="G2" s="2368" t="s">
        <v>2082</v>
      </c>
      <c r="H2" s="2371"/>
      <c r="I2" s="2371"/>
      <c r="J2" s="2371"/>
      <c r="K2" s="2371"/>
      <c r="L2" s="2371"/>
      <c r="M2" s="2371"/>
      <c r="N2" s="2371"/>
      <c r="O2" s="2371"/>
      <c r="P2" s="2371"/>
      <c r="Q2" s="2371"/>
      <c r="R2" s="2371"/>
    </row>
    <row r="3" spans="1:29" ht="54">
      <c r="A3" s="416" t="s">
        <v>2083</v>
      </c>
      <c r="B3" s="1272" t="s">
        <v>2084</v>
      </c>
      <c r="C3" s="2373" t="s">
        <v>2085</v>
      </c>
      <c r="D3" s="2374"/>
      <c r="E3" s="432" t="s">
        <v>2083</v>
      </c>
      <c r="F3" s="2375" t="s">
        <v>2086</v>
      </c>
      <c r="G3" s="2376" t="s">
        <v>2087</v>
      </c>
      <c r="H3" s="2371"/>
      <c r="I3" s="2371"/>
      <c r="J3" s="2371"/>
      <c r="K3" s="2371"/>
      <c r="L3" s="2371"/>
      <c r="M3" s="2371"/>
      <c r="N3" s="2371"/>
      <c r="O3" s="2371"/>
      <c r="P3" s="2371"/>
      <c r="Q3" s="2371"/>
      <c r="R3" s="2371"/>
    </row>
    <row r="4" spans="1:29" ht="41.25">
      <c r="A4" s="432"/>
      <c r="B4" s="1800" t="s">
        <v>2088</v>
      </c>
      <c r="C4" s="2377" t="s">
        <v>2089</v>
      </c>
      <c r="D4" s="2374"/>
      <c r="E4" s="2378"/>
      <c r="F4" s="42" t="s">
        <v>2090</v>
      </c>
      <c r="G4" s="2379" t="s">
        <v>2091</v>
      </c>
      <c r="H4" s="2371"/>
      <c r="I4" s="2371"/>
      <c r="J4" s="2371"/>
      <c r="K4" s="2371"/>
      <c r="L4" s="2371"/>
      <c r="M4" s="2371"/>
      <c r="N4" s="2371"/>
      <c r="O4" s="2371"/>
      <c r="P4" s="2371"/>
      <c r="Q4" s="2371"/>
      <c r="R4" s="2371"/>
    </row>
    <row r="5" spans="1:29" ht="40.5">
      <c r="A5" s="432"/>
      <c r="B5" s="1800" t="s">
        <v>2092</v>
      </c>
      <c r="C5" s="2951" t="s">
        <v>3118</v>
      </c>
      <c r="D5" s="2374"/>
      <c r="E5" s="2378"/>
      <c r="F5" s="1800" t="s">
        <v>2093</v>
      </c>
      <c r="G5" s="2379" t="s">
        <v>2094</v>
      </c>
      <c r="H5" s="2371"/>
      <c r="I5" s="2371"/>
      <c r="J5" s="2371"/>
      <c r="K5" s="2371"/>
      <c r="L5" s="2371"/>
      <c r="M5" s="2371"/>
      <c r="N5" s="2371"/>
      <c r="O5" s="2371"/>
      <c r="P5" s="2371"/>
      <c r="Q5" s="2371"/>
      <c r="R5" s="2371"/>
    </row>
    <row r="6" spans="1:29" ht="40.5">
      <c r="A6" s="432"/>
      <c r="B6" s="1800" t="s">
        <v>2095</v>
      </c>
      <c r="C6" s="2952" t="s">
        <v>3119</v>
      </c>
      <c r="D6" s="2374"/>
      <c r="E6" s="2378"/>
      <c r="F6" s="1800" t="s">
        <v>2096</v>
      </c>
      <c r="G6" s="2379" t="s">
        <v>2097</v>
      </c>
      <c r="H6" s="2371"/>
      <c r="I6" s="2371"/>
      <c r="J6" s="2371"/>
      <c r="K6" s="2371"/>
      <c r="L6" s="2371"/>
      <c r="M6" s="2371"/>
      <c r="N6" s="2371"/>
      <c r="O6" s="2371"/>
      <c r="P6" s="2371"/>
      <c r="Q6" s="2371"/>
      <c r="R6" s="2371"/>
    </row>
    <row r="7" spans="1:29" ht="41.25" thickBot="1">
      <c r="A7" s="432"/>
      <c r="B7" s="1800" t="s">
        <v>2093</v>
      </c>
      <c r="C7" s="2952" t="s">
        <v>3120</v>
      </c>
      <c r="D7" s="2380"/>
      <c r="E7" s="2381"/>
      <c r="F7" s="2382" t="s">
        <v>2098</v>
      </c>
      <c r="G7" s="2383" t="s">
        <v>2099</v>
      </c>
      <c r="H7" s="2371"/>
      <c r="I7" s="2371"/>
      <c r="J7" s="2371"/>
      <c r="K7" s="2371"/>
      <c r="L7" s="2371"/>
      <c r="M7" s="2371"/>
      <c r="N7" s="2371"/>
      <c r="O7" s="2371"/>
      <c r="P7" s="2371"/>
      <c r="Q7" s="2371"/>
      <c r="R7" s="2371"/>
    </row>
    <row r="8" spans="1:29" ht="27">
      <c r="A8" s="432"/>
      <c r="B8" s="1800" t="s">
        <v>2096</v>
      </c>
      <c r="C8" s="2952" t="s">
        <v>3121</v>
      </c>
      <c r="D8" s="2380"/>
      <c r="E8" s="2380"/>
      <c r="F8" s="1137"/>
      <c r="G8" s="1137"/>
      <c r="H8" s="2371"/>
      <c r="I8" s="2371"/>
      <c r="J8" s="2371"/>
      <c r="K8" s="2371"/>
      <c r="L8" s="2371"/>
      <c r="M8" s="2371"/>
      <c r="N8" s="2371"/>
      <c r="O8" s="2371"/>
      <c r="P8" s="2371"/>
      <c r="Q8" s="2371"/>
      <c r="R8" s="2371"/>
    </row>
    <row r="9" spans="1:29" ht="40.5">
      <c r="A9" s="432"/>
      <c r="B9" s="1800" t="s">
        <v>2100</v>
      </c>
      <c r="C9" s="2951" t="s">
        <v>3122</v>
      </c>
      <c r="D9" s="2374"/>
      <c r="E9" s="2380"/>
      <c r="F9" s="1137"/>
      <c r="G9" s="1137"/>
      <c r="H9" s="2371"/>
      <c r="I9" s="2371"/>
      <c r="J9" s="2371"/>
      <c r="K9" s="2371"/>
      <c r="L9" s="2371"/>
      <c r="M9" s="2371"/>
      <c r="N9" s="2371"/>
      <c r="O9" s="2371"/>
      <c r="P9" s="2371"/>
      <c r="Q9" s="2371"/>
      <c r="R9" s="2371"/>
    </row>
    <row r="10" spans="1:29" s="117" customFormat="1" ht="15.75" thickBot="1">
      <c r="A10" s="2384"/>
      <c r="B10" s="2385" t="s">
        <v>2101</v>
      </c>
      <c r="C10" s="2386"/>
      <c r="D10" s="2374"/>
      <c r="E10" s="2374"/>
      <c r="F10" s="1137"/>
      <c r="G10" s="1137"/>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5"/>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5"/>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2102</v>
      </c>
      <c r="B13" s="2391"/>
      <c r="C13" s="2391"/>
      <c r="D13" s="2398"/>
      <c r="E13" s="2391"/>
      <c r="F13" s="2391"/>
      <c r="G13" s="2391"/>
    </row>
    <row r="14" spans="1:29" ht="15.75" thickBot="1">
      <c r="A14" s="2402"/>
      <c r="B14" s="2403"/>
      <c r="C14" s="2404" t="s">
        <v>2103</v>
      </c>
      <c r="D14" s="2374"/>
      <c r="E14" s="2405"/>
      <c r="F14" s="2405"/>
      <c r="G14" s="2368" t="s">
        <v>2104</v>
      </c>
    </row>
    <row r="15" spans="1:29" ht="57">
      <c r="A15" s="68" t="s">
        <v>2105</v>
      </c>
      <c r="B15" s="1271" t="s">
        <v>2084</v>
      </c>
      <c r="C15" s="2406" t="str">
        <f>C3</f>
        <v>估价对象周边居住用地比例、居住小区规模和社区发展完善程度，综合评价居住社区成熟度一般</v>
      </c>
      <c r="D15" s="2374"/>
      <c r="E15" s="2407" t="s">
        <v>2106</v>
      </c>
      <c r="F15" s="1271" t="s">
        <v>2107</v>
      </c>
      <c r="G15" s="135" t="str">
        <f>G3</f>
        <v>估价对象位于XX开发区，园区建设成熟度XX，产业集聚程度XX</v>
      </c>
    </row>
    <row r="16" spans="1:29" ht="42.75">
      <c r="A16" s="646"/>
      <c r="B16" s="2408" t="s">
        <v>2088</v>
      </c>
      <c r="C16" s="2409" t="str">
        <f>C4</f>
        <v>估价对象位于XX商圈，周边商业氛围成熟，人流量大，商业繁华度好</v>
      </c>
      <c r="D16" s="2374"/>
      <c r="E16" s="2410"/>
      <c r="F16" s="2411" t="s">
        <v>2090</v>
      </c>
      <c r="G16" s="136" t="str">
        <f>G4</f>
        <v>估价对象周边道路状况、公共交通通达情况、停车便捷程度，综合评价交通便捷度较好</v>
      </c>
    </row>
    <row r="17" spans="1:18" ht="42.75">
      <c r="A17" s="646"/>
      <c r="B17" s="2408" t="s">
        <v>2092</v>
      </c>
      <c r="C17" s="2409" t="str">
        <f>C5</f>
        <v>估价对象周边办公楼项目较多，入驻率高，办公集聚程度较好</v>
      </c>
      <c r="D17" s="2380"/>
      <c r="E17" s="2410"/>
      <c r="F17" s="2411" t="s">
        <v>2108</v>
      </c>
      <c r="G17" s="1574"/>
    </row>
    <row r="18" spans="1:18" ht="42.75">
      <c r="A18" s="646"/>
      <c r="B18" s="2411" t="s">
        <v>2095</v>
      </c>
      <c r="C18" s="136" t="str">
        <f>C6</f>
        <v>估价对象周边道路通达、公共交通通达、停车便捷，综合评价交通便捷度较好</v>
      </c>
      <c r="D18" s="2380"/>
      <c r="E18" s="2410"/>
      <c r="F18" s="2411" t="s">
        <v>2098</v>
      </c>
      <c r="G18" s="136" t="str">
        <f>G7</f>
        <v>该园区内是否有污染型企业，绿化情况，卫生条件，整体环境状况判断</v>
      </c>
    </row>
    <row r="19" spans="1:18" ht="28.5">
      <c r="A19" s="646"/>
      <c r="B19" s="2411" t="s">
        <v>2109</v>
      </c>
      <c r="C19" s="2944" t="s">
        <v>3063</v>
      </c>
      <c r="D19" s="2374"/>
      <c r="E19" s="2410"/>
      <c r="F19" s="1800" t="s">
        <v>2093</v>
      </c>
      <c r="G19" s="136" t="str">
        <f>G5</f>
        <v>估价对象所在区域公共配套设施齐备情况</v>
      </c>
    </row>
    <row r="20" spans="1:18" ht="42.75">
      <c r="A20" s="646"/>
      <c r="B20" s="2411" t="s">
        <v>2110</v>
      </c>
      <c r="C20" s="2409" t="str">
        <f>C9</f>
        <v>区域自然环境较好；人文环境较好；综合评价环境状况较好</v>
      </c>
      <c r="D20" s="2380"/>
      <c r="E20" s="2410"/>
      <c r="F20" s="1800" t="s">
        <v>2111</v>
      </c>
      <c r="G20" s="136" t="str">
        <f>G6</f>
        <v>估价对象所在区域基础设施水平</v>
      </c>
    </row>
    <row r="21" spans="1:18" ht="28.5">
      <c r="A21" s="646"/>
      <c r="B21" s="1800" t="s">
        <v>2093</v>
      </c>
      <c r="C21" s="136" t="str">
        <f>C7</f>
        <v>估价对象所在区域公共配套设施齐备</v>
      </c>
      <c r="D21" s="2374"/>
      <c r="E21" s="2410"/>
      <c r="F21" s="2411" t="s">
        <v>2112</v>
      </c>
      <c r="G21" s="2412"/>
    </row>
    <row r="22" spans="1:18" ht="13.5" customHeight="1">
      <c r="A22" s="646"/>
      <c r="B22" s="1800" t="s">
        <v>2096</v>
      </c>
      <c r="C22" s="136" t="str">
        <f>C8</f>
        <v>估价对象所在区域基础设施水平达七通</v>
      </c>
      <c r="D22" s="2374"/>
      <c r="E22" s="2410"/>
      <c r="F22" s="2411" t="s">
        <v>2101</v>
      </c>
      <c r="G22" s="1574"/>
    </row>
    <row r="23" spans="1:18" s="2371" customFormat="1" ht="15.75" thickBot="1">
      <c r="A23" s="646"/>
      <c r="B23" s="2411" t="s">
        <v>2112</v>
      </c>
      <c r="C23" s="2412" t="s">
        <v>3064</v>
      </c>
      <c r="D23" s="2399"/>
      <c r="E23" s="2413"/>
      <c r="F23" s="2414" t="s">
        <v>2113</v>
      </c>
      <c r="G23" s="2415"/>
      <c r="H23" s="2399"/>
      <c r="I23" s="2400"/>
      <c r="J23" s="2399"/>
      <c r="K23" s="2399"/>
      <c r="L23" s="2400"/>
      <c r="M23" s="2399"/>
      <c r="N23" s="2399"/>
      <c r="O23" s="2400"/>
      <c r="P23" s="2399"/>
      <c r="Q23" s="2399"/>
      <c r="R23" s="2401"/>
    </row>
    <row r="24" spans="1:18" s="2371" customFormat="1" ht="15.75" thickBot="1">
      <c r="A24" s="2416"/>
      <c r="B24" s="2414" t="s">
        <v>2114</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898.32</v>
      </c>
      <c r="C1" s="1747"/>
      <c r="D1" s="1747"/>
      <c r="E1" s="1747"/>
      <c r="F1" s="1747"/>
      <c r="G1" s="1745"/>
    </row>
    <row r="2" spans="1:10" ht="16.5">
      <c r="A2" s="1748" t="s">
        <v>1354</v>
      </c>
      <c r="B2" s="1748">
        <f>SUM(C14:C23)</f>
        <v>0</v>
      </c>
      <c r="C2" s="1747"/>
      <c r="D2" s="1747"/>
      <c r="E2" s="1747"/>
      <c r="F2" s="1747"/>
      <c r="G2" s="1745"/>
    </row>
    <row r="3" spans="1:10" ht="16.5">
      <c r="A3" s="1748" t="s">
        <v>1363</v>
      </c>
      <c r="B3" s="1749">
        <f>项目基本情况!D3</f>
        <v>43053</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4097</v>
      </c>
      <c r="C5" s="1748">
        <f ca="1">ROUND(B5*10000/$B$1,0)</f>
        <v>45607</v>
      </c>
      <c r="D5" s="1748" t="e">
        <f ca="1">ROUND(B5*10000/$B$2,0)</f>
        <v>#DIV/0!</v>
      </c>
      <c r="E5" s="1747"/>
      <c r="F5" s="1745"/>
      <c r="G5" s="1745"/>
    </row>
    <row r="6" spans="1:10" ht="16.5">
      <c r="A6" s="1748" t="s">
        <v>1357</v>
      </c>
      <c r="B6" s="1748">
        <f ca="1">SUM(G14:G23)</f>
        <v>4097</v>
      </c>
      <c r="C6" s="1748">
        <f ca="1">ROUND(B6*10000/$B$1,0)</f>
        <v>45607</v>
      </c>
      <c r="D6" s="1748" t="e">
        <f ca="1">ROUND(B6*10000/$B$2,0)</f>
        <v>#DIV/0!</v>
      </c>
      <c r="E6" s="1747"/>
      <c r="F6" s="1745"/>
      <c r="G6" s="1745"/>
    </row>
    <row r="7" spans="1:10" ht="16.5">
      <c r="A7" s="1748" t="s">
        <v>1365</v>
      </c>
      <c r="B7" s="1748">
        <f>SUM(H14:H23)</f>
        <v>0</v>
      </c>
      <c r="C7" s="1748">
        <f>ROUND(B7*10000/$B$1,0)</f>
        <v>0</v>
      </c>
      <c r="D7" s="1748" t="e">
        <f>ROUND(B7*10000/$B$2,0)</f>
        <v>#DIV/0!</v>
      </c>
      <c r="E7" s="1747"/>
      <c r="F7" s="1745"/>
      <c r="G7" s="1745"/>
    </row>
    <row r="8" spans="1:10" ht="16.5">
      <c r="A8" s="1748" t="s">
        <v>1286</v>
      </c>
      <c r="B8" s="1748">
        <f>SUM(I14:I23)</f>
        <v>0</v>
      </c>
      <c r="C8" s="1748">
        <f>ROUND(B8*10000/$B$1,0)</f>
        <v>0</v>
      </c>
      <c r="D8" s="1748" t="e">
        <f>ROUND(B8*10000/$B$2,0)</f>
        <v>#DIV/0!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898.32</v>
      </c>
      <c r="C14" s="1746">
        <f>结果表!C118</f>
        <v>0</v>
      </c>
      <c r="D14" s="1746">
        <f ca="1">结果表!H118</f>
        <v>4097</v>
      </c>
      <c r="E14" s="1746">
        <f ca="1">ROUND(D14*10000/B14,0)</f>
        <v>45607</v>
      </c>
      <c r="F14" s="1746" t="e">
        <f ca="1">ROUND(D14*10000/C14,0)</f>
        <v>#DIV/0!</v>
      </c>
      <c r="G14" s="1746">
        <f ca="1">结果表!D122</f>
        <v>4097</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Normal="100" zoomScaleSheetLayoutView="100" zoomScalePageLayoutView="80" workbookViewId="0">
      <selection activeCell="J23" sqref="J23"/>
    </sheetView>
  </sheetViews>
  <sheetFormatPr defaultColWidth="12.625" defaultRowHeight="21.75" customHeight="1"/>
  <cols>
    <col min="1" max="2" width="12.625" style="2428"/>
    <col min="3" max="4" width="12.625" style="2428" customWidth="1"/>
    <col min="5" max="9" width="12.625" style="2428"/>
    <col min="10" max="11" width="12.625" style="796" customWidth="1"/>
    <col min="12" max="12" width="12.625" style="796"/>
    <col min="13" max="13" width="14.125" style="796" bestFit="1" customWidth="1"/>
    <col min="14" max="26" width="12.625" style="796"/>
    <col min="27" max="35" width="12.625" style="2427"/>
    <col min="36" max="16384" width="12.625" style="2428"/>
  </cols>
  <sheetData>
    <row r="1" spans="1:12" ht="21.75" customHeight="1" thickBot="1">
      <c r="A1" s="2228" t="s">
        <v>2115</v>
      </c>
      <c r="B1" s="2422"/>
      <c r="C1" s="2423" t="s">
        <v>27</v>
      </c>
      <c r="D1" s="2422"/>
      <c r="E1" s="2422"/>
      <c r="F1" s="2424" t="s">
        <v>2116</v>
      </c>
      <c r="G1" s="2073" t="s">
        <v>3050</v>
      </c>
      <c r="H1" s="2425" t="str">
        <f>IF(G1="现房","——","估价对象范围")</f>
        <v>——</v>
      </c>
      <c r="I1" s="2426" t="s">
        <v>3105</v>
      </c>
    </row>
    <row r="2" spans="1:12" ht="21.75" customHeight="1" thickBot="1">
      <c r="A2" s="3087" t="str">
        <f>项目基本情况!S2</f>
        <v>北京市朝阳区幸福二村39号楼4层4单元401房地产</v>
      </c>
      <c r="B2" s="3088"/>
      <c r="C2" s="3088"/>
      <c r="D2" s="3088"/>
      <c r="E2" s="3088"/>
      <c r="F2" s="3088"/>
      <c r="G2" s="3088"/>
      <c r="H2" s="3088"/>
      <c r="I2" s="3089"/>
    </row>
    <row r="3" spans="1:12" ht="12.75">
      <c r="A3" s="3091" t="s">
        <v>2117</v>
      </c>
      <c r="B3" s="3092"/>
      <c r="C3" s="3092"/>
      <c r="D3" s="3092"/>
      <c r="E3" s="3092"/>
      <c r="F3" s="3092"/>
      <c r="G3" s="3092"/>
      <c r="H3" s="3092"/>
      <c r="I3" s="3092"/>
    </row>
    <row r="4" spans="1:12" ht="14.25">
      <c r="A4" s="2429" t="s">
        <v>2118</v>
      </c>
      <c r="B4" s="2430" t="s">
        <v>2119</v>
      </c>
      <c r="C4" s="2431" t="s">
        <v>3106</v>
      </c>
      <c r="D4" s="2431" t="s">
        <v>3062</v>
      </c>
      <c r="E4" s="3084" t="s">
        <v>2120</v>
      </c>
      <c r="F4" s="3085"/>
      <c r="G4" s="3085"/>
      <c r="H4" s="3085"/>
      <c r="I4" s="3093"/>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67" t="s">
        <v>2121</v>
      </c>
      <c r="B5" s="3005">
        <v>25</v>
      </c>
      <c r="C5" s="3070"/>
      <c r="D5" s="3090"/>
      <c r="E5" s="140" t="s">
        <v>2122</v>
      </c>
      <c r="F5" s="2433"/>
      <c r="G5" s="2433"/>
      <c r="H5" s="2433"/>
      <c r="I5" s="1836"/>
    </row>
    <row r="6" spans="1:12" ht="12.75">
      <c r="A6" s="3067"/>
      <c r="B6" s="3005"/>
      <c r="C6" s="3071"/>
      <c r="D6" s="3090"/>
      <c r="E6" s="140" t="s">
        <v>2123</v>
      </c>
      <c r="F6" s="2433"/>
      <c r="G6" s="2433"/>
      <c r="H6" s="2433"/>
      <c r="I6" s="1836"/>
    </row>
    <row r="7" spans="1:12" ht="12.75">
      <c r="A7" s="3067"/>
      <c r="B7" s="3005"/>
      <c r="C7" s="3072"/>
      <c r="D7" s="3090"/>
      <c r="E7" s="140" t="s">
        <v>2124</v>
      </c>
      <c r="F7" s="2433"/>
      <c r="G7" s="2433"/>
      <c r="H7" s="2433"/>
      <c r="I7" s="1836"/>
    </row>
    <row r="8" spans="1:12" ht="12.75">
      <c r="A8" s="3067" t="s">
        <v>2125</v>
      </c>
      <c r="B8" s="3005">
        <v>15</v>
      </c>
      <c r="C8" s="3070"/>
      <c r="D8" s="3090"/>
      <c r="E8" s="140" t="s">
        <v>2126</v>
      </c>
      <c r="F8" s="2433"/>
      <c r="G8" s="2433"/>
      <c r="H8" s="2433"/>
      <c r="I8" s="1836"/>
    </row>
    <row r="9" spans="1:12" ht="12.75">
      <c r="A9" s="3067"/>
      <c r="B9" s="3005"/>
      <c r="C9" s="3072"/>
      <c r="D9" s="3090"/>
      <c r="E9" s="140" t="s">
        <v>2127</v>
      </c>
      <c r="F9" s="2433"/>
      <c r="G9" s="2433"/>
      <c r="H9" s="2433"/>
      <c r="I9" s="1836"/>
    </row>
    <row r="10" spans="1:12" ht="12.75">
      <c r="A10" s="3067" t="s">
        <v>2128</v>
      </c>
      <c r="B10" s="3005">
        <v>15</v>
      </c>
      <c r="C10" s="3070"/>
      <c r="D10" s="3090"/>
      <c r="E10" s="140" t="s">
        <v>2129</v>
      </c>
      <c r="F10" s="2433"/>
      <c r="G10" s="2433"/>
      <c r="H10" s="2433"/>
      <c r="I10" s="1836"/>
    </row>
    <row r="11" spans="1:12" ht="12.75">
      <c r="A11" s="3067"/>
      <c r="B11" s="3005"/>
      <c r="C11" s="3072"/>
      <c r="D11" s="3090"/>
      <c r="E11" s="140" t="s">
        <v>2130</v>
      </c>
      <c r="F11" s="2433"/>
      <c r="G11" s="2433"/>
      <c r="H11" s="2433"/>
      <c r="I11" s="1836"/>
    </row>
    <row r="12" spans="1:12" ht="12.75">
      <c r="A12" s="3067" t="s">
        <v>2131</v>
      </c>
      <c r="B12" s="3005">
        <v>15</v>
      </c>
      <c r="C12" s="3070"/>
      <c r="D12" s="3090"/>
      <c r="E12" s="140" t="s">
        <v>2132</v>
      </c>
      <c r="F12" s="2433"/>
      <c r="G12" s="2433"/>
      <c r="H12" s="2433"/>
      <c r="I12" s="1836"/>
    </row>
    <row r="13" spans="1:12" ht="12.75">
      <c r="A13" s="3067"/>
      <c r="B13" s="3005"/>
      <c r="C13" s="3072"/>
      <c r="D13" s="3090"/>
      <c r="E13" s="140" t="s">
        <v>2133</v>
      </c>
      <c r="F13" s="2433"/>
      <c r="G13" s="2433"/>
      <c r="H13" s="2433"/>
      <c r="I13" s="1836"/>
    </row>
    <row r="14" spans="1:12" ht="12.75">
      <c r="A14" s="3067" t="s">
        <v>2134</v>
      </c>
      <c r="B14" s="3005">
        <v>30</v>
      </c>
      <c r="C14" s="3070">
        <v>0.5</v>
      </c>
      <c r="D14" s="3090">
        <f>1-C14</f>
        <v>0.5</v>
      </c>
      <c r="E14" s="140" t="s">
        <v>2135</v>
      </c>
      <c r="F14" s="2433"/>
      <c r="G14" s="2433"/>
      <c r="H14" s="2433"/>
      <c r="I14" s="1836"/>
    </row>
    <row r="15" spans="1:12" ht="12.75">
      <c r="A15" s="3067"/>
      <c r="B15" s="3005"/>
      <c r="C15" s="3071"/>
      <c r="D15" s="3090"/>
      <c r="E15" s="140" t="s">
        <v>2136</v>
      </c>
      <c r="F15" s="2433"/>
      <c r="G15" s="2433"/>
      <c r="H15" s="2433"/>
      <c r="I15" s="1836"/>
    </row>
    <row r="16" spans="1:12" ht="12.75">
      <c r="A16" s="3067"/>
      <c r="B16" s="3005"/>
      <c r="C16" s="3072"/>
      <c r="D16" s="3090"/>
      <c r="E16" s="140" t="s">
        <v>2137</v>
      </c>
      <c r="F16" s="2433"/>
      <c r="G16" s="2433"/>
      <c r="H16" s="2433"/>
      <c r="I16" s="1836"/>
    </row>
    <row r="17" spans="1:35" ht="15">
      <c r="A17" s="2434" t="s">
        <v>2138</v>
      </c>
      <c r="B17" s="64"/>
      <c r="C17" s="141">
        <f>SUM(C5:C16)</f>
        <v>0.5</v>
      </c>
      <c r="D17" s="141">
        <f>SUM(D5:D16)</f>
        <v>0.5</v>
      </c>
      <c r="E17" s="138"/>
      <c r="F17" s="138"/>
      <c r="G17" s="138"/>
      <c r="H17" s="138"/>
      <c r="I17" s="138"/>
      <c r="K17" s="2432"/>
      <c r="L17" s="2435" t="s">
        <v>2139</v>
      </c>
      <c r="M17" s="2435" t="s">
        <v>2140</v>
      </c>
    </row>
    <row r="18" spans="1:35" ht="15.75" thickBot="1">
      <c r="A18" s="2436" t="s">
        <v>2141</v>
      </c>
      <c r="B18" s="2437"/>
      <c r="C18" s="142">
        <f>ROUND(C17/SUM(C17:D17),2)</f>
        <v>0.5</v>
      </c>
      <c r="D18" s="142">
        <f>1-C18</f>
        <v>0.5</v>
      </c>
      <c r="E18" s="138"/>
      <c r="F18" s="138"/>
      <c r="G18" s="138"/>
      <c r="H18" s="138"/>
      <c r="I18" s="138"/>
      <c r="K18" s="2432" t="s">
        <v>2142</v>
      </c>
      <c r="L18" s="2432">
        <f>IF(C1="",'数据-汇总表'!E3,SUMIF(项目类型,C1,'数据-汇总表'!E17:E26)+SUMIF(项目类型,C1,'数据-汇总表'!I17:I26))</f>
        <v>898.32</v>
      </c>
      <c r="M18" s="2432">
        <f>IF(C1="",'数据-汇总表'!E3,SUMIF(项目类型,C1,'数据-汇总表'!E17:E26))</f>
        <v>898.32</v>
      </c>
    </row>
    <row r="19" spans="1:35" ht="15">
      <c r="A19" s="2438" t="s">
        <v>2143</v>
      </c>
      <c r="B19" s="2439" t="s">
        <v>2144</v>
      </c>
      <c r="C19" s="143">
        <f ca="1">SUMIF(INDIRECT("'"&amp;C4&amp;"'"&amp;"!A:A"),结果表!B19,INDIRECT("'"&amp;C4&amp;"'"&amp;"!B:B"))</f>
        <v>4505</v>
      </c>
      <c r="D19" s="144">
        <f ca="1">SUMIF(INDIRECT("'"&amp;D4&amp;"'"&amp;"!A:A"),结果表!B19,INDIRECT("'"&amp;D4&amp;"'"&amp;"!B:B"))</f>
        <v>3688</v>
      </c>
      <c r="E19" s="2438" t="s">
        <v>2145</v>
      </c>
      <c r="F19" s="2439" t="s">
        <v>2144</v>
      </c>
      <c r="G19" s="145">
        <f ca="1">ROUND(C19*$C$18+D19*$D$18,0)</f>
        <v>4097</v>
      </c>
      <c r="H19" s="2440" t="s">
        <v>2146</v>
      </c>
      <c r="I19" s="138"/>
      <c r="K19" s="2432" t="s">
        <v>2147</v>
      </c>
      <c r="L19" s="2432">
        <f>IF(C1="",'数据-汇总表'!D3,SUMIF(项目类型,C1,'数据-汇总表'!D17:D26)+SUMIF(项目类型,C1,'数据-汇总表'!H17:H27))</f>
        <v>0</v>
      </c>
      <c r="M19" s="2432">
        <f>IF(C1="",'数据-汇总表'!D3,SUMIF(项目类型,C1,'数据-汇总表'!D17:D26))</f>
        <v>0</v>
      </c>
    </row>
    <row r="20" spans="1:35" ht="15">
      <c r="A20" s="2441"/>
      <c r="B20" s="1251" t="s">
        <v>2148</v>
      </c>
      <c r="C20" s="146">
        <f ca="1">SUMIF(INDIRECT("'"&amp;C4&amp;"'"&amp;"!A:A"),结果表!B20,INDIRECT("'"&amp;C4&amp;"'"&amp;"!B:B"))</f>
        <v>50152</v>
      </c>
      <c r="D20" s="147">
        <f ca="1">SUMIF(INDIRECT("'"&amp;D4&amp;"'"&amp;"!A:A"),结果表!B20,INDIRECT("'"&amp;D4&amp;"'"&amp;"!B:B"))</f>
        <v>41054</v>
      </c>
      <c r="E20" s="2441"/>
      <c r="F20" s="1251" t="s">
        <v>2148</v>
      </c>
      <c r="G20" s="148">
        <f ca="1">ROUND(C20*$C$18+D20*$D$18,0)</f>
        <v>45603</v>
      </c>
      <c r="H20" s="984" t="s">
        <v>2149</v>
      </c>
      <c r="I20" s="138"/>
    </row>
    <row r="21" spans="1:35" ht="15" customHeight="1" thickBot="1">
      <c r="A21" s="1004"/>
      <c r="B21" s="2442" t="s">
        <v>2150</v>
      </c>
      <c r="C21" s="790" t="e">
        <f ca="1">ROUND(C19*10000/L19,0)</f>
        <v>#DIV/0!</v>
      </c>
      <c r="D21" s="791" t="e">
        <f ca="1">ROUND(D19*10000/L19,0)</f>
        <v>#DIV/0!</v>
      </c>
      <c r="E21" s="1004"/>
      <c r="F21" s="2442" t="s">
        <v>2150</v>
      </c>
      <c r="G21" s="149" t="e">
        <f ca="1">ROUND(G19*10000/L19,0)</f>
        <v>#DIV/0!</v>
      </c>
      <c r="H21" s="2443" t="s">
        <v>2149</v>
      </c>
      <c r="I21" s="138"/>
    </row>
    <row r="22" spans="1:35" ht="15" thickBot="1">
      <c r="A22" s="2284" t="s">
        <v>2151</v>
      </c>
      <c r="B22" s="2444"/>
      <c r="C22" s="2445"/>
      <c r="D22" s="792">
        <f ca="1">IF(C19&lt;D19,D19/C19-1,C19/D19-1)</f>
        <v>0.22152928416485906</v>
      </c>
      <c r="E22" s="138"/>
      <c r="F22" s="138"/>
      <c r="G22" s="138"/>
      <c r="H22" s="138"/>
      <c r="I22" s="138"/>
    </row>
    <row r="23" spans="1:35" ht="13.5" thickBot="1">
      <c r="A23" s="2422"/>
      <c r="B23" s="2422"/>
      <c r="C23" s="2422"/>
      <c r="D23" s="2422"/>
      <c r="E23" s="138"/>
      <c r="F23" s="138"/>
      <c r="G23" s="138"/>
      <c r="H23" s="138"/>
      <c r="I23" s="138"/>
    </row>
    <row r="24" spans="1:35" ht="14.25">
      <c r="A24" s="3061" t="s">
        <v>2152</v>
      </c>
      <c r="B24" s="2439" t="s">
        <v>2144</v>
      </c>
      <c r="C24" s="145">
        <f>IF(B30=0,0,D30)</f>
        <v>0</v>
      </c>
      <c r="D24" s="2446"/>
      <c r="E24" s="138"/>
      <c r="F24" s="138"/>
      <c r="G24" s="138"/>
      <c r="H24" s="138"/>
      <c r="I24" s="138"/>
    </row>
    <row r="25" spans="1:35" ht="14.25">
      <c r="A25" s="3062"/>
      <c r="B25" s="1251" t="s">
        <v>2148</v>
      </c>
      <c r="C25" s="150">
        <f>IF(B30=0,0,C30)</f>
        <v>0</v>
      </c>
      <c r="D25" s="2447"/>
      <c r="E25" s="138"/>
      <c r="F25" s="138"/>
      <c r="G25" s="138"/>
      <c r="H25" s="138"/>
      <c r="I25" s="138"/>
    </row>
    <row r="26" spans="1:35" ht="13.5" customHeight="1">
      <c r="A26" s="2448" t="s">
        <v>2153</v>
      </c>
      <c r="B26" s="151" t="s">
        <v>2154</v>
      </c>
      <c r="C26" s="151" t="s">
        <v>2155</v>
      </c>
      <c r="D26" s="152" t="s">
        <v>2156</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3" t="s">
        <v>2157</v>
      </c>
      <c r="B30" s="153">
        <f>SUM(B27:B29)</f>
        <v>0</v>
      </c>
      <c r="C30" s="153" t="e">
        <f>ROUND(D30*10000/B30,0)</f>
        <v>#DIV/0!</v>
      </c>
      <c r="D30" s="153">
        <f>SUM(D27:D29)</f>
        <v>0</v>
      </c>
      <c r="E30" s="138"/>
      <c r="F30" s="138"/>
      <c r="G30" s="138"/>
      <c r="H30" s="138"/>
      <c r="I30" s="138"/>
    </row>
    <row r="31" spans="1:35" s="2450" customFormat="1" ht="15" thickBot="1">
      <c r="A31" s="2449"/>
      <c r="B31" s="2449"/>
      <c r="C31" s="2449"/>
      <c r="D31" s="2449"/>
      <c r="E31" s="138"/>
      <c r="F31" s="138"/>
      <c r="G31" s="138"/>
      <c r="H31" s="138"/>
      <c r="I31" s="138"/>
      <c r="J31" s="796"/>
      <c r="K31" s="796"/>
      <c r="L31" s="796"/>
      <c r="M31" s="796"/>
      <c r="N31" s="796"/>
      <c r="O31" s="796"/>
      <c r="P31" s="796"/>
      <c r="Q31" s="796"/>
      <c r="R31" s="796"/>
      <c r="S31" s="796"/>
      <c r="T31" s="796"/>
      <c r="U31" s="796"/>
      <c r="V31" s="796"/>
      <c r="W31" s="796"/>
      <c r="X31" s="796"/>
      <c r="Y31" s="796"/>
      <c r="Z31" s="796"/>
      <c r="AA31" s="2427"/>
      <c r="AB31" s="2427"/>
      <c r="AC31" s="2427"/>
      <c r="AD31" s="2427"/>
      <c r="AE31" s="2427"/>
      <c r="AF31" s="2427"/>
      <c r="AG31" s="2427"/>
      <c r="AH31" s="2427"/>
      <c r="AI31" s="2427"/>
    </row>
    <row r="32" spans="1:35" ht="15.75" thickBot="1">
      <c r="A32" s="2451" t="s">
        <v>2158</v>
      </c>
      <c r="B32" s="2452"/>
      <c r="C32" s="154">
        <f ca="1">IF(D32="总价",G19-C24,G20-C25)</f>
        <v>4097</v>
      </c>
      <c r="D32" s="2453" t="s">
        <v>2159</v>
      </c>
      <c r="E32" s="138"/>
      <c r="F32" s="138"/>
      <c r="G32" s="138"/>
      <c r="H32" s="138"/>
      <c r="I32" s="138"/>
    </row>
    <row r="33" spans="1:15" ht="15">
      <c r="A33" s="961" t="s">
        <v>2160</v>
      </c>
      <c r="B33" s="2454"/>
      <c r="C33" s="2455" t="s">
        <v>3109</v>
      </c>
      <c r="D33" s="2456" t="s">
        <v>3062</v>
      </c>
      <c r="E33" s="2457" t="s">
        <v>2161</v>
      </c>
      <c r="F33" s="2458" t="str">
        <f>IF(D32="楼面单价","取值（单价）","取值（总价）")</f>
        <v>取值（总价）</v>
      </c>
      <c r="G33" s="138"/>
      <c r="H33" s="138"/>
      <c r="I33" s="138"/>
    </row>
    <row r="34" spans="1:15" ht="15">
      <c r="A34" s="2459"/>
      <c r="B34" s="2460" t="s">
        <v>2162</v>
      </c>
      <c r="C34" s="158">
        <f ca="1">IF(C33="自定义",F34,C32-C35)</f>
        <v>3187</v>
      </c>
      <c r="D34" s="1059">
        <f ca="1">IF(C33="自定义",ROUND(C34/C32,3),IF(C33="收益比率",SUMIF(INDIRECT("'"&amp;D33&amp;"'"&amp;"!b:b"),"土地收益比率",INDIRECT("'"&amp;D33&amp;"'"&amp;"!c:c")),SUMIF(INDIRECT("'"&amp;D33&amp;"'"&amp;"!b:b"),"土地成本比率",INDIRECT("'"&amp;D33&amp;"'"&amp;"!c:c"))))</f>
        <v>0.77800000000000002</v>
      </c>
      <c r="E34" s="2461" t="s">
        <v>2163</v>
      </c>
      <c r="F34" s="1741"/>
      <c r="G34" s="138"/>
      <c r="H34" s="138"/>
      <c r="I34" s="138"/>
    </row>
    <row r="35" spans="1:15" ht="15.75" thickBot="1">
      <c r="A35" s="2462"/>
      <c r="B35" s="2463" t="s">
        <v>2164</v>
      </c>
      <c r="C35" s="1445">
        <f ca="1">IF(C33="自定义",F35,ROUND(C32*D35,0))</f>
        <v>910</v>
      </c>
      <c r="D35" s="1446">
        <f ca="1">IF(C33="自定义",ROUND(C35/C32,3),IF(C33="收益比率",SUMIF(INDIRECT("'"&amp;D33&amp;"'"&amp;"!b:b"),"建筑物收益比率",INDIRECT("'"&amp;D33&amp;"'"&amp;"!c:c")),SUMIF(INDIRECT("'"&amp;D33&amp;"'"&amp;"!b:b"),"建筑物成本比率",INDIRECT("'"&amp;D33&amp;"'"&amp;"!c:c"))))</f>
        <v>0.222</v>
      </c>
      <c r="E35" s="2464" t="s">
        <v>2165</v>
      </c>
      <c r="F35" s="164"/>
      <c r="G35" s="138"/>
      <c r="H35" s="138"/>
      <c r="I35" s="138"/>
    </row>
    <row r="36" spans="1:15" ht="15.75" hidden="1" customHeight="1" thickBot="1">
      <c r="A36" s="3079" t="s">
        <v>2166</v>
      </c>
      <c r="B36" s="2465" t="s">
        <v>2167</v>
      </c>
      <c r="C36" s="155"/>
      <c r="D36" s="2466"/>
      <c r="E36" s="2467"/>
      <c r="F36" s="2468"/>
      <c r="G36" s="138"/>
      <c r="H36" s="138"/>
      <c r="I36" s="138"/>
    </row>
    <row r="37" spans="1:15" ht="15.75" hidden="1" customHeight="1" thickBot="1">
      <c r="A37" s="3080"/>
      <c r="B37" s="2270" t="s">
        <v>2168</v>
      </c>
      <c r="C37" s="157"/>
      <c r="D37" s="1396"/>
      <c r="E37" s="1396"/>
      <c r="F37" s="2468"/>
      <c r="G37" s="138"/>
      <c r="H37" s="138"/>
      <c r="I37" s="138"/>
    </row>
    <row r="38" spans="1:15" ht="15.75" hidden="1" customHeight="1" thickBot="1">
      <c r="A38" s="3081"/>
      <c r="B38" s="2469" t="s">
        <v>2169</v>
      </c>
      <c r="C38" s="728"/>
      <c r="D38" s="2470" t="s">
        <v>2170</v>
      </c>
      <c r="E38" s="1396"/>
      <c r="F38" s="2468"/>
      <c r="G38" s="138"/>
      <c r="H38" s="138"/>
      <c r="I38" s="138"/>
    </row>
    <row r="39" spans="1:15" ht="15" hidden="1" customHeight="1">
      <c r="A39" s="2441" t="s">
        <v>2171</v>
      </c>
      <c r="B39" s="2471" t="s">
        <v>2172</v>
      </c>
      <c r="C39" s="2472" t="s">
        <v>2173</v>
      </c>
      <c r="D39" s="2472" t="s">
        <v>2174</v>
      </c>
      <c r="E39" s="2473" t="s">
        <v>2175</v>
      </c>
      <c r="F39" s="2468"/>
      <c r="G39" s="138"/>
      <c r="H39" s="138"/>
      <c r="I39" s="138"/>
    </row>
    <row r="40" spans="1:15" ht="14.25" hidden="1" customHeight="1">
      <c r="A40" s="2474" t="s">
        <v>2176</v>
      </c>
      <c r="B40" s="159"/>
      <c r="C40" s="160"/>
      <c r="D40" s="160"/>
      <c r="E40" s="161"/>
      <c r="F40" s="2468"/>
      <c r="G40" s="138"/>
      <c r="H40" s="138"/>
      <c r="I40" s="138"/>
    </row>
    <row r="41" spans="1:15" ht="14.25" hidden="1" customHeight="1">
      <c r="A41" s="2474" t="s">
        <v>2177</v>
      </c>
      <c r="B41" s="159"/>
      <c r="C41" s="160"/>
      <c r="D41" s="160"/>
      <c r="E41" s="161"/>
      <c r="F41" s="2468"/>
      <c r="G41" s="138"/>
      <c r="H41" s="138"/>
      <c r="I41" s="138"/>
    </row>
    <row r="42" spans="1:15" ht="15" hidden="1" customHeight="1" thickBot="1">
      <c r="A42" s="2475"/>
      <c r="B42" s="162"/>
      <c r="C42" s="163"/>
      <c r="D42" s="163"/>
      <c r="E42" s="164"/>
      <c r="F42" s="2468"/>
      <c r="G42" s="138"/>
      <c r="H42" s="138"/>
      <c r="I42" s="138"/>
    </row>
    <row r="43" spans="1:15" ht="12.75" hidden="1" customHeight="1">
      <c r="A43" s="2168"/>
      <c r="B43" s="2168"/>
      <c r="C43" s="2168"/>
      <c r="D43" s="2168"/>
      <c r="E43" s="2168"/>
      <c r="F43" s="2476"/>
      <c r="G43" s="2476"/>
      <c r="H43" s="2476"/>
      <c r="I43" s="2477"/>
    </row>
    <row r="44" spans="1:15" ht="18.75" hidden="1" customHeight="1">
      <c r="A44" s="2478" t="s">
        <v>2178</v>
      </c>
      <c r="B44" s="2479"/>
      <c r="C44" s="2479"/>
      <c r="D44" s="2480"/>
      <c r="E44" s="2480"/>
      <c r="F44" s="2481"/>
      <c r="G44" s="2481"/>
      <c r="H44" s="2481"/>
      <c r="I44" s="2481"/>
      <c r="J44" s="2482" t="s">
        <v>2179</v>
      </c>
      <c r="K44" s="2483"/>
      <c r="L44" s="2483"/>
      <c r="M44" s="2483"/>
      <c r="N44" s="2483"/>
      <c r="O44" s="2483"/>
    </row>
    <row r="45" spans="1:15" ht="14.25" hidden="1" customHeight="1" thickBot="1">
      <c r="A45" s="3058" t="s">
        <v>2180</v>
      </c>
      <c r="B45" s="3059"/>
      <c r="C45" s="3060"/>
      <c r="D45" s="165">
        <f ca="1">ROUND(H101*F45,0)</f>
        <v>4097</v>
      </c>
      <c r="E45" s="166" t="s">
        <v>2181</v>
      </c>
      <c r="F45" s="167">
        <v>1</v>
      </c>
      <c r="G45" s="168" t="s">
        <v>2182</v>
      </c>
      <c r="H45" s="138"/>
      <c r="I45" s="138"/>
      <c r="J45" s="3118" t="s">
        <v>2183</v>
      </c>
      <c r="K45" s="3118"/>
      <c r="L45" s="3118"/>
      <c r="M45" s="3118"/>
      <c r="N45" s="3118"/>
      <c r="O45" s="3118"/>
    </row>
    <row r="46" spans="1:15" ht="14.25" hidden="1" customHeight="1">
      <c r="A46" s="3055" t="s">
        <v>2184</v>
      </c>
      <c r="B46" s="3056"/>
      <c r="C46" s="3056"/>
      <c r="D46" s="3056"/>
      <c r="E46" s="3056"/>
      <c r="F46" s="3056"/>
      <c r="G46" s="3057"/>
      <c r="H46" s="2484"/>
      <c r="I46" s="169"/>
      <c r="J46" s="1814">
        <v>1</v>
      </c>
      <c r="K46" s="3118" t="s">
        <v>2185</v>
      </c>
      <c r="L46" s="3118"/>
      <c r="M46" s="3138"/>
      <c r="N46" s="3138"/>
      <c r="O46" s="3138"/>
    </row>
    <row r="47" spans="1:15" ht="12" hidden="1" customHeight="1">
      <c r="A47" s="170" t="s">
        <v>2186</v>
      </c>
      <c r="B47" s="171"/>
      <c r="C47" s="172"/>
      <c r="D47" s="173" t="s">
        <v>2187</v>
      </c>
      <c r="E47" s="24" t="s">
        <v>2188</v>
      </c>
      <c r="F47" s="174" t="s">
        <v>2189</v>
      </c>
      <c r="G47" s="175" t="s">
        <v>2190</v>
      </c>
      <c r="H47" s="2484"/>
      <c r="I47" s="169"/>
      <c r="J47" s="1814">
        <v>2</v>
      </c>
      <c r="K47" s="3118" t="s">
        <v>2191</v>
      </c>
      <c r="L47" s="3118"/>
      <c r="M47" s="3139">
        <f>'数据-取费表'!B2</f>
        <v>43053</v>
      </c>
      <c r="N47" s="3139"/>
      <c r="O47" s="3139"/>
    </row>
    <row r="48" spans="1:15" ht="25.5" hidden="1" customHeight="1">
      <c r="A48" s="3086" t="s">
        <v>2192</v>
      </c>
      <c r="B48" s="3069"/>
      <c r="C48" s="3069"/>
      <c r="D48" s="140">
        <f>IF(H48="情况1",0,IF(H48="情况2",D52,IF(H48="情况3",D53,IF(H48="情况4",D54))))</f>
        <v>0</v>
      </c>
      <c r="E48" s="1803" t="str">
        <f>IF(H48="情况4","(销售额-原购置价)×税（费）率","销售额×税（费）率")</f>
        <v>销售额×税（费）率</v>
      </c>
      <c r="F48" s="176" t="str">
        <f>IF(H48="情况1","免征",'数据-取费表'!B41)</f>
        <v>免征</v>
      </c>
      <c r="G48" s="2485" t="s">
        <v>2193</v>
      </c>
      <c r="H48" s="2486" t="s">
        <v>2194</v>
      </c>
      <c r="I48" s="2484"/>
      <c r="J48" s="1814">
        <v>3</v>
      </c>
      <c r="K48" s="3118" t="s">
        <v>2195</v>
      </c>
      <c r="L48" s="3118"/>
      <c r="M48" s="3140">
        <f ca="1">H101</f>
        <v>4097</v>
      </c>
      <c r="N48" s="3140"/>
      <c r="O48" s="3140"/>
    </row>
    <row r="49" spans="1:35" ht="25.5" hidden="1" customHeight="1">
      <c r="A49" s="177" t="s">
        <v>2196</v>
      </c>
      <c r="B49" s="3054" t="s">
        <v>2197</v>
      </c>
      <c r="C49" s="3054"/>
      <c r="D49" s="178">
        <v>0</v>
      </c>
      <c r="E49" s="23" t="s">
        <v>2198</v>
      </c>
      <c r="F49" s="28" t="s">
        <v>34</v>
      </c>
      <c r="G49" s="3124"/>
      <c r="H49" s="138"/>
      <c r="I49" s="2487"/>
      <c r="J49" s="1814">
        <v>4</v>
      </c>
      <c r="K49" s="3118" t="str">
        <f>IF(项目基本情况!E8="房地产抵押价值","房地产抵押价值","抵押担保权已注销时的房地产抵押价值")</f>
        <v>房地产抵押价值</v>
      </c>
      <c r="L49" s="3118"/>
      <c r="M49" s="3140">
        <f ca="1">IF(项目基本情况!E8="房地产抵押价值",H107,H109)</f>
        <v>4097</v>
      </c>
      <c r="N49" s="3140"/>
      <c r="O49" s="3140"/>
    </row>
    <row r="50" spans="1:35" ht="25.5" hidden="1" customHeight="1">
      <c r="A50" s="179"/>
      <c r="B50" s="3054" t="s">
        <v>2199</v>
      </c>
      <c r="C50" s="3054"/>
      <c r="D50" s="180"/>
      <c r="E50" s="31"/>
      <c r="F50" s="181"/>
      <c r="G50" s="3125"/>
      <c r="H50" s="138"/>
      <c r="I50" s="2487"/>
      <c r="J50" s="3118" t="s">
        <v>2200</v>
      </c>
      <c r="K50" s="3118"/>
      <c r="L50" s="3118"/>
      <c r="M50" s="3118"/>
      <c r="N50" s="3118"/>
      <c r="O50" s="3118"/>
    </row>
    <row r="51" spans="1:35" ht="12" hidden="1" customHeight="1">
      <c r="A51" s="182"/>
      <c r="B51" s="3054" t="s">
        <v>2201</v>
      </c>
      <c r="C51" s="3054"/>
      <c r="D51" s="183"/>
      <c r="E51" s="30"/>
      <c r="F51" s="181"/>
      <c r="G51" s="3126"/>
      <c r="H51" s="138"/>
      <c r="I51" s="2487"/>
      <c r="J51" s="2488" t="s">
        <v>2202</v>
      </c>
      <c r="K51" s="3118" t="s">
        <v>2203</v>
      </c>
      <c r="L51" s="3118"/>
      <c r="M51" s="2488" t="s">
        <v>2204</v>
      </c>
      <c r="N51" s="2488" t="s">
        <v>2205</v>
      </c>
      <c r="O51" s="2488" t="s">
        <v>2206</v>
      </c>
    </row>
    <row r="52" spans="1:35" ht="24" hidden="1" customHeight="1">
      <c r="A52" s="184" t="s">
        <v>2207</v>
      </c>
      <c r="B52" s="3054" t="s">
        <v>2208</v>
      </c>
      <c r="C52" s="3054"/>
      <c r="D52" s="183">
        <f ca="1">ROUND(D45*'数据-取费表'!B41/(1+'数据-取费表'!C42),0)</f>
        <v>219</v>
      </c>
      <c r="E52" s="11" t="s">
        <v>2209</v>
      </c>
      <c r="F52" s="185">
        <f>'数据-取费表'!B41</f>
        <v>5.6000000000000001E-2</v>
      </c>
      <c r="G52" s="2489"/>
      <c r="H52" s="138"/>
      <c r="I52" s="2487"/>
      <c r="J52" s="1814">
        <v>1</v>
      </c>
      <c r="K52" s="3119" t="s">
        <v>2210</v>
      </c>
      <c r="L52" s="3119"/>
      <c r="M52" s="1756">
        <f>D48</f>
        <v>0</v>
      </c>
      <c r="N52" s="1814" t="str">
        <f>E48</f>
        <v>销售额×税（费）率</v>
      </c>
      <c r="O52" s="1757" t="str">
        <f>F48</f>
        <v>免征</v>
      </c>
    </row>
    <row r="53" spans="1:35" ht="12" hidden="1" customHeight="1">
      <c r="A53" s="184" t="s">
        <v>2211</v>
      </c>
      <c r="B53" s="3077" t="s">
        <v>2212</v>
      </c>
      <c r="C53" s="3078"/>
      <c r="D53" s="183">
        <f ca="1">ROUND(D45*'数据-取费表'!B41/(1+'数据-取费表'!C42),0)</f>
        <v>219</v>
      </c>
      <c r="E53" s="11" t="s">
        <v>2209</v>
      </c>
      <c r="F53" s="185">
        <f>'数据-取费表'!B41</f>
        <v>5.6000000000000001E-2</v>
      </c>
      <c r="G53" s="2489"/>
      <c r="H53" s="138"/>
      <c r="I53" s="2487"/>
      <c r="J53" s="1814">
        <v>2</v>
      </c>
      <c r="K53" s="3119" t="s">
        <v>2213</v>
      </c>
      <c r="L53" s="3119"/>
      <c r="M53" s="1756">
        <f t="shared" ref="M53:O54" ca="1" si="0">D55</f>
        <v>2</v>
      </c>
      <c r="N53" s="1814" t="str">
        <f t="shared" si="0"/>
        <v>销售额×税（费）率</v>
      </c>
      <c r="O53" s="1757">
        <f t="shared" si="0"/>
        <v>5.0000000000000001E-4</v>
      </c>
    </row>
    <row r="54" spans="1:35" ht="12" hidden="1" customHeight="1">
      <c r="A54" s="184" t="s">
        <v>2214</v>
      </c>
      <c r="B54" s="3077" t="s">
        <v>2215</v>
      </c>
      <c r="C54" s="3078"/>
      <c r="D54" s="183">
        <f ca="1">C68</f>
        <v>219</v>
      </c>
      <c r="E54" s="30" t="s">
        <v>2216</v>
      </c>
      <c r="F54" s="185">
        <f>'数据-取费表'!B41</f>
        <v>5.6000000000000001E-2</v>
      </c>
      <c r="G54" s="2489"/>
      <c r="H54" s="2490"/>
      <c r="I54" s="2487"/>
      <c r="J54" s="1814">
        <v>3</v>
      </c>
      <c r="K54" s="3119" t="s">
        <v>2217</v>
      </c>
      <c r="L54" s="3119"/>
      <c r="M54" s="1756">
        <f t="shared" ca="1" si="0"/>
        <v>2319</v>
      </c>
      <c r="N54" s="1814" t="str">
        <f t="shared" si="0"/>
        <v>增值额×税（费）率</v>
      </c>
      <c r="O54" s="1758" t="str">
        <f t="shared" si="0"/>
        <v>——</v>
      </c>
    </row>
    <row r="55" spans="1:35" ht="24" hidden="1" customHeight="1">
      <c r="A55" s="3068" t="s">
        <v>2218</v>
      </c>
      <c r="B55" s="3069"/>
      <c r="C55" s="3069"/>
      <c r="D55" s="186">
        <f ca="1">IF(H55="个人住宅",0,ROUND(D45*I55,0))</f>
        <v>2</v>
      </c>
      <c r="E55" s="11" t="s">
        <v>2219</v>
      </c>
      <c r="F55" s="185">
        <f>IF(H55="正常",I55,"免征")</f>
        <v>5.0000000000000001E-4</v>
      </c>
      <c r="G55" s="2489"/>
      <c r="H55" s="2486" t="s">
        <v>2220</v>
      </c>
      <c r="I55" s="187">
        <f>'数据-取费表'!B49</f>
        <v>5.0000000000000001E-4</v>
      </c>
      <c r="J55" s="1814" t="str">
        <f>IF(H59="非个人房产","",4)</f>
        <v/>
      </c>
      <c r="K55" s="3119" t="str">
        <f>IF(H59="非个人房产","——","个人所得税")</f>
        <v>——</v>
      </c>
      <c r="L55" s="3119"/>
      <c r="M55" s="1759" t="str">
        <f>D59</f>
        <v>——</v>
      </c>
      <c r="N55" s="1812" t="str">
        <f>E59</f>
        <v>——</v>
      </c>
      <c r="O55" s="1760" t="str">
        <f>F59</f>
        <v>——</v>
      </c>
    </row>
    <row r="56" spans="1:35" ht="24.75" hidden="1" customHeight="1">
      <c r="A56" s="3068" t="s">
        <v>2221</v>
      </c>
      <c r="B56" s="3069"/>
      <c r="C56" s="3069"/>
      <c r="D56" s="186">
        <f ca="1">IF(H56="个人住宅",D57,D58)</f>
        <v>2319</v>
      </c>
      <c r="E56" s="11" t="s">
        <v>2222</v>
      </c>
      <c r="F56" s="185" t="str">
        <f>IF(H56="正常",F58,"免征")</f>
        <v>——</v>
      </c>
      <c r="G56" s="2491" t="s">
        <v>2223</v>
      </c>
      <c r="H56" s="2492" t="s">
        <v>2220</v>
      </c>
      <c r="I56" s="2493"/>
      <c r="J56" s="1814" t="str">
        <f>IF(项目基本情况!K6="上海银行",IF(J55="",4,J55+1),"")</f>
        <v/>
      </c>
      <c r="K56" s="3142" t="str">
        <f>IF(项目基本情况!K6="上海银行","其他处置费用","")</f>
        <v/>
      </c>
      <c r="L56" s="3143"/>
      <c r="M56" s="1756" t="str">
        <f>IF(项目基本情况!K6="上海银行",M69,"")</f>
        <v/>
      </c>
      <c r="N56" s="3145" t="str">
        <f>IF(项目基本情况!K6="上海银行","包含处置中涉及的律师、诉讼、拍卖、评估等费用","")</f>
        <v/>
      </c>
      <c r="O56" s="3146"/>
    </row>
    <row r="57" spans="1:35" ht="12.75" hidden="1" customHeight="1">
      <c r="A57" s="184" t="s">
        <v>2196</v>
      </c>
      <c r="B57" s="3084" t="s">
        <v>2224</v>
      </c>
      <c r="C57" s="3093"/>
      <c r="D57" s="188">
        <v>0</v>
      </c>
      <c r="E57" s="23" t="s">
        <v>2198</v>
      </c>
      <c r="F57" s="156"/>
      <c r="G57" s="2489"/>
      <c r="H57" s="2493"/>
      <c r="I57" s="2493"/>
      <c r="J57" s="3119">
        <f>IF(AND(J55="",J56=""),4,IF(项目基本情况!K6="上海银行",结果表!J56+1,结果表!J55+1))</f>
        <v>4</v>
      </c>
      <c r="K57" s="3119" t="s">
        <v>2225</v>
      </c>
      <c r="L57" s="2494" t="s">
        <v>2226</v>
      </c>
      <c r="M57" s="1761"/>
      <c r="N57" s="1762">
        <f ca="1">SUMIF(M52:M56,"&lt;9e307")</f>
        <v>2321</v>
      </c>
      <c r="O57" s="2495"/>
      <c r="P57" s="1755">
        <f ca="1">N57/M49</f>
        <v>0.56651208201122771</v>
      </c>
    </row>
    <row r="58" spans="1:35" ht="24.75" hidden="1" customHeight="1">
      <c r="A58" s="184" t="s">
        <v>2207</v>
      </c>
      <c r="B58" s="3084" t="s">
        <v>2227</v>
      </c>
      <c r="C58" s="3085"/>
      <c r="D58" s="186">
        <f ca="1">IF(H58="转让取得",C81,C97)</f>
        <v>2319</v>
      </c>
      <c r="E58" s="11" t="s">
        <v>2222</v>
      </c>
      <c r="F58" s="24" t="s">
        <v>34</v>
      </c>
      <c r="G58" s="2489"/>
      <c r="H58" s="2492" t="s">
        <v>2228</v>
      </c>
      <c r="I58" s="2493"/>
      <c r="J58" s="3119"/>
      <c r="K58" s="3119"/>
      <c r="L58" s="2494" t="s">
        <v>2229</v>
      </c>
      <c r="M58" s="1763"/>
      <c r="N58" s="2496" t="str">
        <f ca="1">NUMBERSTRING(INT(N57*10000),2)&amp;"元整"</f>
        <v>贰仟叁佰贰拾壹万元整</v>
      </c>
      <c r="O58" s="2497"/>
    </row>
    <row r="59" spans="1:35" ht="24.75" hidden="1" customHeight="1" thickBot="1">
      <c r="A59" s="3122" t="s">
        <v>2230</v>
      </c>
      <c r="B59" s="3123"/>
      <c r="C59" s="3123"/>
      <c r="D59" s="189" t="str">
        <f>IF(H59="非个人房产","——",IF(H59="个人住宅",0,ROUND(D45*I59,0)))</f>
        <v>——</v>
      </c>
      <c r="E59" s="190" t="str">
        <f>IF(H59="非个人房产","——","销售额×税（费）率")</f>
        <v>——</v>
      </c>
      <c r="F59" s="191" t="str">
        <f>IF(H59="非个人房产","——",IF(H59="个人住宅","免征",I59))</f>
        <v>——</v>
      </c>
      <c r="G59" s="2498" t="s">
        <v>2223</v>
      </c>
      <c r="H59" s="2492" t="s">
        <v>2231</v>
      </c>
      <c r="I59" s="192">
        <v>0.01</v>
      </c>
      <c r="J59" s="3120">
        <f>J57+1</f>
        <v>5</v>
      </c>
      <c r="K59" s="3119" t="s">
        <v>2232</v>
      </c>
      <c r="L59" s="1814" t="s">
        <v>2226</v>
      </c>
      <c r="M59" s="1764"/>
      <c r="N59" s="1765">
        <f ca="1">M49-N57</f>
        <v>1776</v>
      </c>
      <c r="O59" s="2499"/>
    </row>
    <row r="60" spans="1:35" ht="12" hidden="1" customHeight="1">
      <c r="A60" s="2500"/>
      <c r="B60" s="2422"/>
      <c r="C60" s="2422"/>
      <c r="D60" s="2422"/>
      <c r="E60" s="2169"/>
      <c r="F60" s="2493"/>
      <c r="G60" s="2493"/>
      <c r="H60" s="2501"/>
      <c r="I60" s="138"/>
      <c r="J60" s="3121"/>
      <c r="K60" s="3119"/>
      <c r="L60" s="2494" t="s">
        <v>2229</v>
      </c>
      <c r="M60" s="1763"/>
      <c r="N60" s="2496" t="str">
        <f ca="1">NUMBERSTRING(INT(N59*10000),2)&amp;"元整"</f>
        <v>壹仟柒佰柒拾陆万元整</v>
      </c>
      <c r="O60" s="2497"/>
    </row>
    <row r="61" spans="1:35" ht="13.5" hidden="1" customHeight="1" thickBot="1">
      <c r="A61" s="3066" t="s">
        <v>2233</v>
      </c>
      <c r="B61" s="3066"/>
      <c r="C61" s="3066"/>
      <c r="D61" s="3066"/>
      <c r="E61" s="3066"/>
      <c r="F61" s="2493"/>
      <c r="G61" s="2493"/>
      <c r="H61" s="2501"/>
      <c r="I61" s="138"/>
      <c r="J61" s="1814">
        <f>J59+1</f>
        <v>6</v>
      </c>
      <c r="K61" s="3119" t="s">
        <v>2234</v>
      </c>
      <c r="L61" s="3119"/>
      <c r="M61" s="1766"/>
      <c r="N61" s="1767">
        <f ca="1">ROUND(N59*10000/'数据-汇总表'!E3,0)</f>
        <v>19770</v>
      </c>
      <c r="O61" s="2502"/>
    </row>
    <row r="62" spans="1:35" ht="12.75" hidden="1" customHeight="1">
      <c r="A62" s="3082" t="s">
        <v>2235</v>
      </c>
      <c r="B62" s="3083"/>
      <c r="C62" s="1806"/>
      <c r="D62" s="1806" t="s">
        <v>2236</v>
      </c>
      <c r="E62" s="193" t="s">
        <v>2237</v>
      </c>
      <c r="F62" s="2493"/>
      <c r="G62" s="2493"/>
      <c r="H62" s="2501"/>
      <c r="I62" s="138"/>
    </row>
    <row r="63" spans="1:35" ht="12.75" hidden="1" customHeight="1">
      <c r="A63" s="204" t="s">
        <v>775</v>
      </c>
      <c r="B63" s="194" t="s">
        <v>2238</v>
      </c>
      <c r="C63" s="195">
        <f ca="1">ROUND((C64+C65)/(1+'数据-取费表'!C42),0)</f>
        <v>3902</v>
      </c>
      <c r="D63" s="196"/>
      <c r="E63" s="197"/>
      <c r="F63" s="2493"/>
      <c r="G63" s="2493"/>
      <c r="H63" s="2501"/>
      <c r="I63" s="138"/>
      <c r="J63" s="3144" t="s">
        <v>2239</v>
      </c>
      <c r="K63" s="2503" t="s">
        <v>2240</v>
      </c>
      <c r="L63" s="1754">
        <f ca="1">IF(M49&gt;10000,M49*0.5%,IF(AND(M49&gt;1000,M49&lt;=10000),M49*1%,IF(AND(M49&gt;100,M49&lt;=1000),M49*3%,IF(AND(M49&gt;10,M49&lt;=100),M49*5%,M49*8%))))</f>
        <v>40.97</v>
      </c>
      <c r="M63" s="24">
        <f ca="1">ROUND(L63,1)</f>
        <v>41</v>
      </c>
      <c r="Z63" s="2427"/>
      <c r="AI63" s="2428"/>
    </row>
    <row r="64" spans="1:35" ht="14.25" hidden="1" customHeight="1">
      <c r="A64" s="198" t="s">
        <v>770</v>
      </c>
      <c r="B64" s="199" t="s">
        <v>2241</v>
      </c>
      <c r="C64" s="200">
        <f ca="1">D45</f>
        <v>4097</v>
      </c>
      <c r="D64" s="201" t="s">
        <v>32</v>
      </c>
      <c r="E64" s="202"/>
      <c r="F64" s="2493"/>
      <c r="G64" s="2493"/>
      <c r="H64" s="2501"/>
      <c r="I64" s="138"/>
      <c r="J64" s="3144"/>
      <c r="K64" s="2503" t="s">
        <v>2242</v>
      </c>
      <c r="L64" s="1754">
        <f ca="1">IF(M49&gt;2000,M49*0.5%,IF(AND(M49&gt;1000,M49&lt;=2000),M49*0.6%,IF(AND(M49&gt;500,M49&lt;=1000),M49*0.7%,IF(AND(M49&gt;200,M49&lt;=500),M49*0.8%,IF(AND(M49&gt;100,M49&lt;=200),M49*0.9%,IF(AND(M49&gt;50,M49&lt;=100),M49*1%,IF(AND(M49&gt;20,M49&lt;=50),M49*1.5%,IF(AND(M49&gt;10,M49&lt;=20),M49*2%,IF(AND(M49&gt;1,M49&lt;=10),M49*2.5%)))))))))</f>
        <v>20.484999999999999</v>
      </c>
      <c r="M64" s="24">
        <f t="shared" ref="M64:M65" ca="1" si="1">ROUND(L64,1)</f>
        <v>20.5</v>
      </c>
      <c r="N64" s="138" t="s">
        <v>2243</v>
      </c>
      <c r="Z64" s="2427"/>
      <c r="AI64" s="2428"/>
    </row>
    <row r="65" spans="1:35" ht="14.25" hidden="1" customHeight="1">
      <c r="A65" s="198" t="s">
        <v>771</v>
      </c>
      <c r="B65" s="199" t="s">
        <v>2244</v>
      </c>
      <c r="C65" s="203"/>
      <c r="D65" s="201"/>
      <c r="E65" s="202"/>
      <c r="F65" s="2493"/>
      <c r="G65" s="2493"/>
      <c r="H65" s="2501"/>
      <c r="I65" s="138"/>
      <c r="J65" s="3144"/>
      <c r="K65" s="2503" t="s">
        <v>2245</v>
      </c>
      <c r="L65" s="1754">
        <f ca="1">IF(M49&gt;1000,M49*0.1%,IF(AND(M49&gt;500,M49&lt;=1000),M49*0.5%,IF(AND(M49&gt;50,M49&lt;=500),M49*1%,IF(AND(M49&gt;1,M49&lt;=50),M49*1.5%))))</f>
        <v>4.0970000000000004</v>
      </c>
      <c r="M65" s="24">
        <f t="shared" ca="1" si="1"/>
        <v>4.0999999999999996</v>
      </c>
      <c r="N65" s="138" t="s">
        <v>2243</v>
      </c>
      <c r="Z65" s="2427"/>
      <c r="AI65" s="2428"/>
    </row>
    <row r="66" spans="1:35" ht="14.25" hidden="1" customHeight="1">
      <c r="A66" s="204" t="s">
        <v>772</v>
      </c>
      <c r="B66" s="205" t="s">
        <v>2246</v>
      </c>
      <c r="C66" s="206"/>
      <c r="D66" s="207" t="s">
        <v>32</v>
      </c>
      <c r="E66" s="1778" t="s">
        <v>1372</v>
      </c>
      <c r="F66" s="2493"/>
      <c r="G66" s="2493"/>
      <c r="H66" s="2501"/>
      <c r="I66" s="138"/>
      <c r="J66" s="3144"/>
      <c r="K66" s="2503" t="s">
        <v>2247</v>
      </c>
      <c r="L66" s="1754">
        <f ca="1">M49*0.5%</f>
        <v>20.484999999999999</v>
      </c>
      <c r="M66" s="24">
        <f ca="1">IF(L66&gt;0.5,0.5,ROUND(L66,0))</f>
        <v>0.5</v>
      </c>
      <c r="N66" s="138" t="s">
        <v>2248</v>
      </c>
      <c r="Z66" s="2427"/>
      <c r="AI66" s="2428"/>
    </row>
    <row r="67" spans="1:35" ht="14.25" hidden="1" customHeight="1">
      <c r="A67" s="204" t="s">
        <v>773</v>
      </c>
      <c r="B67" s="205" t="s">
        <v>2249</v>
      </c>
      <c r="C67" s="208">
        <f ca="1">C63-C66</f>
        <v>3902</v>
      </c>
      <c r="D67" s="201" t="s">
        <v>32</v>
      </c>
      <c r="E67" s="202"/>
      <c r="F67" s="2493"/>
      <c r="G67" s="2493"/>
      <c r="H67" s="2501"/>
      <c r="I67" s="138"/>
      <c r="J67" s="3144"/>
      <c r="K67" s="2503" t="s">
        <v>2250</v>
      </c>
      <c r="L67" s="175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hidden="1" customHeight="1" thickBot="1">
      <c r="A68" s="209" t="s">
        <v>774</v>
      </c>
      <c r="B68" s="210" t="s">
        <v>2251</v>
      </c>
      <c r="C68" s="211">
        <f ca="1">IF(C67&lt;=0,0,ROUND(C67*D68,0))</f>
        <v>219</v>
      </c>
      <c r="D68" s="212">
        <f>'数据-取费表'!B41</f>
        <v>5.6000000000000001E-2</v>
      </c>
      <c r="E68" s="213"/>
      <c r="F68" s="2493"/>
      <c r="G68" s="2493"/>
      <c r="H68" s="2501"/>
      <c r="I68" s="138"/>
      <c r="J68" s="3144"/>
      <c r="K68" s="2503" t="s">
        <v>2252</v>
      </c>
      <c r="L68" s="1754">
        <f ca="1">IF(M49&gt;10000,M49*0.5%,IF(AND(M49&gt;5000,M49&lt;=10000),M49*1%,IF(AND(M49&gt;1000,M49&lt;=5000),M49*2%,IF(AND(M49&gt;200,M49&lt;=1000),M49*3%,M49*5%))))</f>
        <v>81.94</v>
      </c>
      <c r="M68" s="24">
        <f ca="1">ROUND(L68,1)</f>
        <v>81.900000000000006</v>
      </c>
      <c r="Z68" s="2427"/>
      <c r="AI68" s="2428"/>
    </row>
    <row r="69" spans="1:35" s="2450" customFormat="1" ht="16.5" hidden="1" customHeight="1">
      <c r="A69" s="2504"/>
      <c r="B69" s="2505"/>
      <c r="C69" s="2506"/>
      <c r="D69" s="2507"/>
      <c r="E69" s="2508"/>
      <c r="F69" s="2169"/>
      <c r="G69" s="2169"/>
      <c r="H69" s="2168"/>
      <c r="I69" s="2422"/>
      <c r="J69" s="3144"/>
      <c r="K69" s="2503" t="s">
        <v>2253</v>
      </c>
      <c r="L69" s="2509"/>
      <c r="M69" s="24">
        <f ca="1">ROUND(SUM(M63:M68),0)</f>
        <v>150</v>
      </c>
      <c r="N69" s="1755">
        <f ca="1">M69/M49</f>
        <v>3.66121552355382E-2</v>
      </c>
      <c r="O69" s="796"/>
      <c r="P69" s="796"/>
      <c r="Q69" s="796"/>
      <c r="R69" s="796"/>
      <c r="S69" s="796"/>
      <c r="T69" s="796"/>
      <c r="U69" s="796"/>
      <c r="V69" s="796"/>
      <c r="W69" s="796"/>
      <c r="X69" s="796"/>
      <c r="Y69" s="796"/>
      <c r="Z69" s="2427"/>
      <c r="AA69" s="2427"/>
      <c r="AB69" s="2427"/>
      <c r="AC69" s="2427"/>
      <c r="AD69" s="2427"/>
      <c r="AE69" s="2427"/>
      <c r="AF69" s="2427"/>
      <c r="AG69" s="2427"/>
      <c r="AH69" s="2427"/>
    </row>
    <row r="70" spans="1:35" s="2511" customFormat="1" ht="15" hidden="1" customHeight="1" thickBot="1">
      <c r="A70" s="3103" t="s">
        <v>2254</v>
      </c>
      <c r="B70" s="3104"/>
      <c r="C70" s="3104"/>
      <c r="D70" s="3104"/>
      <c r="E70" s="3104"/>
      <c r="F70" s="3104"/>
      <c r="G70" s="3104"/>
      <c r="H70" s="310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hidden="1" customHeight="1">
      <c r="A71" s="3082" t="s">
        <v>2235</v>
      </c>
      <c r="B71" s="3083"/>
      <c r="C71" s="1806"/>
      <c r="D71" s="1806" t="s">
        <v>2236</v>
      </c>
      <c r="E71" s="214" t="s">
        <v>2237</v>
      </c>
      <c r="F71" s="215"/>
      <c r="G71" s="215"/>
      <c r="H71" s="216"/>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hidden="1" customHeight="1">
      <c r="A72" s="204" t="s">
        <v>775</v>
      </c>
      <c r="B72" s="205" t="s">
        <v>2255</v>
      </c>
      <c r="C72" s="208">
        <f ca="1">ROUND(D45/(1+'数据-取费表'!C42),0)</f>
        <v>3902</v>
      </c>
      <c r="D72" s="201" t="s">
        <v>32</v>
      </c>
      <c r="E72" s="1805"/>
      <c r="F72" s="1799"/>
      <c r="G72" s="1799"/>
      <c r="H72" s="217"/>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hidden="1" customHeight="1">
      <c r="A73" s="204" t="s">
        <v>772</v>
      </c>
      <c r="B73" s="174" t="s">
        <v>2256</v>
      </c>
      <c r="C73" s="208">
        <f ca="1">C74+C78</f>
        <v>23</v>
      </c>
      <c r="D73" s="201" t="s">
        <v>32</v>
      </c>
      <c r="E73" s="1805"/>
      <c r="F73" s="1799"/>
      <c r="G73" s="1799"/>
      <c r="H73" s="217"/>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hidden="1" customHeight="1">
      <c r="A74" s="218" t="s">
        <v>770</v>
      </c>
      <c r="B74" s="199" t="s">
        <v>2257</v>
      </c>
      <c r="C74" s="201">
        <f>ROUND(IF(G77="2016年5月1日后购买",C75/(1+'数据-取费表'!C42)+C76+C77,C75+C76+C77),0)</f>
        <v>0</v>
      </c>
      <c r="D74" s="201" t="s">
        <v>32</v>
      </c>
      <c r="E74" s="1805"/>
      <c r="F74" s="1799"/>
      <c r="G74" s="1799"/>
      <c r="H74" s="217"/>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hidden="1" customHeight="1">
      <c r="A75" s="218" t="s">
        <v>776</v>
      </c>
      <c r="B75" s="199" t="s">
        <v>2258</v>
      </c>
      <c r="C75" s="219"/>
      <c r="D75" s="201" t="s">
        <v>32</v>
      </c>
      <c r="E75" s="220" t="s">
        <v>2259</v>
      </c>
      <c r="F75" s="2515" t="s">
        <v>2260</v>
      </c>
      <c r="G75" s="220" t="s">
        <v>2261</v>
      </c>
      <c r="H75" s="221"/>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hidden="1" customHeight="1">
      <c r="A76" s="218" t="s">
        <v>777</v>
      </c>
      <c r="B76" s="222" t="s">
        <v>2262</v>
      </c>
      <c r="C76" s="201">
        <f>IF(F75="购房发票",ROUND(C75*H75*D76,0),0)</f>
        <v>0</v>
      </c>
      <c r="D76" s="223">
        <v>0.05</v>
      </c>
      <c r="E76" s="3077" t="s">
        <v>2263</v>
      </c>
      <c r="F76" s="3054"/>
      <c r="G76" s="3054"/>
      <c r="H76" s="310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hidden="1" customHeight="1">
      <c r="A77" s="218" t="s">
        <v>778</v>
      </c>
      <c r="B77" s="199" t="s">
        <v>2264</v>
      </c>
      <c r="C77" s="201">
        <f>ROUND(IF(G77="个人住宅",0,IF(G77="2016年5月1日前购买",C75*D77,C75*D77/(1+'数据-取费表'!C42))),0)</f>
        <v>0</v>
      </c>
      <c r="D77" s="224">
        <f>'数据-取费表'!B48+'数据-取费表'!B49</f>
        <v>3.0499999999999999E-2</v>
      </c>
      <c r="E77" s="15" t="s">
        <v>2265</v>
      </c>
      <c r="F77" s="225"/>
      <c r="G77" s="2517" t="s">
        <v>2266</v>
      </c>
      <c r="H77" s="1810"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hidden="1" customHeight="1">
      <c r="A78" s="218" t="s">
        <v>771</v>
      </c>
      <c r="B78" s="199" t="s">
        <v>2267</v>
      </c>
      <c r="C78" s="226">
        <f ca="1">ROUND(D45*D78/(1+'数据-取费表'!C42),0)</f>
        <v>23</v>
      </c>
      <c r="D78" s="227">
        <f>'数据-取费表'!B43</f>
        <v>6.000000000000001E-3</v>
      </c>
      <c r="E78" s="3063" t="s">
        <v>2268</v>
      </c>
      <c r="F78" s="3064"/>
      <c r="G78" s="3064"/>
      <c r="H78" s="307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hidden="1" customHeight="1">
      <c r="A79" s="2519" t="s">
        <v>779</v>
      </c>
      <c r="B79" s="205" t="s">
        <v>2269</v>
      </c>
      <c r="C79" s="208">
        <f ca="1">C72-C73</f>
        <v>3879</v>
      </c>
      <c r="D79" s="201" t="s">
        <v>32</v>
      </c>
      <c r="E79" s="1805"/>
      <c r="F79" s="1799"/>
      <c r="G79" s="1799"/>
      <c r="H79" s="217"/>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hidden="1" customHeight="1">
      <c r="A80" s="2519" t="s">
        <v>780</v>
      </c>
      <c r="B80" s="205" t="s">
        <v>2270</v>
      </c>
      <c r="C80" s="228">
        <f ca="1">IF(C79&lt;=0,0,C79/C73)</f>
        <v>168.65217391304347</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hidden="1" customHeight="1" thickBot="1">
      <c r="A81" s="2520" t="s">
        <v>781</v>
      </c>
      <c r="B81" s="210" t="s">
        <v>2271</v>
      </c>
      <c r="C81" s="229">
        <f ca="1">ROUND(IF(C79&lt;=0,0,IF(C80&gt;=200%,C79*60%-C73*35%,IF(C80&gt;=100%,C79*50%-C73*15%,IF(C80&gt;=50%,C79*40%-C73*5%,IF(C80&lt;50%,C79*30%,0))))),0)</f>
        <v>2319</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hidden="1" customHeight="1">
      <c r="A82" s="734"/>
      <c r="B82" s="735"/>
      <c r="C82" s="7"/>
      <c r="D82" s="7"/>
      <c r="E82" s="735"/>
      <c r="F82" s="735"/>
      <c r="G82" s="735"/>
      <c r="H82" s="736"/>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hidden="1" customHeight="1" thickBot="1">
      <c r="A83" s="3103" t="s">
        <v>2272</v>
      </c>
      <c r="B83" s="3104"/>
      <c r="C83" s="3104"/>
      <c r="D83" s="3104"/>
      <c r="E83" s="3104"/>
      <c r="F83" s="3104"/>
      <c r="G83" s="3104"/>
      <c r="H83" s="310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hidden="1" customHeight="1">
      <c r="A84" s="3082" t="s">
        <v>2235</v>
      </c>
      <c r="B84" s="3083"/>
      <c r="C84" s="1806"/>
      <c r="D84" s="1806" t="s">
        <v>2236</v>
      </c>
      <c r="E84" s="214" t="s">
        <v>2237</v>
      </c>
      <c r="F84" s="215"/>
      <c r="G84" s="215"/>
      <c r="H84" s="234"/>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hidden="1" customHeight="1">
      <c r="A85" s="204" t="s">
        <v>775</v>
      </c>
      <c r="B85" s="205" t="s">
        <v>2255</v>
      </c>
      <c r="C85" s="208">
        <f ca="1">ROUND(D45/(1+'数据-取费表'!C42),0)</f>
        <v>3902</v>
      </c>
      <c r="D85" s="201" t="s">
        <v>32</v>
      </c>
      <c r="E85" s="1805"/>
      <c r="F85" s="1799"/>
      <c r="G85" s="1799"/>
      <c r="H85" s="235"/>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hidden="1" customHeight="1">
      <c r="A86" s="204" t="s">
        <v>772</v>
      </c>
      <c r="B86" s="174" t="s">
        <v>2256</v>
      </c>
      <c r="C86" s="208">
        <f ca="1">IF(H88="仅含出让金",C87+C90+C91+C92+C93+C94,C87+C91+C92+C93+C94)</f>
        <v>23</v>
      </c>
      <c r="D86" s="236"/>
      <c r="E86" s="1805"/>
      <c r="F86" s="1799"/>
      <c r="G86" s="1799"/>
      <c r="H86" s="235"/>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hidden="1" customHeight="1">
      <c r="A87" s="218" t="s">
        <v>770</v>
      </c>
      <c r="B87" s="199" t="s">
        <v>2273</v>
      </c>
      <c r="C87" s="226">
        <f>C88+C89</f>
        <v>0</v>
      </c>
      <c r="D87" s="227"/>
      <c r="E87" s="1801"/>
      <c r="F87" s="1802"/>
      <c r="G87" s="1802"/>
      <c r="H87" s="1804"/>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hidden="1" customHeight="1">
      <c r="A88" s="218" t="s">
        <v>776</v>
      </c>
      <c r="B88" s="199" t="s">
        <v>2274</v>
      </c>
      <c r="C88" s="237"/>
      <c r="D88" s="227"/>
      <c r="E88" s="238" t="s">
        <v>2275</v>
      </c>
      <c r="F88" s="1802"/>
      <c r="G88" s="239" t="s">
        <v>2276</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hidden="1" customHeight="1">
      <c r="A89" s="218" t="s">
        <v>777</v>
      </c>
      <c r="B89" s="199" t="s">
        <v>2264</v>
      </c>
      <c r="C89" s="226">
        <f>ROUND(C88*D89,0)</f>
        <v>0</v>
      </c>
      <c r="D89" s="227">
        <f>'数据-取费表'!B48+'数据-取费表'!B49</f>
        <v>3.0499999999999999E-2</v>
      </c>
      <c r="E89" s="238" t="s">
        <v>2277</v>
      </c>
      <c r="F89" s="1802"/>
      <c r="G89" s="1802"/>
      <c r="H89" s="1804"/>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hidden="1" customHeight="1">
      <c r="A90" s="218" t="s">
        <v>771</v>
      </c>
      <c r="B90" s="199" t="s">
        <v>2278</v>
      </c>
      <c r="C90" s="237"/>
      <c r="D90" s="227"/>
      <c r="E90" s="238" t="str">
        <f>IF(H88="-","土地取得成本中已包含该笔费用"," ")</f>
        <v xml:space="preserve"> </v>
      </c>
      <c r="F90" s="1802"/>
      <c r="G90" s="1802"/>
      <c r="H90" s="1804"/>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hidden="1" customHeight="1">
      <c r="A91" s="218" t="s">
        <v>2279</v>
      </c>
      <c r="B91" s="199" t="s">
        <v>2280</v>
      </c>
      <c r="C91" s="226">
        <f>IF(H91="——",成本法!C33,I91)</f>
        <v>0</v>
      </c>
      <c r="D91" s="227"/>
      <c r="E91" s="3063" t="s">
        <v>2281</v>
      </c>
      <c r="F91" s="3064"/>
      <c r="G91" s="3064"/>
      <c r="H91" s="2522" t="s">
        <v>2282</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hidden="1" customHeight="1">
      <c r="A92" s="218" t="s">
        <v>2283</v>
      </c>
      <c r="B92" s="199" t="s">
        <v>2284</v>
      </c>
      <c r="C92" s="226">
        <f>ROUND((C87+C90+C91)*D92,0)</f>
        <v>0</v>
      </c>
      <c r="D92" s="227">
        <v>0.1</v>
      </c>
      <c r="E92" s="3063" t="s">
        <v>2285</v>
      </c>
      <c r="F92" s="3064"/>
      <c r="G92" s="3064"/>
      <c r="H92" s="307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hidden="1" customHeight="1">
      <c r="A93" s="218" t="s">
        <v>2286</v>
      </c>
      <c r="B93" s="199" t="s">
        <v>2267</v>
      </c>
      <c r="C93" s="226">
        <f ca="1">ROUND(D45*D93/(1+'数据-取费表'!C42),0)</f>
        <v>23</v>
      </c>
      <c r="D93" s="227">
        <f>'数据-取费表'!B43</f>
        <v>6.000000000000001E-3</v>
      </c>
      <c r="E93" s="3063" t="s">
        <v>2268</v>
      </c>
      <c r="F93" s="3064"/>
      <c r="G93" s="3064"/>
      <c r="H93" s="307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hidden="1" customHeight="1">
      <c r="A94" s="218" t="s">
        <v>2287</v>
      </c>
      <c r="B94" s="199" t="s">
        <v>2288</v>
      </c>
      <c r="C94" s="237">
        <f>ROUND((C87+C90+C91)*D94,0)</f>
        <v>0</v>
      </c>
      <c r="D94" s="227">
        <v>0.2</v>
      </c>
      <c r="E94" s="3074" t="s">
        <v>2289</v>
      </c>
      <c r="F94" s="3075"/>
      <c r="G94" s="3075"/>
      <c r="H94" s="3076"/>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hidden="1" customHeight="1">
      <c r="A95" s="2519" t="s">
        <v>779</v>
      </c>
      <c r="B95" s="205" t="s">
        <v>2269</v>
      </c>
      <c r="C95" s="208">
        <f ca="1">ROUND(C85-C86,0)</f>
        <v>3879</v>
      </c>
      <c r="D95" s="201" t="s">
        <v>32</v>
      </c>
      <c r="E95" s="1805"/>
      <c r="F95" s="1799"/>
      <c r="G95" s="1799"/>
      <c r="H95" s="235"/>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hidden="1" customHeight="1">
      <c r="A96" s="2519" t="s">
        <v>780</v>
      </c>
      <c r="B96" s="205" t="s">
        <v>2270</v>
      </c>
      <c r="C96" s="228">
        <f ca="1">IF(C95&lt;=0,0,C95/C86)</f>
        <v>168.65217391304347</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hidden="1" customHeight="1" thickBot="1">
      <c r="A97" s="2520" t="s">
        <v>781</v>
      </c>
      <c r="B97" s="210" t="s">
        <v>2271</v>
      </c>
      <c r="C97" s="229">
        <f ca="1">ROUND(IF(C95&lt;=0,0,IF(C96&gt;=200%,C95*60%-C86*35%,IF(C96&gt;=100%,C95*50%-C86*15%,IF(C96&gt;=50%,C95*40%-C86*5%,IF(C96&lt;50%,C95*30%,0))))),0)</f>
        <v>2319</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hidden="1" customHeight="1">
      <c r="A98" s="2500"/>
      <c r="B98" s="2422"/>
      <c r="C98" s="2422"/>
      <c r="D98" s="2422"/>
      <c r="E98" s="2169"/>
      <c r="F98" s="2169"/>
      <c r="G98" s="2169"/>
      <c r="H98" s="2168"/>
      <c r="I98" s="138"/>
    </row>
    <row r="99" spans="1:35" ht="21.75" hidden="1" customHeight="1" thickBot="1">
      <c r="A99" s="2478" t="s">
        <v>2290</v>
      </c>
      <c r="B99" s="2422"/>
      <c r="C99" s="2422"/>
      <c r="D99" s="2422"/>
      <c r="E99" s="2169"/>
      <c r="F99" s="2169"/>
      <c r="G99" s="2169"/>
      <c r="H99" s="2168"/>
      <c r="I99" s="138"/>
    </row>
    <row r="100" spans="1:35" ht="18.75" hidden="1" customHeight="1">
      <c r="A100" s="3048" t="s">
        <v>2291</v>
      </c>
      <c r="B100" s="3049"/>
      <c r="C100" s="3049"/>
      <c r="D100" s="3065"/>
      <c r="E100" s="3049" t="s">
        <v>2292</v>
      </c>
      <c r="F100" s="3049"/>
      <c r="G100" s="3049"/>
      <c r="H100" s="3065"/>
      <c r="I100" s="138"/>
    </row>
    <row r="101" spans="1:35" ht="18.75" hidden="1" customHeight="1">
      <c r="A101" s="3127" t="s">
        <v>2293</v>
      </c>
      <c r="B101" s="3128"/>
      <c r="C101" s="737" t="str">
        <f>C4</f>
        <v>比较法-办公</v>
      </c>
      <c r="D101" s="738" t="str">
        <f>D4</f>
        <v>收益法</v>
      </c>
      <c r="E101" s="3141" t="s">
        <v>2294</v>
      </c>
      <c r="F101" s="3095"/>
      <c r="G101" s="2524" t="s">
        <v>2295</v>
      </c>
      <c r="H101" s="1049">
        <f ca="1">H118</f>
        <v>4097</v>
      </c>
      <c r="I101" s="138"/>
    </row>
    <row r="102" spans="1:35" ht="18.75" hidden="1" customHeight="1">
      <c r="A102" s="3097" t="s">
        <v>2296</v>
      </c>
      <c r="B102" s="2524" t="s">
        <v>2295</v>
      </c>
      <c r="C102" s="737">
        <f ca="1">C19</f>
        <v>4505</v>
      </c>
      <c r="D102" s="738">
        <f ca="1">D19</f>
        <v>3688</v>
      </c>
      <c r="E102" s="3141"/>
      <c r="F102" s="3095"/>
      <c r="G102" s="2524" t="s">
        <v>2297</v>
      </c>
      <c r="H102" s="372">
        <f ca="1">I118</f>
        <v>45607</v>
      </c>
      <c r="I102" s="138"/>
    </row>
    <row r="103" spans="1:35" ht="42.75" hidden="1" customHeight="1">
      <c r="A103" s="3097"/>
      <c r="B103" s="2524" t="s">
        <v>2297</v>
      </c>
      <c r="C103" s="739">
        <f ca="1">C20</f>
        <v>50152</v>
      </c>
      <c r="D103" s="740">
        <f ca="1">D20</f>
        <v>41054</v>
      </c>
      <c r="E103" s="3136" t="s">
        <v>2298</v>
      </c>
      <c r="F103" s="3137"/>
      <c r="G103" s="2525" t="s">
        <v>2299</v>
      </c>
      <c r="H103" s="1049">
        <f>IF(D36="正常操作",H104+H105+H106,H105+H106)</f>
        <v>0</v>
      </c>
      <c r="I103" s="138"/>
    </row>
    <row r="104" spans="1:35" ht="18.75" hidden="1" customHeight="1">
      <c r="A104" s="3097" t="s">
        <v>2300</v>
      </c>
      <c r="B104" s="2526" t="s">
        <v>2295</v>
      </c>
      <c r="C104" s="741">
        <f ca="1">H118</f>
        <v>4097</v>
      </c>
      <c r="D104" s="742"/>
      <c r="E104" s="2270" t="s">
        <v>2301</v>
      </c>
      <c r="F104" s="2261"/>
      <c r="G104" s="2525" t="s">
        <v>2299</v>
      </c>
      <c r="H104" s="1050">
        <f>IF(D36="同一抵押权人同一抵押物续贷",C36&amp;"（未扣减，详见特别提示）",C36)</f>
        <v>0</v>
      </c>
      <c r="I104" s="138"/>
    </row>
    <row r="105" spans="1:35" ht="18.75" hidden="1" customHeight="1" thickBot="1">
      <c r="A105" s="3098"/>
      <c r="B105" s="2527" t="s">
        <v>2297</v>
      </c>
      <c r="C105" s="743">
        <f ca="1">I118</f>
        <v>45607</v>
      </c>
      <c r="D105" s="744"/>
      <c r="E105" s="2270" t="s">
        <v>2302</v>
      </c>
      <c r="F105" s="2261"/>
      <c r="G105" s="2525" t="s">
        <v>2299</v>
      </c>
      <c r="H105" s="1050">
        <f>C37</f>
        <v>0</v>
      </c>
      <c r="I105" s="138"/>
    </row>
    <row r="106" spans="1:35" ht="18.75" hidden="1" customHeight="1">
      <c r="A106" s="2422" t="s">
        <v>2303</v>
      </c>
      <c r="B106" s="2422"/>
      <c r="C106" s="2422"/>
      <c r="D106" s="2422"/>
      <c r="E106" s="2528" t="s">
        <v>2304</v>
      </c>
      <c r="F106" s="2261"/>
      <c r="G106" s="2525" t="s">
        <v>2299</v>
      </c>
      <c r="H106" s="1050">
        <f>C38</f>
        <v>0</v>
      </c>
      <c r="I106" s="138"/>
    </row>
    <row r="107" spans="1:35" ht="18.75" hidden="1" customHeight="1">
      <c r="A107" s="138"/>
      <c r="B107" s="138"/>
      <c r="C107" s="138"/>
      <c r="D107" s="138"/>
      <c r="E107" s="3094" t="str">
        <f>IF(项目基本情况!E8="已注销","——","3.房地产抵押价值")</f>
        <v>3.房地产抵押价值</v>
      </c>
      <c r="F107" s="3095"/>
      <c r="G107" s="2524" t="s">
        <v>2295</v>
      </c>
      <c r="H107" s="1049">
        <f ca="1">IF(E107="——","——",H101-H103)</f>
        <v>4097</v>
      </c>
      <c r="I107" s="138"/>
    </row>
    <row r="108" spans="1:35" ht="18.75" hidden="1" customHeight="1">
      <c r="A108" s="138"/>
      <c r="B108" s="138"/>
      <c r="C108" s="138"/>
      <c r="D108" s="138"/>
      <c r="E108" s="3094"/>
      <c r="F108" s="3095"/>
      <c r="G108" s="2524" t="s">
        <v>2297</v>
      </c>
      <c r="H108" s="372">
        <f ca="1">ROUND(H107*10000/'数据-汇总表'!E3,0)</f>
        <v>45607</v>
      </c>
      <c r="I108" s="138"/>
    </row>
    <row r="109" spans="1:35" ht="18.75" hidden="1"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24" t="s">
        <v>2295</v>
      </c>
      <c r="H109" s="349" t="str">
        <f>IF(E109="——","——",H101-H105-H106)</f>
        <v>——</v>
      </c>
      <c r="I109" s="138"/>
    </row>
    <row r="110" spans="1:35" ht="18.75" hidden="1" customHeight="1">
      <c r="A110" s="138"/>
      <c r="B110" s="138"/>
      <c r="C110" s="138"/>
      <c r="D110" s="138"/>
      <c r="E110" s="3094"/>
      <c r="F110" s="3095"/>
      <c r="G110" s="2524" t="s">
        <v>2297</v>
      </c>
      <c r="H110" s="372" t="str">
        <f>IF(H109="——","——",ROUND(H109*10000/'数据-汇总表'!E3,0))</f>
        <v>——</v>
      </c>
      <c r="I110" s="138"/>
    </row>
    <row r="111" spans="1:35" ht="18.75" hidden="1" customHeight="1">
      <c r="A111" s="138"/>
      <c r="B111" s="138"/>
      <c r="C111" s="138"/>
      <c r="D111" s="138"/>
      <c r="E111" s="3129" t="str">
        <f>IF(项目基本情况!E9="抵押净值",IF(OR(项目基本情况!E8="已注销",项目基本情况!E8="房地产抵押价值"),"4.抵押净值","5.抵押净值"),"——")</f>
        <v>——</v>
      </c>
      <c r="F111" s="3130"/>
      <c r="G111" s="2524" t="s">
        <v>2295</v>
      </c>
      <c r="H111" s="1049" t="str">
        <f>IF(E111="——","——",N59)</f>
        <v>——</v>
      </c>
      <c r="I111" s="138"/>
    </row>
    <row r="112" spans="1:35" ht="18.75" hidden="1" customHeight="1" thickBot="1">
      <c r="A112" s="138"/>
      <c r="B112" s="138"/>
      <c r="C112" s="138"/>
      <c r="D112" s="138"/>
      <c r="E112" s="3131"/>
      <c r="F112" s="3132"/>
      <c r="G112" s="2529" t="s">
        <v>2297</v>
      </c>
      <c r="H112" s="791" t="str">
        <f>IF(E111="——","——",N61)</f>
        <v>——</v>
      </c>
      <c r="I112" s="138"/>
    </row>
    <row r="113" spans="1:11" ht="18.75" hidden="1" customHeight="1">
      <c r="A113" s="138"/>
      <c r="B113" s="138"/>
      <c r="C113" s="138"/>
      <c r="D113" s="138"/>
      <c r="E113" s="3099" t="s">
        <v>2303</v>
      </c>
      <c r="F113" s="3099"/>
      <c r="G113" s="3099"/>
      <c r="H113" s="3099"/>
      <c r="I113" s="138"/>
    </row>
    <row r="114" spans="1:11" ht="3.75" hidden="1" customHeight="1">
      <c r="A114" s="2422"/>
      <c r="B114" s="2422"/>
      <c r="C114" s="2422"/>
      <c r="D114" s="2422"/>
      <c r="E114" s="2500"/>
      <c r="F114" s="2500"/>
      <c r="G114" s="2500"/>
      <c r="H114" s="2500"/>
      <c r="I114" s="2422"/>
    </row>
    <row r="115" spans="1:11" ht="18.75" hidden="1" customHeight="1">
      <c r="A115" s="3112" t="s">
        <v>2305</v>
      </c>
      <c r="B115" s="3113"/>
      <c r="C115" s="3113"/>
      <c r="D115" s="3113"/>
      <c r="E115" s="3113"/>
      <c r="F115" s="3113"/>
      <c r="G115" s="3113"/>
      <c r="H115" s="3113"/>
      <c r="I115" s="3114"/>
    </row>
    <row r="116" spans="1:11" ht="27" customHeight="1">
      <c r="A116" s="3005" t="s">
        <v>2306</v>
      </c>
      <c r="B116" s="3100" t="s">
        <v>2307</v>
      </c>
      <c r="C116" s="3100" t="s">
        <v>2308</v>
      </c>
      <c r="D116" s="3116" t="s">
        <v>2309</v>
      </c>
      <c r="E116" s="3117"/>
      <c r="F116" s="3108" t="s">
        <v>2310</v>
      </c>
      <c r="G116" s="3108"/>
      <c r="H116" s="3005" t="s">
        <v>2311</v>
      </c>
      <c r="I116" s="3005"/>
    </row>
    <row r="117" spans="1:11" ht="18.75" customHeight="1">
      <c r="A117" s="3005"/>
      <c r="B117" s="3101"/>
      <c r="C117" s="3101"/>
      <c r="D117" s="1800" t="s">
        <v>2312</v>
      </c>
      <c r="E117" s="1800" t="s">
        <v>2313</v>
      </c>
      <c r="F117" s="1800" t="s">
        <v>2312</v>
      </c>
      <c r="G117" s="1800" t="s">
        <v>2314</v>
      </c>
      <c r="H117" s="1800" t="s">
        <v>2312</v>
      </c>
      <c r="I117" s="1800" t="s">
        <v>2314</v>
      </c>
    </row>
    <row r="118" spans="1:11" ht="24.75" customHeight="1">
      <c r="A118" s="2530" t="str">
        <f>项目基本情况!S2</f>
        <v>北京市朝阳区幸福二村39号楼4层4单元401房地产</v>
      </c>
      <c r="B118" s="1800">
        <f>M18</f>
        <v>898.32</v>
      </c>
      <c r="C118" s="1800">
        <f>M19</f>
        <v>0</v>
      </c>
      <c r="D118" s="1800">
        <f ca="1">ROUND(IF(D32="总价",C34,E118*B118/10000),0)</f>
        <v>3187</v>
      </c>
      <c r="E118" s="1800">
        <f ca="1">ROUND(IF(C33="自定义",IF(D32="楼面单价",C34,D118*10000/B118),I118-G118),0)</f>
        <v>35477</v>
      </c>
      <c r="F118" s="1800">
        <f ca="1">ROUND(IF(D32="总价",C35,G118*B118/10000),0)</f>
        <v>910</v>
      </c>
      <c r="G118" s="1800">
        <f ca="1">ROUND(IF(D32="楼面单价",C35,F118*10000/B118),0)</f>
        <v>10130</v>
      </c>
      <c r="H118" s="1800">
        <f ca="1">ROUND(IF(D32="总价",C32,I118*B118/10000),0)</f>
        <v>4097</v>
      </c>
      <c r="I118" s="1800">
        <f ca="1">ROUND(IF(D32="楼面单价",C32,H118*10000/B118),0)</f>
        <v>45607</v>
      </c>
    </row>
    <row r="119" spans="1:11" ht="18.75" customHeight="1">
      <c r="A119" s="3005" t="s">
        <v>2315</v>
      </c>
      <c r="B119" s="3005"/>
      <c r="C119" s="3005"/>
      <c r="D119" s="3105" t="str">
        <f ca="1">NUMBERSTRING(INT(D118*10000),2)&amp;"元整"</f>
        <v>叁仟壹佰捌拾柒万元整</v>
      </c>
      <c r="E119" s="3107"/>
      <c r="F119" s="3105" t="str">
        <f ca="1">NUMBERSTRING(INT(F118*10000),2)&amp;"元整"</f>
        <v>玖佰壹拾万元整</v>
      </c>
      <c r="G119" s="3107"/>
      <c r="H119" s="3105" t="str">
        <f ca="1">NUMBERSTRING(INT(H118*10000),2)&amp;"元整"</f>
        <v>肆仟零玖拾柒万元整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7" t="str">
        <f>IF(D120=0,"故，本次评估不存在"&amp;A120,"故，本次评估"&amp;A120&amp;"为人民币"&amp;D120&amp;"万元整。")</f>
        <v>故，本次评估不存在估价师知悉的法定优先受偿款</v>
      </c>
    </row>
    <row r="121" spans="1:11" ht="18.75" customHeight="1">
      <c r="A121" s="3109" t="s">
        <v>2315</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4097</v>
      </c>
      <c r="E122" s="3134"/>
      <c r="F122" s="3134"/>
      <c r="G122" s="3134"/>
      <c r="H122" s="3134"/>
      <c r="I122" s="3135"/>
    </row>
    <row r="123" spans="1:11" ht="18.75" customHeight="1">
      <c r="A123" s="3005" t="s">
        <v>2315</v>
      </c>
      <c r="B123" s="3005"/>
      <c r="C123" s="3005"/>
      <c r="D123" s="3105" t="str">
        <f ca="1">NUMBERSTRING(INT(D122*10000),2)&amp;"元整"</f>
        <v>肆仟零玖拾柒万元整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2315</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2315</v>
      </c>
      <c r="B127" s="3005"/>
      <c r="C127" s="3005"/>
      <c r="D127" s="3105" t="e">
        <f>NUMBERSTRING(INT(D126*10000),2)&amp;"元整"</f>
        <v>#VALUE!</v>
      </c>
      <c r="E127" s="3106"/>
      <c r="F127" s="3106"/>
      <c r="G127" s="3106"/>
      <c r="H127" s="3106"/>
      <c r="I127" s="3107"/>
    </row>
    <row r="128" spans="1:11" ht="21.75" customHeight="1">
      <c r="A128" s="3115" t="s">
        <v>2316</v>
      </c>
      <c r="B128" s="3115"/>
      <c r="C128" s="3115"/>
      <c r="D128" s="3115"/>
      <c r="E128" s="3115"/>
      <c r="F128" s="3115"/>
      <c r="G128" s="3115"/>
      <c r="H128" s="3115"/>
      <c r="I128" s="3115"/>
    </row>
    <row r="129" spans="1:35" ht="21.75" customHeight="1">
      <c r="A129" s="2531" t="s">
        <v>2317</v>
      </c>
      <c r="B129" s="2532"/>
      <c r="C129" s="2533" t="s">
        <v>2318</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6"/>
    </row>
    <row r="135" spans="1:35" ht="21.75" customHeight="1">
      <c r="A135" s="796"/>
      <c r="B135" s="796"/>
      <c r="C135" s="796"/>
      <c r="D135" s="796"/>
      <c r="E135" s="796"/>
      <c r="F135" s="2547" t="s">
        <v>2319</v>
      </c>
      <c r="G135" s="2548"/>
      <c r="H135" s="2548"/>
      <c r="I135" s="2549" t="s">
        <v>2320</v>
      </c>
    </row>
    <row r="136" spans="1:35" ht="21.75" customHeight="1">
      <c r="A136" s="796"/>
      <c r="B136" s="2550" t="s">
        <v>2321</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8"/>
      <c r="C138" s="2548"/>
      <c r="D138" s="2548"/>
      <c r="E138" s="2548"/>
      <c r="F138" s="2548"/>
      <c r="G138" s="2548"/>
      <c r="H138" s="2548"/>
      <c r="I138" s="2549" t="s">
        <v>2322</v>
      </c>
    </row>
    <row r="139" spans="1:35" ht="21.75" customHeight="1">
      <c r="A139" s="796"/>
      <c r="B139" s="2550" t="s">
        <v>2323</v>
      </c>
      <c r="C139" s="796"/>
      <c r="D139" s="796"/>
      <c r="E139" s="796"/>
      <c r="F139" s="796"/>
      <c r="G139" s="796"/>
      <c r="H139" s="796"/>
      <c r="I139" s="796"/>
    </row>
    <row r="140" spans="1:35" ht="21.75" customHeight="1">
      <c r="A140" s="796"/>
      <c r="B140" s="2550"/>
      <c r="C140" s="796"/>
      <c r="D140" s="796"/>
      <c r="E140" s="796"/>
      <c r="F140" s="796"/>
      <c r="G140" s="796"/>
      <c r="H140" s="796"/>
      <c r="I140" s="796"/>
    </row>
    <row r="141" spans="1:35" ht="21.75" customHeight="1">
      <c r="A141" s="796"/>
      <c r="B141" s="2548"/>
      <c r="C141" s="2548"/>
      <c r="D141" s="2548"/>
      <c r="E141" s="2548"/>
      <c r="F141" s="2548"/>
      <c r="G141" s="2548"/>
      <c r="H141" s="2548"/>
      <c r="I141" s="2549" t="s">
        <v>2322</v>
      </c>
    </row>
    <row r="142" spans="1:35" ht="21.75" customHeight="1">
      <c r="A142" s="796"/>
      <c r="B142" s="2550"/>
      <c r="C142" s="2551"/>
      <c r="D142" s="2552"/>
      <c r="E142" s="2552"/>
      <c r="F142" s="2344"/>
      <c r="G142" s="796"/>
      <c r="H142" s="796"/>
      <c r="I142" s="796"/>
    </row>
    <row r="143" spans="1:35" s="139" customFormat="1" ht="21.75" customHeight="1">
      <c r="A143" s="796"/>
      <c r="B143" s="2550"/>
      <c r="C143" s="2551"/>
      <c r="D143" s="2552"/>
      <c r="E143" s="2552"/>
      <c r="F143" s="2344"/>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7"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7"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7"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7"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7"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7"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7"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7"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7"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7"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7"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7"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7"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7"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7"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7"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7"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7"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7"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7"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7"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7"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7"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7"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7"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7"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7"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7"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7"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7"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7"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7"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7"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7"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7"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7"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7"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7"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7"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7"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7"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7"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7"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7"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7"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7"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7"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7"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7"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7"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7"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7"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7"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7"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7"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7"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7"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7"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7"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7"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7"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7"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7"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7"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7"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7"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7"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7"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7"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7"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7"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7"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7"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7"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7"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7"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7"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7"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7"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7"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7"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7"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7"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7"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7"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7"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7"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7"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7"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7"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7"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7"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7"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7"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7"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7"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7"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7"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7"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7"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7"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7"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7"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7"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2324</v>
      </c>
      <c r="B1" s="1942"/>
      <c r="C1" s="243"/>
      <c r="D1" s="243"/>
      <c r="E1" s="243"/>
      <c r="F1" s="243"/>
      <c r="G1" s="1383">
        <f>MATCH(B1,'数据-取费表'!A6:A16,0)+5</f>
        <v>7</v>
      </c>
    </row>
    <row r="2" spans="1:9" s="245" customFormat="1" ht="18" customHeight="1">
      <c r="A2" s="246" t="s">
        <v>2325</v>
      </c>
      <c r="B2" s="247">
        <f ca="1">IF(D2="——",C52,C52-E2)</f>
        <v>653</v>
      </c>
      <c r="C2" s="244" t="s">
        <v>2326</v>
      </c>
      <c r="D2" s="2553" t="s">
        <v>70</v>
      </c>
      <c r="E2" s="1444" t="e">
        <f ca="1">SUMIF(INDIRECT("'"&amp;G2&amp;"'"&amp;"!A:A"),"承租人权益价值",INDIRECT("'"&amp;G2&amp;"'"&amp;"!c:c"))</f>
        <v>#REF!</v>
      </c>
      <c r="F2" s="2554" t="s">
        <v>2326</v>
      </c>
      <c r="G2" s="2555"/>
    </row>
    <row r="3" spans="1:9" s="245" customFormat="1" ht="18" customHeight="1" thickBot="1">
      <c r="A3" s="248" t="s">
        <v>2327</v>
      </c>
      <c r="B3" s="249">
        <f ca="1">ROUND(B2*10000/(IF(B1="",'数据-汇总表'!E3,INDIRECT("'数据-取费表'!k"&amp;$G$1))),0)</f>
        <v>7269</v>
      </c>
      <c r="C3" s="244" t="s">
        <v>2328</v>
      </c>
      <c r="D3" s="244"/>
      <c r="E3" s="244"/>
      <c r="F3" s="244"/>
      <c r="G3" s="244"/>
    </row>
    <row r="4" spans="1:9" s="253" customFormat="1" ht="15.75">
      <c r="A4" s="250" t="s">
        <v>2329</v>
      </c>
      <c r="B4" s="251"/>
      <c r="C4" s="251"/>
      <c r="D4" s="251"/>
      <c r="E4" s="251"/>
      <c r="F4" s="251"/>
      <c r="G4" s="252"/>
    </row>
    <row r="5" spans="1:9" s="259" customFormat="1" ht="13.5" customHeight="1">
      <c r="A5" s="300" t="s">
        <v>2330</v>
      </c>
      <c r="B5" s="255" t="s">
        <v>2331</v>
      </c>
      <c r="C5" s="256">
        <f>C6+C7+C8</f>
        <v>200</v>
      </c>
      <c r="D5" s="256" t="s">
        <v>2332</v>
      </c>
      <c r="E5" s="257" t="s">
        <v>2333</v>
      </c>
      <c r="F5" s="257" t="s">
        <v>2334</v>
      </c>
      <c r="G5" s="258"/>
    </row>
    <row r="6" spans="1:9" s="259" customFormat="1" ht="13.5" customHeight="1">
      <c r="A6" s="953" t="s">
        <v>2335</v>
      </c>
      <c r="B6" s="260" t="s">
        <v>2336</v>
      </c>
      <c r="C6" s="261"/>
      <c r="D6" s="262"/>
      <c r="E6" s="263"/>
      <c r="F6" s="263"/>
      <c r="G6" s="264"/>
    </row>
    <row r="7" spans="1:9" s="259" customFormat="1" ht="13.5" customHeight="1">
      <c r="A7" s="953" t="s">
        <v>2337</v>
      </c>
      <c r="B7" s="260" t="s">
        <v>2338</v>
      </c>
      <c r="C7" s="265">
        <f>ROUND(C6*F7,0)</f>
        <v>0</v>
      </c>
      <c r="D7" s="265"/>
      <c r="E7" s="263"/>
      <c r="F7" s="266">
        <f>'数据-取费表'!B48+'数据-取费表'!B49</f>
        <v>3.0499999999999999E-2</v>
      </c>
      <c r="G7" s="264"/>
    </row>
    <row r="8" spans="1:9" s="268" customFormat="1">
      <c r="A8" s="953" t="s">
        <v>2339</v>
      </c>
      <c r="B8" s="260" t="s">
        <v>2340</v>
      </c>
      <c r="C8" s="265">
        <f>IF(G8="已包含在土地购买价格中","0",IF(B1="",'数据-取费表'!B29,IF(G9="全部缴纳",C9+C10,H9)))</f>
        <v>200</v>
      </c>
      <c r="D8" s="267"/>
      <c r="E8" s="265"/>
      <c r="F8" s="266"/>
      <c r="G8" s="2556"/>
    </row>
    <row r="9" spans="1:9" s="259" customFormat="1" ht="13.5" customHeight="1">
      <c r="A9" s="954" t="s">
        <v>800</v>
      </c>
      <c r="B9" s="269" t="s">
        <v>2341</v>
      </c>
      <c r="C9" s="270">
        <f ca="1">ROUND(D9*E9/10000,0)</f>
        <v>0</v>
      </c>
      <c r="D9" s="1036">
        <f ca="1">IF(B1="",'数据-汇总表'!E5,IF(INDIRECT("'数据-取费表'!c"&amp;$G$1)="住宅",INDIRECT("'数据-取费表'!k"&amp;$G$1),0))</f>
        <v>0</v>
      </c>
      <c r="E9" s="270">
        <f>'数据-取费表'!B27</f>
        <v>0</v>
      </c>
      <c r="F9" s="266"/>
      <c r="G9" s="2557"/>
      <c r="H9" s="1394"/>
      <c r="I9" s="2558" t="s">
        <v>2342</v>
      </c>
    </row>
    <row r="10" spans="1:9" s="259" customFormat="1" ht="13.5" customHeight="1">
      <c r="A10" s="954" t="s">
        <v>801</v>
      </c>
      <c r="B10" s="269" t="s">
        <v>2343</v>
      </c>
      <c r="C10" s="270">
        <f ca="1">ROUND(D10*E10/10000,0)</f>
        <v>0</v>
      </c>
      <c r="D10" s="1036">
        <f ca="1">IF(B1="",'数据-汇总表'!E6,IF(INDIRECT("'数据-取费表'!c"&amp;$G$1)="住宅",INDIRECT("'数据-取费表'!s"&amp;$G$1),INDIRECT("'数据-取费表'!k"&amp;$G$1)+INDIRECT("'数据-取费表'!s"&amp;$G$1)))</f>
        <v>898.32</v>
      </c>
      <c r="E10" s="270">
        <f>'数据-取费表'!B28</f>
        <v>0</v>
      </c>
      <c r="F10" s="266"/>
      <c r="G10" s="271"/>
    </row>
    <row r="11" spans="1:9" s="259" customFormat="1" ht="13.5" hidden="1" customHeight="1">
      <c r="A11" s="272" t="s">
        <v>7</v>
      </c>
      <c r="B11" s="260" t="s">
        <v>2344</v>
      </c>
      <c r="C11" s="256"/>
      <c r="D11" s="1038"/>
      <c r="E11" s="263"/>
      <c r="F11" s="263"/>
      <c r="G11" s="264"/>
    </row>
    <row r="12" spans="1:9" s="259" customFormat="1" ht="13.5" hidden="1" customHeight="1">
      <c r="A12" s="272" t="s">
        <v>8</v>
      </c>
      <c r="B12" s="260" t="s">
        <v>2345</v>
      </c>
      <c r="C12" s="256">
        <v>0</v>
      </c>
      <c r="D12" s="1038"/>
      <c r="E12" s="273"/>
      <c r="F12" s="266">
        <v>3.0499999999999999E-2</v>
      </c>
      <c r="G12" s="264"/>
    </row>
    <row r="13" spans="1:9" s="259" customFormat="1" ht="13.5" hidden="1" customHeight="1">
      <c r="A13" s="272" t="s">
        <v>9</v>
      </c>
      <c r="B13" s="260" t="s">
        <v>2346</v>
      </c>
      <c r="C13" s="256"/>
      <c r="D13" s="1038"/>
      <c r="E13" s="263"/>
      <c r="F13" s="263"/>
      <c r="G13" s="264"/>
    </row>
    <row r="14" spans="1:9" s="259" customFormat="1" ht="13.5" hidden="1" customHeight="1">
      <c r="A14" s="272" t="s">
        <v>10</v>
      </c>
      <c r="B14" s="260" t="s">
        <v>2347</v>
      </c>
      <c r="C14" s="256"/>
      <c r="D14" s="1038"/>
      <c r="E14" s="263"/>
      <c r="F14" s="263"/>
      <c r="G14" s="264" t="s">
        <v>2348</v>
      </c>
    </row>
    <row r="15" spans="1:9" s="259" customFormat="1" ht="13.5" hidden="1" customHeight="1">
      <c r="A15" s="272" t="s">
        <v>11</v>
      </c>
      <c r="B15" s="260" t="s">
        <v>2349</v>
      </c>
      <c r="C15" s="265"/>
      <c r="D15" s="1038"/>
      <c r="E15" s="263"/>
      <c r="F15" s="263"/>
      <c r="G15" s="264" t="s">
        <v>2350</v>
      </c>
    </row>
    <row r="16" spans="1:9" s="259" customFormat="1" ht="13.5" hidden="1" customHeight="1">
      <c r="A16" s="272" t="s">
        <v>12</v>
      </c>
      <c r="B16" s="260" t="s">
        <v>2347</v>
      </c>
      <c r="C16" s="265"/>
      <c r="D16" s="1038"/>
      <c r="E16" s="263"/>
      <c r="F16" s="263"/>
      <c r="G16" s="264"/>
    </row>
    <row r="17" spans="1:7" s="259" customFormat="1" ht="13.5" hidden="1" customHeight="1">
      <c r="A17" s="272" t="s">
        <v>13</v>
      </c>
      <c r="B17" s="260" t="s">
        <v>2351</v>
      </c>
      <c r="C17" s="274"/>
      <c r="D17" s="1039"/>
      <c r="E17" s="274"/>
      <c r="F17" s="274"/>
      <c r="G17" s="264" t="s">
        <v>2350</v>
      </c>
    </row>
    <row r="18" spans="1:7" s="259" customFormat="1" ht="13.5" hidden="1" customHeight="1">
      <c r="A18" s="272" t="s">
        <v>14</v>
      </c>
      <c r="B18" s="260" t="s">
        <v>2352</v>
      </c>
      <c r="C18" s="265">
        <v>0</v>
      </c>
      <c r="D18" s="1038"/>
      <c r="E18" s="263"/>
      <c r="F18" s="266">
        <v>3.0499999999999999E-2</v>
      </c>
      <c r="G18" s="264" t="s">
        <v>2353</v>
      </c>
    </row>
    <row r="19" spans="1:7" s="268" customFormat="1" ht="13.5" customHeight="1">
      <c r="A19" s="300" t="s">
        <v>2354</v>
      </c>
      <c r="B19" s="255" t="s">
        <v>2355</v>
      </c>
      <c r="C19" s="256">
        <f ca="1">IF(G19="已包含在土地取得成本中","0",ROUND(D19*E19/10000,0))</f>
        <v>18</v>
      </c>
      <c r="D19" s="1040">
        <f ca="1">D9+D10</f>
        <v>898.32</v>
      </c>
      <c r="E19" s="256">
        <f>'数据-取费表'!B31</f>
        <v>200</v>
      </c>
      <c r="F19" s="276"/>
      <c r="G19" s="2556"/>
    </row>
    <row r="20" spans="1:7" s="259" customFormat="1" ht="13.5" customHeight="1">
      <c r="A20" s="300" t="s">
        <v>2356</v>
      </c>
      <c r="B20" s="255" t="s">
        <v>2357</v>
      </c>
      <c r="C20" s="277">
        <f ca="1">ROUND((C5+C19)*F20,0)</f>
        <v>4</v>
      </c>
      <c r="D20" s="277"/>
      <c r="E20" s="277"/>
      <c r="F20" s="278">
        <f>'数据-取费表'!B37</f>
        <v>0.02</v>
      </c>
      <c r="G20" s="279" t="s">
        <v>2358</v>
      </c>
    </row>
    <row r="21" spans="1:7" s="259" customFormat="1" ht="13.5" customHeight="1">
      <c r="A21" s="300" t="s">
        <v>2359</v>
      </c>
      <c r="B21" s="255" t="s">
        <v>2360</v>
      </c>
      <c r="C21" s="280">
        <f>F21</f>
        <v>0.02</v>
      </c>
      <c r="D21" s="281" t="s">
        <v>2361</v>
      </c>
      <c r="E21" s="277"/>
      <c r="F21" s="278">
        <f>'数据-取费表'!B38</f>
        <v>0.02</v>
      </c>
      <c r="G21" s="279" t="s">
        <v>2362</v>
      </c>
    </row>
    <row r="22" spans="1:7" s="259" customFormat="1" ht="13.5" customHeight="1">
      <c r="A22" s="300" t="s">
        <v>2363</v>
      </c>
      <c r="B22" s="255" t="s">
        <v>2364</v>
      </c>
      <c r="C22" s="1358">
        <f ca="1">ROUND(SUM(C23:C25),0)</f>
        <v>15</v>
      </c>
      <c r="D22" s="280">
        <f ca="1">C26</f>
        <v>6.9999999999999999E-4</v>
      </c>
      <c r="E22" s="281" t="s">
        <v>2361</v>
      </c>
      <c r="F22" s="282">
        <f ca="1">'数据-取费表'!B40</f>
        <v>4.7500000000000001E-2</v>
      </c>
      <c r="G22" s="279" t="str">
        <f>IF('数据-取费表'!B22&lt;=1,"单利计息","复利计息")</f>
        <v>复利计息</v>
      </c>
    </row>
    <row r="23" spans="1:7" s="259" customFormat="1" ht="13.5" customHeight="1">
      <c r="A23" s="955" t="s">
        <v>2365</v>
      </c>
      <c r="B23" s="260" t="s">
        <v>2366</v>
      </c>
      <c r="C23" s="1359">
        <f ca="1">ROUND(IF('数据-取费表'!B22&lt;=1,C5*F22*'数据-取费表'!B23,C5*(POWER((1+F22),'数据-取费表'!B23)-1)),0)</f>
        <v>14</v>
      </c>
      <c r="D23" s="283"/>
      <c r="E23" s="283"/>
      <c r="F23" s="284"/>
      <c r="G23" s="285" t="s">
        <v>2367</v>
      </c>
    </row>
    <row r="24" spans="1:7" s="259" customFormat="1" ht="13.5" customHeight="1">
      <c r="A24" s="955" t="s">
        <v>2368</v>
      </c>
      <c r="B24" s="260" t="s">
        <v>2369</v>
      </c>
      <c r="C24" s="1359">
        <f ca="1">ROUND(IF('数据-取费表'!B22&lt;=1,C19*F22*('数据-取费表'!B19/2+'数据-取费表'!B21),C19*(POWER((1+F22),('数据-取费表'!B19/2+'数据-取费表'!B21))-1)),0)</f>
        <v>1</v>
      </c>
      <c r="D24" s="283"/>
      <c r="E24" s="283"/>
      <c r="F24" s="284"/>
      <c r="G24" s="285" t="s">
        <v>2370</v>
      </c>
    </row>
    <row r="25" spans="1:7" s="259" customFormat="1" ht="24">
      <c r="A25" s="955" t="s">
        <v>2371</v>
      </c>
      <c r="B25" s="260" t="s">
        <v>2372</v>
      </c>
      <c r="C25" s="1359">
        <f ca="1">ROUND(IF('数据-取费表'!B22&lt;=1,C20*F22*'数据-取费表'!B23/2,C20*(POWER((1+F22),'数据-取费表'!B23/2)-1)),0)</f>
        <v>0</v>
      </c>
      <c r="D25" s="283"/>
      <c r="E25" s="286"/>
      <c r="F25" s="284"/>
      <c r="G25" s="287" t="s">
        <v>2373</v>
      </c>
    </row>
    <row r="26" spans="1:7" s="259" customFormat="1">
      <c r="A26" s="955" t="s">
        <v>795</v>
      </c>
      <c r="B26" s="260" t="s">
        <v>2374</v>
      </c>
      <c r="C26" s="283">
        <f ca="1">ROUND(IF('数据-取费表'!B22&lt;=1,F21*F22*'数据-取费表'!B23/2,F21*(POWER((1+F22),'数据-取费表'!B23/2)-1)),4)</f>
        <v>6.9999999999999999E-4</v>
      </c>
      <c r="D26" s="283"/>
      <c r="E26" s="286"/>
      <c r="F26" s="284"/>
      <c r="G26" s="288"/>
    </row>
    <row r="27" spans="1:7" s="259" customFormat="1" ht="24.75">
      <c r="A27" s="300" t="s">
        <v>2375</v>
      </c>
      <c r="B27" s="289" t="s">
        <v>2376</v>
      </c>
      <c r="C27" s="290">
        <f ca="1">C28</f>
        <v>44</v>
      </c>
      <c r="D27" s="280">
        <f ca="1">C29</f>
        <v>4.0000000000000001E-3</v>
      </c>
      <c r="E27" s="281" t="s">
        <v>2377</v>
      </c>
      <c r="F27" s="291">
        <f ca="1">IF(B1="",'数据-取费表'!Q16,INDIRECT("'数据-取费表'!q"&amp;$G$1))</f>
        <v>0.2</v>
      </c>
      <c r="G27" s="292" t="s">
        <v>2378</v>
      </c>
    </row>
    <row r="28" spans="1:7" s="259" customFormat="1" ht="13.5" customHeight="1">
      <c r="A28" s="955" t="s">
        <v>791</v>
      </c>
      <c r="B28" s="293" t="s">
        <v>2379</v>
      </c>
      <c r="C28" s="294">
        <f ca="1">ROUND((C5+C19+C20)*F27*'数据-取费表'!B21/'数据-取费表'!B20,0)</f>
        <v>44</v>
      </c>
      <c r="D28" s="280"/>
      <c r="E28" s="281"/>
      <c r="F28" s="291"/>
      <c r="G28" s="292"/>
    </row>
    <row r="29" spans="1:7" s="259" customFormat="1" ht="13.5" customHeight="1">
      <c r="A29" s="955" t="s">
        <v>792</v>
      </c>
      <c r="B29" s="293" t="s">
        <v>2380</v>
      </c>
      <c r="C29" s="283">
        <f ca="1">ROUND(C21*F27*'数据-取费表'!B21/'数据-取费表'!B20,4)</f>
        <v>4.0000000000000001E-3</v>
      </c>
      <c r="D29" s="280"/>
      <c r="E29" s="281"/>
      <c r="F29" s="291"/>
      <c r="G29" s="292"/>
    </row>
    <row r="30" spans="1:7" s="259" customFormat="1" ht="13.5" customHeight="1">
      <c r="A30" s="300" t="s">
        <v>2381</v>
      </c>
      <c r="B30" s="255" t="s">
        <v>2382</v>
      </c>
      <c r="C30" s="280">
        <f>ROUND(F30/(1+'数据-取费表'!C42),4)</f>
        <v>5.33E-2</v>
      </c>
      <c r="D30" s="281" t="s">
        <v>2377</v>
      </c>
      <c r="E30" s="286"/>
      <c r="F30" s="282">
        <f>'数据-取费表'!B41</f>
        <v>5.6000000000000001E-2</v>
      </c>
      <c r="G30" s="279" t="s">
        <v>2383</v>
      </c>
    </row>
    <row r="31" spans="1:7" ht="16.5" customHeight="1">
      <c r="A31" s="254">
        <v>1</v>
      </c>
      <c r="B31" s="255" t="s">
        <v>2384</v>
      </c>
      <c r="C31" s="256">
        <f ca="1">ROUND((C5+C19+C20+C22+C27)/(1-C21-D22-D27-C30),0)</f>
        <v>305</v>
      </c>
      <c r="D31" s="275"/>
      <c r="E31" s="256"/>
      <c r="F31" s="295"/>
      <c r="G31" s="279" t="s">
        <v>2385</v>
      </c>
    </row>
    <row r="32" spans="1:7" s="253" customFormat="1" ht="15.75">
      <c r="A32" s="297" t="s">
        <v>2386</v>
      </c>
      <c r="B32" s="298"/>
      <c r="C32" s="298"/>
      <c r="D32" s="298"/>
      <c r="E32" s="298"/>
      <c r="F32" s="298"/>
      <c r="G32" s="299"/>
    </row>
    <row r="33" spans="1:7" s="259" customFormat="1" ht="13.5" customHeight="1">
      <c r="A33" s="300" t="s">
        <v>782</v>
      </c>
      <c r="B33" s="255" t="s">
        <v>2387</v>
      </c>
      <c r="C33" s="301">
        <f ca="1">SUM(C34:C38)</f>
        <v>290</v>
      </c>
      <c r="D33" s="277"/>
      <c r="E33" s="257"/>
      <c r="F33" s="286"/>
      <c r="G33" s="279"/>
    </row>
    <row r="34" spans="1:7" s="303" customFormat="1" ht="13.5" customHeight="1">
      <c r="A34" s="955" t="s">
        <v>791</v>
      </c>
      <c r="B34" s="260" t="s">
        <v>2388</v>
      </c>
      <c r="C34" s="265">
        <f ca="1">IF(B1="",IF(F34=100%,'数据-取费表'!M16,'数据-取费表'!O16),IF(F34=100%,INDIRECT("'数据-取费表'!m"&amp;$G$1)+INDIRECT("'数据-取费表'!t"&amp;$G$1),INDIRECT("'数据-取费表'!o"&amp;$G$1)+INDIRECT("'数据-取费表'!aq"&amp;$G$1)))</f>
        <v>269</v>
      </c>
      <c r="D34" s="262"/>
      <c r="E34" s="265"/>
      <c r="F34" s="302">
        <f ca="1">IF('数据-取费表'!B24=0,1,IF(B1="",'数据-取费表'!N16,INDIRECT("'数据-取费表'!n"&amp;$G$1)))</f>
        <v>1</v>
      </c>
      <c r="G34" s="264" t="s">
        <v>2389</v>
      </c>
    </row>
    <row r="35" spans="1:7" ht="13.5" customHeight="1">
      <c r="A35" s="955" t="s">
        <v>796</v>
      </c>
      <c r="B35" s="260" t="s">
        <v>2390</v>
      </c>
      <c r="C35" s="265">
        <f ca="1">ROUND(C34*F35,0)</f>
        <v>8</v>
      </c>
      <c r="D35" s="265"/>
      <c r="E35" s="265"/>
      <c r="F35" s="304">
        <f>'数据-取费表'!B33</f>
        <v>0.03</v>
      </c>
      <c r="G35" s="264" t="s">
        <v>2391</v>
      </c>
    </row>
    <row r="36" spans="1:7" ht="24">
      <c r="A36" s="955" t="s">
        <v>797</v>
      </c>
      <c r="B36" s="260" t="s">
        <v>2392</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0.03</v>
      </c>
      <c r="G36" s="305" t="s">
        <v>2393</v>
      </c>
    </row>
    <row r="37" spans="1:7" s="303" customFormat="1" ht="13.5" customHeight="1">
      <c r="A37" s="955" t="s">
        <v>798</v>
      </c>
      <c r="B37" s="260" t="s">
        <v>2394</v>
      </c>
      <c r="C37" s="294">
        <f ca="1">ROUND(E37*D37*F34/10000,0)</f>
        <v>9</v>
      </c>
      <c r="D37" s="262">
        <f ca="1">D19</f>
        <v>898.32</v>
      </c>
      <c r="E37" s="294">
        <f>'数据-取费表'!B35</f>
        <v>100</v>
      </c>
      <c r="F37" s="304"/>
      <c r="G37" s="306" t="s">
        <v>2395</v>
      </c>
    </row>
    <row r="38" spans="1:7" ht="13.5" customHeight="1">
      <c r="A38" s="955" t="s">
        <v>799</v>
      </c>
      <c r="B38" s="260" t="s">
        <v>2396</v>
      </c>
      <c r="C38" s="265">
        <f ca="1">ROUND(C34*F38,0)</f>
        <v>4</v>
      </c>
      <c r="D38" s="265"/>
      <c r="E38" s="265"/>
      <c r="F38" s="304">
        <f>'数据-取费表'!B36</f>
        <v>1.4999999999999999E-2</v>
      </c>
      <c r="G38" s="264" t="s">
        <v>2391</v>
      </c>
    </row>
    <row r="39" spans="1:7" s="259" customFormat="1" ht="13.5" customHeight="1">
      <c r="A39" s="300" t="s">
        <v>2397</v>
      </c>
      <c r="B39" s="255" t="s">
        <v>2398</v>
      </c>
      <c r="C39" s="277">
        <f ca="1">ROUND(C33*F20,0)</f>
        <v>6</v>
      </c>
      <c r="D39" s="277"/>
      <c r="E39" s="277"/>
      <c r="F39" s="278"/>
      <c r="G39" s="279" t="s">
        <v>2399</v>
      </c>
    </row>
    <row r="40" spans="1:7" s="259" customFormat="1" ht="13.5" customHeight="1">
      <c r="A40" s="300" t="s">
        <v>2400</v>
      </c>
      <c r="B40" s="255" t="s">
        <v>2401</v>
      </c>
      <c r="C40" s="1733">
        <f>F21</f>
        <v>0.02</v>
      </c>
      <c r="D40" s="281" t="s">
        <v>2402</v>
      </c>
      <c r="E40" s="277"/>
      <c r="F40" s="278"/>
      <c r="G40" s="279" t="s">
        <v>2403</v>
      </c>
    </row>
    <row r="41" spans="1:7" s="259" customFormat="1" ht="13.5" customHeight="1">
      <c r="A41" s="300" t="s">
        <v>2404</v>
      </c>
      <c r="B41" s="255" t="s">
        <v>2405</v>
      </c>
      <c r="C41" s="277">
        <f ca="1">ROUND(SUM(C42:C43),0)</f>
        <v>10</v>
      </c>
      <c r="D41" s="280">
        <f ca="1">C44</f>
        <v>6.9999999999999999E-4</v>
      </c>
      <c r="E41" s="281" t="s">
        <v>2402</v>
      </c>
      <c r="F41" s="282"/>
      <c r="G41" s="279" t="str">
        <f>IF('数据-取费表'!B22&lt;=1,"单利计息","复利计息")</f>
        <v>复利计息</v>
      </c>
    </row>
    <row r="42" spans="1:7" ht="13.5" customHeight="1">
      <c r="A42" s="955" t="s">
        <v>791</v>
      </c>
      <c r="B42" s="260" t="s">
        <v>2406</v>
      </c>
      <c r="C42" s="283">
        <f ca="1">ROUND(IF('数据-取费表'!B22&lt;=1,C33*F22*'数据-取费表'!B21/2,C33*(POWER((1+F22),'数据-取费表'!B21/2)-1)),0)</f>
        <v>10</v>
      </c>
      <c r="D42" s="283"/>
      <c r="E42" s="283"/>
      <c r="F42" s="284"/>
      <c r="G42" s="3147" t="s">
        <v>2407</v>
      </c>
    </row>
    <row r="43" spans="1:7" ht="13.5" customHeight="1">
      <c r="A43" s="955" t="s">
        <v>792</v>
      </c>
      <c r="B43" s="260" t="s">
        <v>2408</v>
      </c>
      <c r="C43" s="283">
        <f ca="1">ROUND(IF('数据-取费表'!B22&lt;=1,C39*F22*'数据-取费表'!B21/2,C39*(POWER((1+F22),'数据-取费表'!B21/2)-1)),0)</f>
        <v>0</v>
      </c>
      <c r="D43" s="283"/>
      <c r="E43" s="283"/>
      <c r="F43" s="284"/>
      <c r="G43" s="3148"/>
    </row>
    <row r="44" spans="1:7" ht="13.5" customHeight="1">
      <c r="A44" s="955" t="s">
        <v>793</v>
      </c>
      <c r="B44" s="260" t="s">
        <v>2409</v>
      </c>
      <c r="C44" s="283">
        <f ca="1">ROUND(IF('数据-取费表'!B22&lt;=1,C40*F22*'数据-取费表'!B21/2,C40*(POWER((1+F22),'数据-取费表'!B21/2)-1)),4)</f>
        <v>6.9999999999999999E-4</v>
      </c>
      <c r="D44" s="283"/>
      <c r="E44" s="283"/>
      <c r="F44" s="284"/>
      <c r="G44" s="3149"/>
    </row>
    <row r="45" spans="1:7" s="259" customFormat="1" ht="13.5" customHeight="1">
      <c r="A45" s="300" t="s">
        <v>2410</v>
      </c>
      <c r="B45" s="289" t="s">
        <v>2376</v>
      </c>
      <c r="C45" s="290">
        <f ca="1">C46</f>
        <v>59</v>
      </c>
      <c r="D45" s="280">
        <f ca="1">C47</f>
        <v>4.0000000000000001E-3</v>
      </c>
      <c r="E45" s="281" t="s">
        <v>2402</v>
      </c>
      <c r="F45" s="291"/>
      <c r="G45" s="292" t="s">
        <v>2411</v>
      </c>
    </row>
    <row r="46" spans="1:7" s="259" customFormat="1" ht="13.5" customHeight="1">
      <c r="A46" s="955" t="s">
        <v>791</v>
      </c>
      <c r="B46" s="293" t="s">
        <v>2412</v>
      </c>
      <c r="C46" s="294">
        <f ca="1">ROUND((C33+C39)*F27,0)</f>
        <v>59</v>
      </c>
      <c r="D46" s="308"/>
      <c r="E46" s="281"/>
      <c r="F46" s="291"/>
      <c r="G46" s="292"/>
    </row>
    <row r="47" spans="1:7" s="259" customFormat="1" ht="13.5" customHeight="1">
      <c r="A47" s="955" t="s">
        <v>792</v>
      </c>
      <c r="B47" s="293" t="s">
        <v>2413</v>
      </c>
      <c r="C47" s="283">
        <f ca="1">ROUND(C40*F27,4)</f>
        <v>4.0000000000000001E-3</v>
      </c>
      <c r="D47" s="308"/>
      <c r="E47" s="281"/>
      <c r="F47" s="291"/>
      <c r="G47" s="292"/>
    </row>
    <row r="48" spans="1:7" s="259" customFormat="1" ht="13.5" customHeight="1">
      <c r="A48" s="300" t="s">
        <v>2375</v>
      </c>
      <c r="B48" s="255" t="s">
        <v>2414</v>
      </c>
      <c r="C48" s="1733">
        <f>ROUND(F30/(1+'数据-取费表'!C42),4)</f>
        <v>5.33E-2</v>
      </c>
      <c r="D48" s="281" t="s">
        <v>2402</v>
      </c>
      <c r="E48" s="277"/>
      <c r="F48" s="282"/>
      <c r="G48" s="279" t="s">
        <v>2415</v>
      </c>
    </row>
    <row r="49" spans="1:7" ht="16.5" customHeight="1">
      <c r="A49" s="300" t="s">
        <v>2381</v>
      </c>
      <c r="B49" s="255" t="s">
        <v>2416</v>
      </c>
      <c r="C49" s="277">
        <f ca="1">ROUND((C33+C39+C41+C45)/(1-C40-D41-D45-C48),0)</f>
        <v>396</v>
      </c>
      <c r="D49" s="277"/>
      <c r="E49" s="277"/>
      <c r="F49" s="309"/>
      <c r="G49" s="279" t="s">
        <v>2417</v>
      </c>
    </row>
    <row r="50" spans="1:7" s="303" customFormat="1" ht="24">
      <c r="A50" s="300" t="s">
        <v>2418</v>
      </c>
      <c r="B50" s="255" t="s">
        <v>2419</v>
      </c>
      <c r="C50" s="277"/>
      <c r="D50" s="277"/>
      <c r="E50" s="277"/>
      <c r="F50" s="309">
        <f>IF('数据-取费表'!B24=0,'数据-取费表'!N16,1)</f>
        <v>0.88</v>
      </c>
      <c r="G50" s="292" t="s">
        <v>2420</v>
      </c>
    </row>
    <row r="51" spans="1:7" ht="16.5" customHeight="1">
      <c r="A51" s="300" t="s">
        <v>2421</v>
      </c>
      <c r="B51" s="255" t="s">
        <v>2422</v>
      </c>
      <c r="C51" s="277">
        <f ca="1">ROUND(C49*F50,0)</f>
        <v>348</v>
      </c>
      <c r="D51" s="277"/>
      <c r="E51" s="277"/>
      <c r="F51" s="309"/>
      <c r="G51" s="279" t="s">
        <v>2423</v>
      </c>
    </row>
    <row r="52" spans="1:7" s="253" customFormat="1" ht="16.5" thickBot="1">
      <c r="A52" s="310" t="s">
        <v>2424</v>
      </c>
      <c r="B52" s="311"/>
      <c r="C52" s="312">
        <f ca="1">C31+C51</f>
        <v>653</v>
      </c>
      <c r="D52" s="311"/>
      <c r="E52" s="311"/>
      <c r="F52" s="311"/>
      <c r="G52" s="313"/>
    </row>
    <row r="55" spans="1:7" ht="15">
      <c r="B55" s="315" t="s">
        <v>2425</v>
      </c>
      <c r="C55" s="316"/>
    </row>
    <row r="56" spans="1:7">
      <c r="B56" s="318" t="s">
        <v>1514</v>
      </c>
      <c r="C56" s="320">
        <f ca="1">1-C57</f>
        <v>0.46699999999999997</v>
      </c>
    </row>
    <row r="57" spans="1:7">
      <c r="B57" s="318" t="s">
        <v>1515</v>
      </c>
      <c r="C57" s="319">
        <f ca="1">ROUND(C51/C52,3)</f>
        <v>0.53300000000000003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61" t="str">
        <f>项目基本情况!B1</f>
        <v>北京市朝阳区幸福二村39号楼4层4单元401房地产抵押价值预评估</v>
      </c>
      <c r="C37" s="2961"/>
      <c r="D37" s="2961"/>
      <c r="E37" s="2961"/>
      <c r="F37" s="2961"/>
      <c r="G37" s="2961"/>
      <c r="H37" s="2961"/>
      <c r="I37" s="2961"/>
    </row>
    <row r="38" spans="1:9">
      <c r="A38" s="1020"/>
      <c r="B38" s="1020"/>
    </row>
    <row r="39" spans="1:9">
      <c r="A39" s="1018" t="s">
        <v>818</v>
      </c>
      <c r="B39" s="1018" t="s">
        <v>820</v>
      </c>
    </row>
    <row r="40" spans="1:9">
      <c r="A40" s="1018"/>
      <c r="B40" s="1947" t="str">
        <f>项目基本情况!B5</f>
        <v>耿海涛</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2324</v>
      </c>
      <c r="B1" s="1942"/>
      <c r="C1" s="2559" t="s">
        <v>2426</v>
      </c>
      <c r="D1" s="243"/>
      <c r="E1" s="243"/>
      <c r="F1" s="243"/>
      <c r="G1" s="1383">
        <f>MATCH(B1,'数据-取费表'!A6:A16,0)+5</f>
        <v>7</v>
      </c>
      <c r="H1" s="1286" t="str">
        <f>IF(ISERROR(FIND("住宅",B1)),"非住宅","住宅")</f>
        <v>非住宅</v>
      </c>
    </row>
    <row r="2" spans="1:8" s="245" customFormat="1" ht="18" customHeight="1">
      <c r="A2" s="246" t="s">
        <v>2325</v>
      </c>
      <c r="B2" s="247">
        <f ca="1">ROUND(IF(D2="——",C52/10000,C52/10000-E2),0)</f>
        <v>375</v>
      </c>
      <c r="C2" s="244" t="s">
        <v>2326</v>
      </c>
      <c r="D2" s="2553" t="s">
        <v>70</v>
      </c>
      <c r="E2" s="1444" t="e">
        <f ca="1">SUMIF(INDIRECT("'"&amp;G2&amp;"'"&amp;"!A:A"),"承租人权益价值",INDIRECT("'"&amp;G2&amp;"'"&amp;"!c:c"))</f>
        <v>#REF!</v>
      </c>
      <c r="F2" s="2554" t="s">
        <v>2326</v>
      </c>
      <c r="G2" s="2555"/>
    </row>
    <row r="3" spans="1:8" s="245" customFormat="1" ht="18" customHeight="1" thickBot="1">
      <c r="A3" s="248" t="s">
        <v>2327</v>
      </c>
      <c r="B3" s="249">
        <f ca="1">ROUND(B2*10000/(IF(B1="",'数据-汇总表'!E3,INDIRECT("'数据-取费表'!k"&amp;$G$1))),0)</f>
        <v>4174</v>
      </c>
      <c r="C3" s="244" t="s">
        <v>2328</v>
      </c>
      <c r="D3" s="244"/>
      <c r="E3" s="244"/>
      <c r="F3" s="244"/>
      <c r="G3" s="244"/>
    </row>
    <row r="4" spans="1:8" s="253" customFormat="1" ht="15.75">
      <c r="A4" s="250" t="s">
        <v>2329</v>
      </c>
      <c r="B4" s="251"/>
      <c r="C4" s="251"/>
      <c r="D4" s="251"/>
      <c r="E4" s="251"/>
      <c r="F4" s="251"/>
      <c r="G4" s="252"/>
    </row>
    <row r="5" spans="1:8" s="259" customFormat="1" ht="13.5" customHeight="1">
      <c r="A5" s="300" t="s">
        <v>2330</v>
      </c>
      <c r="B5" s="255" t="s">
        <v>2331</v>
      </c>
      <c r="C5" s="256">
        <f ca="1">C6+C7+C8</f>
        <v>0</v>
      </c>
      <c r="D5" s="256" t="s">
        <v>2332</v>
      </c>
      <c r="E5" s="257" t="s">
        <v>2333</v>
      </c>
      <c r="F5" s="257" t="s">
        <v>2334</v>
      </c>
      <c r="G5" s="258"/>
    </row>
    <row r="6" spans="1:8" s="259" customFormat="1" ht="13.5" customHeight="1">
      <c r="A6" s="953" t="s">
        <v>2335</v>
      </c>
      <c r="B6" s="260" t="s">
        <v>2336</v>
      </c>
      <c r="C6" s="261"/>
      <c r="D6" s="262"/>
      <c r="E6" s="263"/>
      <c r="F6" s="263"/>
      <c r="G6" s="264"/>
    </row>
    <row r="7" spans="1:8" s="259" customFormat="1" ht="13.5" customHeight="1">
      <c r="A7" s="953" t="s">
        <v>2337</v>
      </c>
      <c r="B7" s="260" t="s">
        <v>2338</v>
      </c>
      <c r="C7" s="265">
        <f>ROUND(C6*F7,0)</f>
        <v>0</v>
      </c>
      <c r="D7" s="265"/>
      <c r="E7" s="263"/>
      <c r="F7" s="266">
        <f>'数据-取费表'!B48+'数据-取费表'!B49</f>
        <v>3.0499999999999999E-2</v>
      </c>
      <c r="G7" s="264"/>
    </row>
    <row r="8" spans="1:8" s="268" customFormat="1">
      <c r="A8" s="953" t="s">
        <v>2339</v>
      </c>
      <c r="B8" s="260" t="s">
        <v>2340</v>
      </c>
      <c r="C8" s="265">
        <f ca="1">IF(G8="已包含在土地购买价格中",0,C9+C10)</f>
        <v>0</v>
      </c>
      <c r="D8" s="267"/>
      <c r="E8" s="265"/>
      <c r="F8" s="266"/>
      <c r="G8" s="2556"/>
    </row>
    <row r="9" spans="1:8" s="259" customFormat="1" ht="13.5" customHeight="1">
      <c r="A9" s="954" t="s">
        <v>800</v>
      </c>
      <c r="B9" s="269" t="s">
        <v>2341</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2343</v>
      </c>
      <c r="C10" s="270">
        <f ca="1">ROUND(D10*E10,0)</f>
        <v>0</v>
      </c>
      <c r="D10" s="1036">
        <f ca="1">IF(B1="",'数据-汇总表'!E6,IF(INDIRECT("'数据-取费表'!c"&amp;$G$1)="住宅",INDIRECT("'数据-取费表'!s"&amp;$G$1),INDIRECT("'数据-取费表'!k"&amp;$G$1)+INDIRECT("'数据-取费表'!s"&amp;$G$1)))</f>
        <v>898.32</v>
      </c>
      <c r="E10" s="270">
        <f>'数据-取费表'!B28</f>
        <v>0</v>
      </c>
      <c r="F10" s="266"/>
      <c r="G10" s="271"/>
    </row>
    <row r="11" spans="1:8" s="259" customFormat="1" ht="13.5" hidden="1" customHeight="1">
      <c r="A11" s="272" t="s">
        <v>7</v>
      </c>
      <c r="B11" s="260" t="s">
        <v>2344</v>
      </c>
      <c r="C11" s="256"/>
      <c r="D11" s="1038"/>
      <c r="E11" s="263"/>
      <c r="F11" s="263"/>
      <c r="G11" s="264"/>
    </row>
    <row r="12" spans="1:8" s="259" customFormat="1" ht="13.5" hidden="1" customHeight="1">
      <c r="A12" s="272" t="s">
        <v>8</v>
      </c>
      <c r="B12" s="260" t="s">
        <v>2427</v>
      </c>
      <c r="C12" s="256">
        <v>0</v>
      </c>
      <c r="D12" s="1038"/>
      <c r="E12" s="273"/>
      <c r="F12" s="266">
        <v>3.0499999999999999E-2</v>
      </c>
      <c r="G12" s="264"/>
    </row>
    <row r="13" spans="1:8" s="259" customFormat="1" ht="13.5" hidden="1" customHeight="1">
      <c r="A13" s="272" t="s">
        <v>9</v>
      </c>
      <c r="B13" s="260" t="s">
        <v>2428</v>
      </c>
      <c r="C13" s="256"/>
      <c r="D13" s="1038"/>
      <c r="E13" s="263"/>
      <c r="F13" s="263"/>
      <c r="G13" s="264"/>
    </row>
    <row r="14" spans="1:8" s="259" customFormat="1" ht="13.5" hidden="1" customHeight="1">
      <c r="A14" s="272" t="s">
        <v>10</v>
      </c>
      <c r="B14" s="260" t="s">
        <v>2340</v>
      </c>
      <c r="C14" s="256"/>
      <c r="D14" s="1038"/>
      <c r="E14" s="263"/>
      <c r="F14" s="263"/>
      <c r="G14" s="264" t="s">
        <v>2429</v>
      </c>
    </row>
    <row r="15" spans="1:8" s="259" customFormat="1" ht="13.5" hidden="1" customHeight="1">
      <c r="A15" s="272" t="s">
        <v>11</v>
      </c>
      <c r="B15" s="260" t="s">
        <v>2430</v>
      </c>
      <c r="C15" s="265"/>
      <c r="D15" s="1038"/>
      <c r="E15" s="263"/>
      <c r="F15" s="263"/>
      <c r="G15" s="264" t="s">
        <v>2431</v>
      </c>
    </row>
    <row r="16" spans="1:8" s="259" customFormat="1" ht="13.5" hidden="1" customHeight="1">
      <c r="A16" s="272" t="s">
        <v>12</v>
      </c>
      <c r="B16" s="260" t="s">
        <v>2340</v>
      </c>
      <c r="C16" s="265"/>
      <c r="D16" s="1038"/>
      <c r="E16" s="263"/>
      <c r="F16" s="263"/>
      <c r="G16" s="264"/>
    </row>
    <row r="17" spans="1:7" s="259" customFormat="1" ht="13.5" hidden="1" customHeight="1">
      <c r="A17" s="272" t="s">
        <v>13</v>
      </c>
      <c r="B17" s="260" t="s">
        <v>2432</v>
      </c>
      <c r="C17" s="274"/>
      <c r="D17" s="1039"/>
      <c r="E17" s="274"/>
      <c r="F17" s="274"/>
      <c r="G17" s="264" t="s">
        <v>2431</v>
      </c>
    </row>
    <row r="18" spans="1:7" s="259" customFormat="1" ht="13.5" hidden="1" customHeight="1">
      <c r="A18" s="272" t="s">
        <v>14</v>
      </c>
      <c r="B18" s="260" t="s">
        <v>2433</v>
      </c>
      <c r="C18" s="265">
        <v>0</v>
      </c>
      <c r="D18" s="1038"/>
      <c r="E18" s="263"/>
      <c r="F18" s="266">
        <v>3.0499999999999999E-2</v>
      </c>
      <c r="G18" s="264" t="s">
        <v>2434</v>
      </c>
    </row>
    <row r="19" spans="1:7" s="268" customFormat="1" ht="13.5" customHeight="1">
      <c r="A19" s="300" t="s">
        <v>2435</v>
      </c>
      <c r="B19" s="255" t="s">
        <v>2436</v>
      </c>
      <c r="C19" s="256">
        <f ca="1">IF(G19="已包含在土地取得成本中","0",ROUND(D19*E19,0))</f>
        <v>179664</v>
      </c>
      <c r="D19" s="1040">
        <f ca="1">D9+D10</f>
        <v>898.32</v>
      </c>
      <c r="E19" s="256">
        <f>'数据-取费表'!B31</f>
        <v>200</v>
      </c>
      <c r="F19" s="276"/>
      <c r="G19" s="2556"/>
    </row>
    <row r="20" spans="1:7" s="259" customFormat="1" ht="13.5" customHeight="1">
      <c r="A20" s="300" t="s">
        <v>2437</v>
      </c>
      <c r="B20" s="255" t="s">
        <v>2438</v>
      </c>
      <c r="C20" s="277">
        <f ca="1">ROUND((C5+C19)*F20,0)</f>
        <v>3593</v>
      </c>
      <c r="D20" s="277"/>
      <c r="E20" s="277"/>
      <c r="F20" s="278">
        <f>'数据-取费表'!B37</f>
        <v>0.02</v>
      </c>
      <c r="G20" s="279" t="s">
        <v>2439</v>
      </c>
    </row>
    <row r="21" spans="1:7" s="259" customFormat="1" ht="13.5" customHeight="1">
      <c r="A21" s="300" t="s">
        <v>2440</v>
      </c>
      <c r="B21" s="255" t="s">
        <v>2441</v>
      </c>
      <c r="C21" s="280">
        <f>F21</f>
        <v>0.02</v>
      </c>
      <c r="D21" s="281" t="s">
        <v>2442</v>
      </c>
      <c r="E21" s="277"/>
      <c r="F21" s="278">
        <f>'数据-取费表'!B38</f>
        <v>0.02</v>
      </c>
      <c r="G21" s="279" t="s">
        <v>2443</v>
      </c>
    </row>
    <row r="22" spans="1:7" s="259" customFormat="1" ht="13.5" customHeight="1">
      <c r="A22" s="300" t="s">
        <v>2444</v>
      </c>
      <c r="B22" s="255" t="s">
        <v>2445</v>
      </c>
      <c r="C22" s="1384">
        <f ca="1">ROUND(SUM(C23:C25),0)</f>
        <v>13079</v>
      </c>
      <c r="D22" s="280">
        <f ca="1">C26</f>
        <v>6.9999999999999999E-4</v>
      </c>
      <c r="E22" s="281" t="s">
        <v>2442</v>
      </c>
      <c r="F22" s="282">
        <f ca="1">'数据-取费表'!B40</f>
        <v>4.7500000000000001E-2</v>
      </c>
      <c r="G22" s="279" t="str">
        <f>IF('数据-取费表'!B22&lt;=1,"单利计息","复利计息")</f>
        <v>复利计息</v>
      </c>
    </row>
    <row r="23" spans="1:7" s="259" customFormat="1" ht="13.5" customHeight="1">
      <c r="A23" s="955" t="s">
        <v>2335</v>
      </c>
      <c r="B23" s="260" t="s">
        <v>2446</v>
      </c>
      <c r="C23" s="1385">
        <f ca="1">ROUND(IF('数据-取费表'!B22&lt;=1,C5*F22*'数据-取费表'!B22,C5*(POWER((1+F22),'数据-取费表'!B22)-1)),0)</f>
        <v>0</v>
      </c>
      <c r="D23" s="283"/>
      <c r="E23" s="283"/>
      <c r="F23" s="284"/>
      <c r="G23" s="285" t="s">
        <v>2447</v>
      </c>
    </row>
    <row r="24" spans="1:7" s="259" customFormat="1" ht="13.5" customHeight="1">
      <c r="A24" s="955" t="s">
        <v>2337</v>
      </c>
      <c r="B24" s="260" t="s">
        <v>2448</v>
      </c>
      <c r="C24" s="1385">
        <f ca="1">ROUND(IF('数据-取费表'!B22&lt;=1,C19*F22*('数据-取费表'!B19/2+'数据-取费表'!B20),C19*(POWER((1+F22),('数据-取费表'!B19/2+'数据-取费表'!B20))-1)),0)</f>
        <v>12952</v>
      </c>
      <c r="D24" s="283"/>
      <c r="E24" s="283"/>
      <c r="F24" s="284"/>
      <c r="G24" s="285" t="s">
        <v>2449</v>
      </c>
    </row>
    <row r="25" spans="1:7" s="259" customFormat="1" ht="24">
      <c r="A25" s="955" t="s">
        <v>2339</v>
      </c>
      <c r="B25" s="260" t="s">
        <v>2450</v>
      </c>
      <c r="C25" s="1385">
        <f ca="1">ROUND(IF('数据-取费表'!B22&lt;=1,C20*F22*'数据-取费表'!B22/2,C20*(POWER((1+F22),'数据-取费表'!B22/2)-1)),0)</f>
        <v>127</v>
      </c>
      <c r="D25" s="283"/>
      <c r="E25" s="286"/>
      <c r="F25" s="284"/>
      <c r="G25" s="287" t="s">
        <v>2451</v>
      </c>
    </row>
    <row r="26" spans="1:7" s="259" customFormat="1">
      <c r="A26" s="955" t="s">
        <v>795</v>
      </c>
      <c r="B26" s="260" t="s">
        <v>2374</v>
      </c>
      <c r="C26" s="283">
        <f ca="1">ROUND(IF('数据-取费表'!B22&lt;=1,F21*F22*'数据-取费表'!B22/2,F21*(POWER((1+F22),'数据-取费表'!B22/2)-1)),4)</f>
        <v>6.9999999999999999E-4</v>
      </c>
      <c r="D26" s="283"/>
      <c r="E26" s="286"/>
      <c r="F26" s="284"/>
      <c r="G26" s="288"/>
    </row>
    <row r="27" spans="1:7" s="259" customFormat="1" ht="24.75">
      <c r="A27" s="300" t="s">
        <v>2375</v>
      </c>
      <c r="B27" s="289" t="s">
        <v>2376</v>
      </c>
      <c r="C27" s="290">
        <f ca="1">C28</f>
        <v>36651</v>
      </c>
      <c r="D27" s="280">
        <f ca="1">C29</f>
        <v>4.0000000000000001E-3</v>
      </c>
      <c r="E27" s="281" t="s">
        <v>2377</v>
      </c>
      <c r="F27" s="291">
        <f ca="1">IF(B1="",'数据-取费表'!Q16,INDIRECT("'数据-取费表'!q"&amp;$G$1))</f>
        <v>0.2</v>
      </c>
      <c r="G27" s="292" t="s">
        <v>2378</v>
      </c>
    </row>
    <row r="28" spans="1:7" s="259" customFormat="1" ht="13.5" customHeight="1">
      <c r="A28" s="955" t="s">
        <v>791</v>
      </c>
      <c r="B28" s="293" t="s">
        <v>2379</v>
      </c>
      <c r="C28" s="294">
        <f ca="1">ROUND((C5+C19+C20)*F27,0)</f>
        <v>36651</v>
      </c>
      <c r="D28" s="280"/>
      <c r="E28" s="281"/>
      <c r="F28" s="291"/>
      <c r="G28" s="292"/>
    </row>
    <row r="29" spans="1:7" s="259" customFormat="1" ht="13.5" customHeight="1">
      <c r="A29" s="955" t="s">
        <v>792</v>
      </c>
      <c r="B29" s="293" t="s">
        <v>2380</v>
      </c>
      <c r="C29" s="283">
        <f ca="1">ROUND(C21*F27,4)</f>
        <v>4.0000000000000001E-3</v>
      </c>
      <c r="D29" s="280"/>
      <c r="E29" s="281"/>
      <c r="F29" s="291"/>
      <c r="G29" s="292"/>
    </row>
    <row r="30" spans="1:7" s="259" customFormat="1" ht="13.5" customHeight="1">
      <c r="A30" s="300" t="s">
        <v>2381</v>
      </c>
      <c r="B30" s="255" t="s">
        <v>2382</v>
      </c>
      <c r="C30" s="280">
        <f>ROUND(F30/(1+'数据-取费表'!C42),4)</f>
        <v>5.33E-2</v>
      </c>
      <c r="D30" s="281" t="s">
        <v>2377</v>
      </c>
      <c r="E30" s="286"/>
      <c r="F30" s="282">
        <f>'数据-取费表'!B41</f>
        <v>5.6000000000000001E-2</v>
      </c>
      <c r="G30" s="279" t="s">
        <v>2383</v>
      </c>
    </row>
    <row r="31" spans="1:7" ht="16.5" customHeight="1">
      <c r="A31" s="254">
        <v>1</v>
      </c>
      <c r="B31" s="255" t="s">
        <v>2384</v>
      </c>
      <c r="C31" s="256">
        <f ca="1">ROUND((C5+C19+C20+C22+C27)/(1-C21-D22-D27-C30),0)</f>
        <v>252697</v>
      </c>
      <c r="D31" s="275"/>
      <c r="E31" s="256"/>
      <c r="F31" s="295"/>
      <c r="G31" s="279" t="s">
        <v>2385</v>
      </c>
    </row>
    <row r="32" spans="1:7" s="253" customFormat="1" ht="15.75">
      <c r="A32" s="297" t="s">
        <v>2452</v>
      </c>
      <c r="B32" s="298"/>
      <c r="C32" s="298"/>
      <c r="D32" s="298"/>
      <c r="E32" s="298"/>
      <c r="F32" s="298"/>
      <c r="G32" s="299"/>
    </row>
    <row r="33" spans="1:7" s="259" customFormat="1" ht="13.5" customHeight="1">
      <c r="A33" s="300" t="s">
        <v>782</v>
      </c>
      <c r="B33" s="255" t="s">
        <v>2453</v>
      </c>
      <c r="C33" s="301">
        <f ca="1">SUM(C34:C38)</f>
        <v>2906065</v>
      </c>
      <c r="D33" s="277"/>
      <c r="E33" s="257"/>
      <c r="F33" s="286"/>
      <c r="G33" s="279"/>
    </row>
    <row r="34" spans="1:7" s="303" customFormat="1" ht="13.5" customHeight="1">
      <c r="A34" s="955" t="s">
        <v>791</v>
      </c>
      <c r="B34" s="260" t="s">
        <v>2388</v>
      </c>
      <c r="C34" s="265">
        <f ca="1">ROUND(IF(B1="",SUMPRODUCT('数据-取费表'!K6:K14,'数据-取费表'!L6:L14),INDIRECT("'数据-取费表'!l"&amp;$G$1)*INDIRECT("'数据-取费表'!k"&amp;$G$1)+'数据-取费表'!L14*INDIRECT("'数据-取费表'!S"&amp;$G$1)),0)</f>
        <v>2694960</v>
      </c>
      <c r="D34" s="262"/>
      <c r="E34" s="265"/>
      <c r="F34" s="302"/>
      <c r="G34" s="264"/>
    </row>
    <row r="35" spans="1:7" ht="13.5" customHeight="1">
      <c r="A35" s="955" t="s">
        <v>796</v>
      </c>
      <c r="B35" s="260" t="s">
        <v>2390</v>
      </c>
      <c r="C35" s="265">
        <f ca="1">ROUND(C34*F35,0)</f>
        <v>80849</v>
      </c>
      <c r="D35" s="265"/>
      <c r="E35" s="265"/>
      <c r="F35" s="304">
        <f>'数据-取费表'!B33</f>
        <v>0.03</v>
      </c>
      <c r="G35" s="264" t="s">
        <v>2391</v>
      </c>
    </row>
    <row r="36" spans="1:7" ht="24">
      <c r="A36" s="955" t="s">
        <v>797</v>
      </c>
      <c r="B36" s="260" t="s">
        <v>2392</v>
      </c>
      <c r="C36" s="265">
        <f ca="1">ROUND(IF(B1="",SUM('数据-取费表'!AP6:AP13)*F36,IF(INDIRECT("'数据-取费表'!c"&amp;$G$1)="住宅",INDIRECT("'数据-取费表'!k"&amp;$G$1)*INDIRECT("'数据-取费表'!l"&amp;$G$1)*F36,0)),0)</f>
        <v>0</v>
      </c>
      <c r="D36" s="265"/>
      <c r="E36" s="265"/>
      <c r="F36" s="304">
        <f>'数据-取费表'!B34</f>
        <v>0.03</v>
      </c>
      <c r="G36" s="305" t="s">
        <v>2393</v>
      </c>
    </row>
    <row r="37" spans="1:7" s="303" customFormat="1" ht="13.5" customHeight="1">
      <c r="A37" s="955" t="s">
        <v>798</v>
      </c>
      <c r="B37" s="260" t="s">
        <v>2394</v>
      </c>
      <c r="C37" s="294">
        <f ca="1">ROUND(E37*D37,0)</f>
        <v>89832</v>
      </c>
      <c r="D37" s="262">
        <f ca="1">D19</f>
        <v>898.32</v>
      </c>
      <c r="E37" s="294">
        <f>'数据-取费表'!B35</f>
        <v>100</v>
      </c>
      <c r="F37" s="304"/>
      <c r="G37" s="306"/>
    </row>
    <row r="38" spans="1:7" ht="13.5" customHeight="1">
      <c r="A38" s="955" t="s">
        <v>799</v>
      </c>
      <c r="B38" s="260" t="s">
        <v>2396</v>
      </c>
      <c r="C38" s="265">
        <f ca="1">ROUND(C34*F38,0)</f>
        <v>40424</v>
      </c>
      <c r="D38" s="265"/>
      <c r="E38" s="265"/>
      <c r="F38" s="304">
        <f>'数据-取费表'!B36</f>
        <v>1.4999999999999999E-2</v>
      </c>
      <c r="G38" s="264" t="s">
        <v>2391</v>
      </c>
    </row>
    <row r="39" spans="1:7" s="259" customFormat="1" ht="13.5" customHeight="1">
      <c r="A39" s="300" t="s">
        <v>2397</v>
      </c>
      <c r="B39" s="255" t="s">
        <v>2398</v>
      </c>
      <c r="C39" s="277">
        <f ca="1">ROUND(C33*F20,0)</f>
        <v>58121</v>
      </c>
      <c r="D39" s="277"/>
      <c r="E39" s="277"/>
      <c r="F39" s="278"/>
      <c r="G39" s="279" t="s">
        <v>2399</v>
      </c>
    </row>
    <row r="40" spans="1:7" s="259" customFormat="1" ht="13.5" customHeight="1">
      <c r="A40" s="300" t="s">
        <v>2400</v>
      </c>
      <c r="B40" s="255" t="s">
        <v>2401</v>
      </c>
      <c r="C40" s="1733">
        <f>F21</f>
        <v>0.02</v>
      </c>
      <c r="D40" s="281" t="s">
        <v>2402</v>
      </c>
      <c r="E40" s="277"/>
      <c r="F40" s="278"/>
      <c r="G40" s="279" t="s">
        <v>2403</v>
      </c>
    </row>
    <row r="41" spans="1:7" s="259" customFormat="1" ht="13.5" customHeight="1">
      <c r="A41" s="300" t="s">
        <v>2404</v>
      </c>
      <c r="B41" s="255" t="s">
        <v>2405</v>
      </c>
      <c r="C41" s="277">
        <f ca="1">ROUND(SUM(C42:C43),0)</f>
        <v>104985</v>
      </c>
      <c r="D41" s="280">
        <f ca="1">C44</f>
        <v>6.9999999999999999E-4</v>
      </c>
      <c r="E41" s="281" t="s">
        <v>2402</v>
      </c>
      <c r="F41" s="282"/>
      <c r="G41" s="279" t="str">
        <f>IF('数据-取费表'!B22&lt;=1,"单利计息","复利计息")</f>
        <v>复利计息</v>
      </c>
    </row>
    <row r="42" spans="1:7" ht="13.5" customHeight="1">
      <c r="A42" s="955" t="s">
        <v>791</v>
      </c>
      <c r="B42" s="260" t="s">
        <v>2406</v>
      </c>
      <c r="C42" s="283">
        <f ca="1">ROUND(IF('数据-取费表'!B22&lt;=1,C33*F22*'数据-取费表'!B20/2,C33*(POWER((1+F22),'数据-取费表'!B20/2)-1)),0)</f>
        <v>102926</v>
      </c>
      <c r="D42" s="283"/>
      <c r="E42" s="283"/>
      <c r="F42" s="284"/>
      <c r="G42" s="3147" t="s">
        <v>2454</v>
      </c>
    </row>
    <row r="43" spans="1:7" ht="13.5" customHeight="1">
      <c r="A43" s="955" t="s">
        <v>792</v>
      </c>
      <c r="B43" s="260" t="s">
        <v>2408</v>
      </c>
      <c r="C43" s="283">
        <f ca="1">ROUND(IF('数据-取费表'!B22&lt;=1,C39*F22*'数据-取费表'!B20/2,C39*(POWER((1+F22),'数据-取费表'!B20/2)-1)),0)</f>
        <v>2059</v>
      </c>
      <c r="D43" s="283"/>
      <c r="E43" s="283"/>
      <c r="F43" s="284"/>
      <c r="G43" s="3148"/>
    </row>
    <row r="44" spans="1:7" ht="13.5" customHeight="1">
      <c r="A44" s="955" t="s">
        <v>793</v>
      </c>
      <c r="B44" s="260" t="s">
        <v>2409</v>
      </c>
      <c r="C44" s="283">
        <f ca="1">ROUND(IF('数据-取费表'!B22&lt;=1,C40*F22*'数据-取费表'!B20/2,C40*(POWER((1+F22),'数据-取费表'!B20/2)-1)),4)</f>
        <v>6.9999999999999999E-4</v>
      </c>
      <c r="D44" s="283"/>
      <c r="E44" s="283"/>
      <c r="F44" s="284"/>
      <c r="G44" s="3149"/>
    </row>
    <row r="45" spans="1:7" s="259" customFormat="1" ht="13.5" customHeight="1">
      <c r="A45" s="300" t="s">
        <v>2410</v>
      </c>
      <c r="B45" s="289" t="s">
        <v>2376</v>
      </c>
      <c r="C45" s="290">
        <f ca="1">C46</f>
        <v>592837</v>
      </c>
      <c r="D45" s="280">
        <f ca="1">C47</f>
        <v>4.0000000000000001E-3</v>
      </c>
      <c r="E45" s="281" t="s">
        <v>2402</v>
      </c>
      <c r="F45" s="291"/>
      <c r="G45" s="292" t="s">
        <v>2411</v>
      </c>
    </row>
    <row r="46" spans="1:7" s="259" customFormat="1" ht="13.5" customHeight="1">
      <c r="A46" s="955" t="s">
        <v>791</v>
      </c>
      <c r="B46" s="293" t="s">
        <v>2412</v>
      </c>
      <c r="C46" s="294">
        <f ca="1">ROUND((C33+C39)*F27,0)</f>
        <v>592837</v>
      </c>
      <c r="D46" s="308"/>
      <c r="E46" s="281"/>
      <c r="F46" s="291"/>
      <c r="G46" s="292"/>
    </row>
    <row r="47" spans="1:7" s="259" customFormat="1" ht="13.5" customHeight="1">
      <c r="A47" s="955" t="s">
        <v>792</v>
      </c>
      <c r="B47" s="293" t="s">
        <v>2413</v>
      </c>
      <c r="C47" s="283">
        <f ca="1">ROUND(C40*F27,4)</f>
        <v>4.0000000000000001E-3</v>
      </c>
      <c r="D47" s="308"/>
      <c r="E47" s="281"/>
      <c r="F47" s="291"/>
      <c r="G47" s="292"/>
    </row>
    <row r="48" spans="1:7" s="259" customFormat="1" ht="13.5" customHeight="1">
      <c r="A48" s="300" t="s">
        <v>2375</v>
      </c>
      <c r="B48" s="255" t="s">
        <v>2414</v>
      </c>
      <c r="C48" s="307">
        <f>ROUND(F30/(1+'数据-取费表'!C42),4)</f>
        <v>5.33E-2</v>
      </c>
      <c r="D48" s="281" t="s">
        <v>2402</v>
      </c>
      <c r="E48" s="277"/>
      <c r="F48" s="282"/>
      <c r="G48" s="279" t="s">
        <v>2415</v>
      </c>
    </row>
    <row r="49" spans="1:7" ht="16.5" customHeight="1">
      <c r="A49" s="300" t="s">
        <v>2381</v>
      </c>
      <c r="B49" s="255" t="s">
        <v>2455</v>
      </c>
      <c r="C49" s="277">
        <f ca="1">ROUND((C33+C39+C41+C45)/(1-C40-D41-D45-C48),0)</f>
        <v>3971809</v>
      </c>
      <c r="D49" s="277"/>
      <c r="E49" s="277"/>
      <c r="F49" s="309"/>
      <c r="G49" s="279" t="s">
        <v>2417</v>
      </c>
    </row>
    <row r="50" spans="1:7" s="303" customFormat="1">
      <c r="A50" s="300" t="s">
        <v>2418</v>
      </c>
      <c r="B50" s="255" t="s">
        <v>2419</v>
      </c>
      <c r="C50" s="277"/>
      <c r="D50" s="277"/>
      <c r="E50" s="277"/>
      <c r="F50" s="309">
        <f>IF('数据-取费表'!B24=0,'数据-取费表'!N16,1)</f>
        <v>0.88</v>
      </c>
      <c r="G50" s="292"/>
    </row>
    <row r="51" spans="1:7" ht="16.5" customHeight="1">
      <c r="A51" s="300" t="s">
        <v>2421</v>
      </c>
      <c r="B51" s="255" t="s">
        <v>2456</v>
      </c>
      <c r="C51" s="277">
        <f ca="1">ROUND(C49*F50,0)</f>
        <v>3495192</v>
      </c>
      <c r="D51" s="277"/>
      <c r="E51" s="277"/>
      <c r="F51" s="309"/>
      <c r="G51" s="279" t="s">
        <v>2423</v>
      </c>
    </row>
    <row r="52" spans="1:7" s="253" customFormat="1" ht="16.5" thickBot="1">
      <c r="A52" s="310" t="s">
        <v>2424</v>
      </c>
      <c r="B52" s="311"/>
      <c r="C52" s="312">
        <f ca="1">C31+C51</f>
        <v>3747889</v>
      </c>
      <c r="D52" s="311"/>
      <c r="E52" s="311"/>
      <c r="F52" s="311"/>
      <c r="G52" s="313"/>
    </row>
    <row r="55" spans="1:7" ht="15">
      <c r="B55" s="315" t="s">
        <v>2425</v>
      </c>
      <c r="C55" s="316"/>
    </row>
    <row r="56" spans="1:7">
      <c r="B56" s="318" t="s">
        <v>1514</v>
      </c>
      <c r="C56" s="320">
        <f ca="1">1-C57</f>
        <v>6.6999999999999948E-2</v>
      </c>
    </row>
    <row r="57" spans="1:7">
      <c r="B57" s="318" t="s">
        <v>1515</v>
      </c>
      <c r="C57" s="319">
        <f ca="1">ROUND(C51/C52,3)</f>
        <v>0.93300000000000005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2457</v>
      </c>
      <c r="B1" s="1586"/>
      <c r="C1" s="1587"/>
      <c r="D1" s="1585"/>
      <c r="E1" s="321"/>
      <c r="F1" s="321"/>
      <c r="G1" s="1586"/>
      <c r="H1" s="321"/>
      <c r="I1" s="321"/>
      <c r="J1" s="321"/>
      <c r="K1" s="321">
        <f>MATCH(C1,'数据-取费表'!A6:A16,0)+5</f>
        <v>7</v>
      </c>
    </row>
    <row r="2" spans="1:33" ht="18" customHeight="1">
      <c r="A2" s="246" t="s">
        <v>2325</v>
      </c>
      <c r="B2" s="249">
        <f ca="1">C32</f>
        <v>238</v>
      </c>
      <c r="C2" s="321" t="s">
        <v>2458</v>
      </c>
      <c r="D2" s="321"/>
      <c r="E2" s="321"/>
      <c r="F2" s="321"/>
      <c r="G2" s="321"/>
      <c r="H2" s="321"/>
      <c r="I2" s="321"/>
      <c r="J2" s="321"/>
      <c r="K2" s="321"/>
    </row>
    <row r="3" spans="1:33" ht="18" customHeight="1" thickBot="1">
      <c r="A3" s="248" t="s">
        <v>2327</v>
      </c>
      <c r="B3" s="249">
        <f ca="1">ROUND(B2*10000/IF(C1="",'数据-汇总表'!E3,INDIRECT("'数据-取费表'!K"&amp;$K$1)),0)</f>
        <v>2649</v>
      </c>
      <c r="C3" s="321" t="s">
        <v>2459</v>
      </c>
      <c r="D3" s="321"/>
      <c r="E3" s="321"/>
      <c r="F3" s="321"/>
      <c r="G3" s="321"/>
      <c r="H3" s="321"/>
      <c r="I3" s="321"/>
      <c r="J3" s="321"/>
      <c r="K3" s="321"/>
    </row>
    <row r="4" spans="1:33" s="960" customFormat="1" ht="16.5" customHeight="1">
      <c r="A4" s="957" t="s">
        <v>2460</v>
      </c>
      <c r="B4" s="958"/>
      <c r="C4" s="1000">
        <f>SUM(C8:K8)</f>
        <v>0</v>
      </c>
      <c r="D4" s="958"/>
      <c r="E4" s="958"/>
      <c r="F4" s="958"/>
      <c r="G4" s="958"/>
      <c r="H4" s="958"/>
      <c r="I4" s="958"/>
      <c r="J4" s="958"/>
      <c r="K4" s="959"/>
    </row>
    <row r="5" spans="1:33" s="964" customFormat="1" ht="24.75">
      <c r="A5" s="961" t="s">
        <v>2461</v>
      </c>
      <c r="B5" s="962" t="s">
        <v>2462</v>
      </c>
      <c r="C5" s="2560" t="s">
        <v>2463</v>
      </c>
      <c r="D5" s="2560" t="s">
        <v>2464</v>
      </c>
      <c r="E5" s="2560" t="s">
        <v>2465</v>
      </c>
      <c r="F5" s="2560"/>
      <c r="G5" s="2560"/>
      <c r="H5" s="2560"/>
      <c r="I5" s="2560"/>
      <c r="J5" s="2560"/>
      <c r="K5" s="2560"/>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2466</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2467</v>
      </c>
      <c r="B7" s="140" t="s">
        <v>2468</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1" t="s">
        <v>2469</v>
      </c>
      <c r="B8" s="178" t="s">
        <v>2470</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2471</v>
      </c>
      <c r="B9" s="958"/>
      <c r="C9" s="958"/>
      <c r="D9" s="958"/>
      <c r="E9" s="958"/>
      <c r="F9" s="958"/>
      <c r="G9" s="958"/>
      <c r="H9" s="958"/>
      <c r="I9" s="958"/>
      <c r="J9" s="958"/>
      <c r="K9" s="959"/>
    </row>
    <row r="10" spans="1:33" s="974" customFormat="1" ht="13.5" customHeight="1">
      <c r="A10" s="961" t="s">
        <v>2472</v>
      </c>
      <c r="B10" s="8" t="s">
        <v>2473</v>
      </c>
      <c r="C10" s="970" t="s">
        <v>2474</v>
      </c>
      <c r="D10" s="971" t="s">
        <v>2475</v>
      </c>
      <c r="E10" s="971" t="s">
        <v>2476</v>
      </c>
      <c r="F10" s="971" t="s">
        <v>2477</v>
      </c>
      <c r="G10" s="8"/>
      <c r="H10" s="972"/>
      <c r="I10" s="972"/>
      <c r="J10" s="972"/>
      <c r="K10" s="973"/>
    </row>
    <row r="11" spans="1:33" s="979" customFormat="1" ht="13.5" customHeight="1">
      <c r="A11" s="975" t="s">
        <v>1335</v>
      </c>
      <c r="B11" s="976" t="s">
        <v>2478</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2479</v>
      </c>
      <c r="C12" s="24">
        <f ca="1">ROUND(C11*F12,0)</f>
        <v>0</v>
      </c>
      <c r="D12" s="977"/>
      <c r="E12" s="376"/>
      <c r="F12" s="980">
        <f>'数据-取费表'!B33</f>
        <v>0.03</v>
      </c>
      <c r="G12" s="8" t="s">
        <v>2480</v>
      </c>
      <c r="H12" s="972"/>
      <c r="I12" s="972"/>
      <c r="J12" s="972"/>
      <c r="K12" s="973"/>
    </row>
    <row r="13" spans="1:33" s="979" customFormat="1" ht="13.5" customHeight="1">
      <c r="A13" s="975" t="s">
        <v>1337</v>
      </c>
      <c r="B13" s="976" t="s">
        <v>2481</v>
      </c>
      <c r="C13" s="24">
        <f ca="1">ROUND(IF(C1="",SUMIF('数据-取费表'!C:C,"住宅",'数据-取费表'!P:P)*F13,IF(INDIRECT("'数据-取费表'!c"&amp;$K$1)="住宅",INDIRECT("'数据-取费表'!P"&amp;$K$1)*F13,0)),0)</f>
        <v>0</v>
      </c>
      <c r="D13" s="1037"/>
      <c r="E13" s="376"/>
      <c r="F13" s="980">
        <f>'数据-取费表'!B34</f>
        <v>0.03</v>
      </c>
      <c r="G13" s="8" t="s">
        <v>2482</v>
      </c>
      <c r="H13" s="972"/>
      <c r="I13" s="972"/>
      <c r="J13" s="972"/>
      <c r="K13" s="973"/>
    </row>
    <row r="14" spans="1:33" s="981" customFormat="1" ht="13.5" customHeight="1">
      <c r="A14" s="975" t="s">
        <v>1338</v>
      </c>
      <c r="B14" s="976" t="s">
        <v>2483</v>
      </c>
      <c r="C14" s="24">
        <f ca="1">ROUND(D14*E14*F11/10000,0)</f>
        <v>0</v>
      </c>
      <c r="D14" s="1037">
        <f ca="1">IF(C1="",'数据-汇总表'!E3,INDIRECT("'数据-取费表'!K"&amp;$K$1)+INDIRECT("'数据-取费表'!S"&amp;$K$1))</f>
        <v>898.32</v>
      </c>
      <c r="E14" s="24">
        <f>'数据-取费表'!B35</f>
        <v>100</v>
      </c>
      <c r="F14" s="980"/>
      <c r="G14" s="8" t="s">
        <v>2484</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2485</v>
      </c>
      <c r="C15" s="987">
        <f ca="1">ROUND(C11*F15,0)</f>
        <v>0</v>
      </c>
      <c r="D15" s="982"/>
      <c r="E15" s="987"/>
      <c r="F15" s="988">
        <f>'数据-取费表'!B36</f>
        <v>1.4999999999999999E-2</v>
      </c>
      <c r="G15" s="140" t="s">
        <v>2486</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2487</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2488</v>
      </c>
      <c r="C17" s="24">
        <f ca="1">ROUND(D17*E17/10000,0)</f>
        <v>0</v>
      </c>
      <c r="D17" s="1037">
        <f ca="1">D14</f>
        <v>898.32</v>
      </c>
      <c r="E17" s="24">
        <f>'数据-取费表'!B32</f>
        <v>0</v>
      </c>
      <c r="F17" s="982"/>
      <c r="G17" s="140" t="s">
        <v>2489</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2490</v>
      </c>
      <c r="C18" s="24">
        <f ca="1">C19+C20-IF(C1="",'数据-取费表'!B29,IF(G18="已全部缴纳",C19+C20,H18))</f>
        <v>-200</v>
      </c>
      <c r="D18" s="1037"/>
      <c r="E18" s="24"/>
      <c r="F18" s="980"/>
      <c r="G18" s="2562"/>
      <c r="H18" s="1582"/>
      <c r="I18" s="2563" t="s">
        <v>2491</v>
      </c>
      <c r="J18" s="983"/>
      <c r="K18" s="984"/>
    </row>
    <row r="19" spans="1:33" s="979" customFormat="1" ht="13.5" customHeight="1">
      <c r="A19" s="975" t="s">
        <v>805</v>
      </c>
      <c r="B19" s="976" t="s">
        <v>2492</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2493</v>
      </c>
      <c r="C20" s="24">
        <f ca="1">ROUND(D20*E20/10000,0)</f>
        <v>0</v>
      </c>
      <c r="D20" s="1037">
        <f ca="1">IF(C1="",'数据-汇总表'!E6,IF(INDIRECT("'数据-取费表'!c"&amp;$K$1)="住宅",INDIRECT("'数据-取费表'!s"&amp;$K$1),INDIRECT("'数据-取费表'!k"&amp;$K$1)+INDIRECT("'数据-取费表'!s"&amp;$K$1)))</f>
        <v>898.32</v>
      </c>
      <c r="E20" s="24">
        <f>'数据-取费表'!B28</f>
        <v>0</v>
      </c>
      <c r="F20" s="980"/>
      <c r="G20" s="15"/>
      <c r="H20" s="985"/>
      <c r="I20" s="985"/>
      <c r="J20" s="985"/>
      <c r="K20" s="986"/>
    </row>
    <row r="21" spans="1:33" s="979" customFormat="1" ht="13.5" customHeight="1">
      <c r="A21" s="965" t="s">
        <v>802</v>
      </c>
      <c r="B21" s="989" t="s">
        <v>2494</v>
      </c>
      <c r="C21" s="990">
        <f ca="1">C16+C17+C18</f>
        <v>-200</v>
      </c>
      <c r="D21" s="991"/>
      <c r="E21" s="326"/>
      <c r="F21" s="326"/>
      <c r="G21" s="140" t="s">
        <v>2495</v>
      </c>
      <c r="H21" s="983"/>
      <c r="I21" s="983"/>
      <c r="J21" s="983"/>
      <c r="K21" s="984"/>
    </row>
    <row r="22" spans="1:33" s="979" customFormat="1" ht="13.5" customHeight="1">
      <c r="A22" s="965" t="s">
        <v>2467</v>
      </c>
      <c r="B22" s="989" t="s">
        <v>2496</v>
      </c>
      <c r="C22" s="990">
        <f ca="1">ROUND(C21*F22,0)</f>
        <v>-4</v>
      </c>
      <c r="D22" s="326"/>
      <c r="E22" s="326"/>
      <c r="F22" s="992">
        <f>'数据-取费表'!B37</f>
        <v>0.02</v>
      </c>
      <c r="G22" s="8" t="s">
        <v>2497</v>
      </c>
      <c r="H22" s="972"/>
      <c r="I22" s="972"/>
      <c r="J22" s="972"/>
      <c r="K22" s="973"/>
    </row>
    <row r="23" spans="1:33" s="979" customFormat="1" ht="13.5" customHeight="1">
      <c r="A23" s="965" t="s">
        <v>2469</v>
      </c>
      <c r="B23" s="989" t="s">
        <v>2498</v>
      </c>
      <c r="C23" s="990">
        <f ca="1">ROUND(C4*F23*F11,0)</f>
        <v>0</v>
      </c>
      <c r="D23" s="326"/>
      <c r="E23" s="326"/>
      <c r="F23" s="992">
        <f>'数据-取费表'!B38</f>
        <v>0.02</v>
      </c>
      <c r="G23" s="8" t="s">
        <v>2499</v>
      </c>
      <c r="H23" s="972"/>
      <c r="I23" s="972"/>
      <c r="J23" s="972"/>
      <c r="K23" s="973"/>
    </row>
    <row r="24" spans="1:33" s="979" customFormat="1" ht="13.5" customHeight="1">
      <c r="A24" s="965" t="s">
        <v>2500</v>
      </c>
      <c r="B24" s="989" t="s">
        <v>2501</v>
      </c>
      <c r="C24" s="325">
        <f>ROUND(F24/(1+'数据-取费表'!C42),4)</f>
        <v>2.9000000000000001E-2</v>
      </c>
      <c r="D24" s="326" t="s">
        <v>15</v>
      </c>
      <c r="E24" s="326"/>
      <c r="F24" s="992">
        <f>'数据-取费表'!B48+'数据-取费表'!B49</f>
        <v>3.0499999999999999E-2</v>
      </c>
      <c r="G24" s="8" t="s">
        <v>2502</v>
      </c>
      <c r="H24" s="994"/>
      <c r="I24" s="994"/>
      <c r="J24" s="994"/>
      <c r="K24" s="995"/>
    </row>
    <row r="25" spans="1:33" s="979" customFormat="1" ht="13.5" customHeight="1">
      <c r="A25" s="965" t="s">
        <v>2503</v>
      </c>
      <c r="B25" s="991" t="s">
        <v>2504</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2505</v>
      </c>
      <c r="C26" s="1361">
        <f ca="1">ROUND(IF('数据-取费表'!B22&lt;=1,(1+C24)*F25*'数据-取费表'!B24,(1+C24)*(POWER((1+F25),'数据-取费表'!B24)-1)),4)</f>
        <v>0</v>
      </c>
      <c r="D26" s="329"/>
      <c r="E26" s="330"/>
      <c r="F26" s="331"/>
      <c r="G26" s="2564"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2506</v>
      </c>
      <c r="C27" s="1362">
        <f ca="1">ROUND(IF('数据-取费表'!B22&lt;=1,(C21+C22+C23)*F25*'数据-取费表'!B24/2,(C21+C22+C23)*(POWER((1+F25),'数据-取费表'!B24/2)-1)),0)</f>
        <v>0</v>
      </c>
      <c r="D27" s="329"/>
      <c r="E27" s="330"/>
      <c r="F27" s="331"/>
      <c r="G27" s="2564" t="str">
        <f>IF('数据-取费表'!B22&lt;=1,"（1）-（3）项×年利率×建设期÷2","（1）-（3）项×((1+年利率)^(建设期÷2)-1)")</f>
        <v>（1）-（3）项×((1+年利率)^(建设期÷2)-1)</v>
      </c>
      <c r="H27" s="983"/>
      <c r="I27" s="983"/>
      <c r="J27" s="983"/>
      <c r="K27" s="984"/>
    </row>
    <row r="28" spans="1:33" s="334" customFormat="1" ht="13.5" customHeight="1">
      <c r="A28" s="965" t="s">
        <v>2507</v>
      </c>
      <c r="B28" s="2565" t="s">
        <v>2508</v>
      </c>
      <c r="C28" s="332">
        <f ca="1">C30</f>
        <v>-41</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2509</v>
      </c>
      <c r="C29" s="329">
        <f ca="1">ROUND((1+C24)*F28*'数据-取费表'!B24/'数据-取费表'!B20,4)</f>
        <v>0</v>
      </c>
      <c r="D29" s="329"/>
      <c r="E29" s="330"/>
      <c r="F29" s="335"/>
      <c r="G29" s="140" t="s">
        <v>2510</v>
      </c>
      <c r="H29" s="983"/>
      <c r="I29" s="983"/>
      <c r="J29" s="983"/>
      <c r="K29" s="984"/>
    </row>
    <row r="30" spans="1:33" s="336" customFormat="1" ht="13.5" customHeight="1">
      <c r="A30" s="975" t="s">
        <v>804</v>
      </c>
      <c r="B30" s="998" t="s">
        <v>2511</v>
      </c>
      <c r="C30" s="337">
        <f ca="1">ROUND((C21+C22+C23)*F28,0)</f>
        <v>-41</v>
      </c>
      <c r="D30" s="329"/>
      <c r="E30" s="330"/>
      <c r="F30" s="335"/>
      <c r="G30" s="140"/>
      <c r="H30" s="983"/>
      <c r="I30" s="983"/>
      <c r="J30" s="983"/>
      <c r="K30" s="984"/>
    </row>
    <row r="31" spans="1:33" s="979" customFormat="1" ht="13.5" customHeight="1" thickBot="1">
      <c r="A31" s="2566" t="s">
        <v>2512</v>
      </c>
      <c r="B31" s="1009" t="s">
        <v>2513</v>
      </c>
      <c r="C31" s="1010">
        <f>ROUND(C4*F31/(1+'数据-取费表'!C42),0)</f>
        <v>0</v>
      </c>
      <c r="D31" s="1011"/>
      <c r="E31" s="1012"/>
      <c r="F31" s="1013">
        <f>'数据-取费表'!B41</f>
        <v>5.6000000000000001E-2</v>
      </c>
      <c r="G31" s="1014" t="s">
        <v>2514</v>
      </c>
      <c r="H31" s="1015"/>
      <c r="I31" s="1015"/>
      <c r="J31" s="1015"/>
      <c r="K31" s="1016"/>
    </row>
    <row r="32" spans="1:33" s="974" customFormat="1" ht="13.5" customHeight="1" thickBot="1">
      <c r="A32" s="1004" t="s">
        <v>2515</v>
      </c>
      <c r="B32" s="1005"/>
      <c r="C32" s="1006">
        <f ca="1">ROUND((C4-C21-C22-C23-C25-C28-C31)/(1+C24+D25+D28),0)</f>
        <v>238</v>
      </c>
      <c r="D32" s="1005"/>
      <c r="E32" s="1005"/>
      <c r="F32" s="1005"/>
      <c r="G32" s="1007" t="s">
        <v>2516</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25" zoomScale="90" zoomScaleNormal="90" workbookViewId="0">
      <selection activeCell="C34" sqref="C34"/>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675" t="s">
        <v>2684</v>
      </c>
      <c r="C1" s="1625" t="s">
        <v>2528</v>
      </c>
      <c r="D1" s="1626" t="s">
        <v>27</v>
      </c>
      <c r="E1" s="1635"/>
      <c r="F1" s="2590" t="s">
        <v>3107</v>
      </c>
      <c r="G1" s="1636" t="s">
        <v>2641</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2325</v>
      </c>
      <c r="B2" s="1422">
        <f>IF(C2="——",ROUND(C50*D3/10000,0),ROUND(C50*D3/10000,0)-D2)</f>
        <v>4505</v>
      </c>
      <c r="C2" s="2592" t="s">
        <v>70</v>
      </c>
      <c r="D2" s="1369" t="e">
        <f ca="1">SUMIF(INDIRECT("'"&amp;F2&amp;"'"&amp;"!A:A"),"承租人权益价值",INDIRECT("'"&amp;F2&amp;"'"&amp;"!c:c"))</f>
        <v>#REF!</v>
      </c>
      <c r="E2" s="2593" t="s">
        <v>2326</v>
      </c>
      <c r="F2" s="2594"/>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f>IF(C2="——",C50,ROUND(B2*10000/D3,0))</f>
        <v>50152</v>
      </c>
      <c r="C3" s="401" t="s">
        <v>2642</v>
      </c>
      <c r="D3" s="400">
        <f>IF(D1="",'数据-汇总表'!E3,SUMIF('数据-汇总表'!$C19:$C33,D1,'数据-汇总表'!$E19:$E33))</f>
        <v>898.32</v>
      </c>
      <c r="E3" s="2669"/>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2643</v>
      </c>
      <c r="B4" s="403"/>
      <c r="C4" s="3168" t="s">
        <v>2644</v>
      </c>
      <c r="D4" s="3169"/>
      <c r="E4" s="3170" t="s">
        <v>2645</v>
      </c>
      <c r="F4" s="3171"/>
      <c r="G4" s="3168" t="s">
        <v>2646</v>
      </c>
      <c r="H4" s="3169"/>
      <c r="I4" s="3168" t="s">
        <v>2647</v>
      </c>
      <c r="J4" s="3169"/>
      <c r="K4" s="611" t="s">
        <v>2648</v>
      </c>
      <c r="L4" s="1134"/>
      <c r="M4" s="1135"/>
      <c r="N4" s="1135"/>
      <c r="O4" s="1135"/>
      <c r="P4" s="3172" t="s">
        <v>2649</v>
      </c>
      <c r="Q4" s="3173"/>
      <c r="R4" s="3178" t="s">
        <v>2645</v>
      </c>
      <c r="S4" s="3179"/>
      <c r="T4" s="3178" t="s">
        <v>2646</v>
      </c>
      <c r="U4" s="3179"/>
      <c r="V4" s="3184" t="s">
        <v>2647</v>
      </c>
      <c r="W4" s="3184"/>
      <c r="X4" s="2676"/>
      <c r="Y4" s="3178" t="s">
        <v>2649</v>
      </c>
      <c r="Z4" s="3179"/>
      <c r="AA4" s="3197" t="s">
        <v>2645</v>
      </c>
      <c r="AB4" s="3197" t="s">
        <v>2646</v>
      </c>
      <c r="AC4" s="3165" t="s">
        <v>2647</v>
      </c>
    </row>
    <row r="5" spans="1:29" ht="15">
      <c r="A5" s="405"/>
      <c r="B5" s="406"/>
      <c r="C5" s="3194" t="s">
        <v>2540</v>
      </c>
      <c r="D5" s="3189"/>
      <c r="E5" s="3200" t="s">
        <v>3130</v>
      </c>
      <c r="F5" s="3201"/>
      <c r="G5" s="3188" t="s">
        <v>3129</v>
      </c>
      <c r="H5" s="3189"/>
      <c r="I5" s="3188" t="s">
        <v>3110</v>
      </c>
      <c r="J5" s="3189"/>
      <c r="K5" s="611"/>
      <c r="L5" s="1134"/>
      <c r="M5" s="1135"/>
      <c r="N5" s="1135"/>
      <c r="O5" s="1135"/>
      <c r="P5" s="3174"/>
      <c r="Q5" s="3175"/>
      <c r="R5" s="3180"/>
      <c r="S5" s="3181"/>
      <c r="T5" s="3180"/>
      <c r="U5" s="3181"/>
      <c r="V5" s="3185"/>
      <c r="W5" s="3185"/>
      <c r="X5" s="1818"/>
      <c r="Y5" s="3180"/>
      <c r="Z5" s="3181"/>
      <c r="AA5" s="3198"/>
      <c r="AB5" s="3198"/>
      <c r="AC5" s="3166"/>
    </row>
    <row r="6" spans="1:29" ht="15.75" thickBot="1">
      <c r="A6" s="407"/>
      <c r="B6" s="408"/>
      <c r="C6" s="3186" t="s">
        <v>2544</v>
      </c>
      <c r="D6" s="3187"/>
      <c r="E6" s="3195" t="s">
        <v>2544</v>
      </c>
      <c r="F6" s="3196"/>
      <c r="G6" s="3186" t="s">
        <v>2544</v>
      </c>
      <c r="H6" s="3187"/>
      <c r="I6" s="3186" t="s">
        <v>2544</v>
      </c>
      <c r="J6" s="3187"/>
      <c r="K6" s="611" t="s">
        <v>2545</v>
      </c>
      <c r="L6" s="1134"/>
      <c r="M6" s="1135"/>
      <c r="N6" s="1135"/>
      <c r="O6" s="1135"/>
      <c r="P6" s="3176"/>
      <c r="Q6" s="3177"/>
      <c r="R6" s="3180"/>
      <c r="S6" s="3181"/>
      <c r="T6" s="3182"/>
      <c r="U6" s="3183"/>
      <c r="V6" s="3185"/>
      <c r="W6" s="3185"/>
      <c r="X6" s="1818"/>
      <c r="Y6" s="3182"/>
      <c r="Z6" s="3183"/>
      <c r="AA6" s="3199"/>
      <c r="AB6" s="3199"/>
      <c r="AC6" s="3167"/>
    </row>
    <row r="7" spans="1:29" s="117" customFormat="1" ht="15.75" thickBot="1">
      <c r="A7" s="409" t="s">
        <v>2546</v>
      </c>
      <c r="B7" s="410"/>
      <c r="C7" s="411">
        <f>'数据-取费表'!B2</f>
        <v>43053</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190" t="s">
        <v>2547</v>
      </c>
      <c r="Q7" s="3193"/>
      <c r="R7" s="771" t="s">
        <v>17</v>
      </c>
      <c r="S7" s="772">
        <f t="shared" ref="S7:S15" si="0">F7</f>
        <v>100</v>
      </c>
      <c r="T7" s="771" t="s">
        <v>17</v>
      </c>
      <c r="U7" s="772">
        <f t="shared" ref="U7:U15" si="1">H7</f>
        <v>100</v>
      </c>
      <c r="V7" s="771" t="s">
        <v>17</v>
      </c>
      <c r="W7" s="772">
        <f t="shared" ref="W7:W15" si="2">J7</f>
        <v>100</v>
      </c>
      <c r="X7" s="773"/>
      <c r="Y7" s="3192" t="s">
        <v>2547</v>
      </c>
      <c r="Z7" s="3191"/>
      <c r="AA7" s="774">
        <f>D7/F7</f>
        <v>1</v>
      </c>
      <c r="AB7" s="774">
        <f>D7/H7</f>
        <v>1</v>
      </c>
      <c r="AC7" s="2677">
        <f>D7/J7</f>
        <v>1</v>
      </c>
    </row>
    <row r="8" spans="1:29" s="117" customFormat="1" ht="15.75" thickBot="1">
      <c r="A8" s="409" t="s">
        <v>2548</v>
      </c>
      <c r="B8" s="410"/>
      <c r="C8" s="415" t="s">
        <v>2650</v>
      </c>
      <c r="D8" s="412">
        <v>100</v>
      </c>
      <c r="E8" s="415" t="s">
        <v>3092</v>
      </c>
      <c r="F8" s="414">
        <f>SUMIF(62:62,E8,63:63)-SUMIF(62:62,C8,63:63)+100</f>
        <v>100</v>
      </c>
      <c r="G8" s="415" t="s">
        <v>3092</v>
      </c>
      <c r="H8" s="412">
        <f>SUMIF(62:62,G8,63:63)-SUMIF(62:62,C8,63:63)+100</f>
        <v>100</v>
      </c>
      <c r="I8" s="415" t="s">
        <v>3092</v>
      </c>
      <c r="J8" s="412">
        <f>SUMIF(62:62,I8,63:63)-SUMIF(62:62,C8,63:63)+100</f>
        <v>100</v>
      </c>
      <c r="K8" s="612"/>
      <c r="L8" s="1136"/>
      <c r="M8" s="1137"/>
      <c r="N8" s="1137"/>
      <c r="O8" s="1137"/>
      <c r="P8" s="3190" t="s">
        <v>2550</v>
      </c>
      <c r="Q8" s="3191"/>
      <c r="R8" s="771" t="s">
        <v>17</v>
      </c>
      <c r="S8" s="772">
        <f t="shared" si="0"/>
        <v>100</v>
      </c>
      <c r="T8" s="771" t="s">
        <v>17</v>
      </c>
      <c r="U8" s="772">
        <f t="shared" si="1"/>
        <v>100</v>
      </c>
      <c r="V8" s="771" t="s">
        <v>17</v>
      </c>
      <c r="W8" s="772">
        <f t="shared" si="2"/>
        <v>100</v>
      </c>
      <c r="X8" s="773"/>
      <c r="Y8" s="3192" t="s">
        <v>2550</v>
      </c>
      <c r="Z8" s="3191"/>
      <c r="AA8" s="774">
        <f t="shared" ref="AA8:AA47" si="3">D8/F8</f>
        <v>1</v>
      </c>
      <c r="AB8" s="774">
        <f t="shared" ref="AB8:AB47" si="4">D8/H8</f>
        <v>1</v>
      </c>
      <c r="AC8" s="2677">
        <f t="shared" ref="AC8:AC47" si="5">D8/J8</f>
        <v>1</v>
      </c>
    </row>
    <row r="9" spans="1:29" s="117" customFormat="1">
      <c r="A9" s="416" t="s">
        <v>2551</v>
      </c>
      <c r="B9" s="71" t="s">
        <v>2552</v>
      </c>
      <c r="C9" s="2947" t="s">
        <v>3093</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150" t="s">
        <v>2553</v>
      </c>
      <c r="Q9" s="1800" t="str">
        <f t="shared" ref="Q9:Q15" si="6">B9</f>
        <v>用途</v>
      </c>
      <c r="R9" s="771" t="s">
        <v>17</v>
      </c>
      <c r="S9" s="772">
        <f t="shared" si="0"/>
        <v>100</v>
      </c>
      <c r="T9" s="771" t="s">
        <v>17</v>
      </c>
      <c r="U9" s="772">
        <f t="shared" si="1"/>
        <v>100</v>
      </c>
      <c r="V9" s="771" t="s">
        <v>17</v>
      </c>
      <c r="W9" s="772">
        <f t="shared" si="2"/>
        <v>100</v>
      </c>
      <c r="X9" s="773"/>
      <c r="Y9" s="3005" t="s">
        <v>2554</v>
      </c>
      <c r="Z9" s="55" t="str">
        <f t="shared" ref="Z9:Z15" si="7">Q9</f>
        <v>用途</v>
      </c>
      <c r="AA9" s="774">
        <f t="shared" si="3"/>
        <v>1</v>
      </c>
      <c r="AB9" s="774">
        <f t="shared" si="4"/>
        <v>1</v>
      </c>
      <c r="AC9" s="2677">
        <f t="shared" si="5"/>
        <v>1</v>
      </c>
    </row>
    <row r="10" spans="1:29" s="428" customFormat="1" ht="27">
      <c r="A10" s="422"/>
      <c r="B10" s="423" t="s">
        <v>2555</v>
      </c>
      <c r="C10" s="424" t="s">
        <v>3096</v>
      </c>
      <c r="D10" s="136">
        <v>100</v>
      </c>
      <c r="E10" s="2959" t="s">
        <v>3095</v>
      </c>
      <c r="F10" s="136">
        <f>SUMIF(66:66,E10,67:67)-SUMIF(66:66,C10,67:67)+100</f>
        <v>99</v>
      </c>
      <c r="G10" s="425" t="s">
        <v>3095</v>
      </c>
      <c r="H10" s="136">
        <f>SUMIF(66:66,G10,67:67)-SUMIF(66:66,C10,67:67)+100</f>
        <v>99</v>
      </c>
      <c r="I10" s="424" t="s">
        <v>3096</v>
      </c>
      <c r="J10" s="136">
        <f>SUMIF(66:66,I10,67:67)-SUMIF(66:66,C10,67:67)+100</f>
        <v>100</v>
      </c>
      <c r="K10" s="613">
        <v>1</v>
      </c>
      <c r="L10" s="1139"/>
      <c r="M10" s="1140"/>
      <c r="N10" s="1140"/>
      <c r="O10" s="1140"/>
      <c r="P10" s="3150"/>
      <c r="Q10" s="1800" t="str">
        <f t="shared" si="6"/>
        <v>土地使用年限（年）</v>
      </c>
      <c r="R10" s="771" t="s">
        <v>17</v>
      </c>
      <c r="S10" s="772">
        <f t="shared" si="0"/>
        <v>99</v>
      </c>
      <c r="T10" s="771" t="s">
        <v>17</v>
      </c>
      <c r="U10" s="772">
        <f t="shared" si="1"/>
        <v>99</v>
      </c>
      <c r="V10" s="771" t="s">
        <v>17</v>
      </c>
      <c r="W10" s="772">
        <f t="shared" si="2"/>
        <v>100</v>
      </c>
      <c r="X10" s="773"/>
      <c r="Y10" s="3005"/>
      <c r="Z10" s="55" t="str">
        <f t="shared" si="7"/>
        <v>土地使用年限（年）</v>
      </c>
      <c r="AA10" s="774">
        <f t="shared" si="3"/>
        <v>1.0101010101010102</v>
      </c>
      <c r="AB10" s="774">
        <f t="shared" si="4"/>
        <v>1.0101010101010102</v>
      </c>
      <c r="AC10" s="2677">
        <f t="shared" si="5"/>
        <v>1</v>
      </c>
    </row>
    <row r="11" spans="1:29" ht="15">
      <c r="A11" s="429"/>
      <c r="B11" s="423" t="s">
        <v>2556</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150"/>
      <c r="Q11" s="1800" t="str">
        <f t="shared" si="6"/>
        <v>容积率</v>
      </c>
      <c r="R11" s="771" t="s">
        <v>17</v>
      </c>
      <c r="S11" s="772">
        <f t="shared" si="0"/>
        <v>100</v>
      </c>
      <c r="T11" s="771" t="s">
        <v>17</v>
      </c>
      <c r="U11" s="772">
        <f t="shared" si="1"/>
        <v>100</v>
      </c>
      <c r="V11" s="771" t="s">
        <v>17</v>
      </c>
      <c r="W11" s="772">
        <f t="shared" si="2"/>
        <v>100</v>
      </c>
      <c r="X11" s="773"/>
      <c r="Y11" s="3005"/>
      <c r="Z11" s="55" t="str">
        <f t="shared" si="7"/>
        <v>容积率</v>
      </c>
      <c r="AA11" s="774">
        <f t="shared" si="3"/>
        <v>1</v>
      </c>
      <c r="AB11" s="774">
        <f t="shared" si="4"/>
        <v>1</v>
      </c>
      <c r="AC11" s="2677">
        <f t="shared" si="5"/>
        <v>1</v>
      </c>
    </row>
    <row r="12" spans="1:29" s="117" customFormat="1" ht="15">
      <c r="A12" s="432"/>
      <c r="B12" s="2606">
        <v>111</v>
      </c>
      <c r="C12" s="433"/>
      <c r="D12" s="434">
        <v>100</v>
      </c>
      <c r="E12" s="433"/>
      <c r="F12" s="136">
        <f>SUMIF(71:71,E12,72:72)-SUMIF(71:71,C12,72:72)+100</f>
        <v>100</v>
      </c>
      <c r="G12" s="2678"/>
      <c r="H12" s="136">
        <f>SUMIF(71:71,G12,72:72)-SUMIF(71:71,C12,72:72)+100</f>
        <v>100</v>
      </c>
      <c r="I12" s="433"/>
      <c r="J12" s="136">
        <f>SUMIF(71:71,I12,72:72)-SUMIF(71:71,C12,72:72)+100</f>
        <v>100</v>
      </c>
      <c r="K12" s="614"/>
      <c r="L12" s="1136"/>
      <c r="M12" s="1137"/>
      <c r="N12" s="1137"/>
      <c r="O12" s="1137"/>
      <c r="P12" s="3150"/>
      <c r="Q12" s="1800">
        <f t="shared" si="6"/>
        <v>111</v>
      </c>
      <c r="R12" s="771" t="s">
        <v>17</v>
      </c>
      <c r="S12" s="772">
        <f t="shared" si="0"/>
        <v>100</v>
      </c>
      <c r="T12" s="771" t="s">
        <v>17</v>
      </c>
      <c r="U12" s="772">
        <f t="shared" si="1"/>
        <v>100</v>
      </c>
      <c r="V12" s="771" t="s">
        <v>17</v>
      </c>
      <c r="W12" s="772">
        <f t="shared" si="2"/>
        <v>100</v>
      </c>
      <c r="X12" s="773"/>
      <c r="Y12" s="3005"/>
      <c r="Z12" s="55">
        <f t="shared" si="7"/>
        <v>111</v>
      </c>
      <c r="AA12" s="774">
        <f>D12/F12</f>
        <v>1</v>
      </c>
      <c r="AB12" s="774">
        <f>D12/H12</f>
        <v>1</v>
      </c>
      <c r="AC12" s="2677">
        <f>D12/J12</f>
        <v>1</v>
      </c>
    </row>
    <row r="13" spans="1:29" ht="15">
      <c r="A13" s="429"/>
      <c r="B13" s="2606">
        <v>111</v>
      </c>
      <c r="C13" s="435"/>
      <c r="D13" s="436">
        <v>100</v>
      </c>
      <c r="E13" s="433"/>
      <c r="F13" s="136">
        <f>SUMIF(73:73,E13,74:74)-SUMIF(73:73,C13,74:74)+100</f>
        <v>100</v>
      </c>
      <c r="G13" s="2678"/>
      <c r="H13" s="436">
        <f>SUMIF(73:73,G13,74:74)-SUMIF(73:73,C13,74:74)+100</f>
        <v>100</v>
      </c>
      <c r="I13" s="433"/>
      <c r="J13" s="436">
        <f>SUMIF(73:73,I13,74:74)-SUMIF(73:73,C13,74:74)+100</f>
        <v>100</v>
      </c>
      <c r="K13" s="614"/>
      <c r="L13" s="1144"/>
      <c r="M13" s="1135"/>
      <c r="N13" s="1135"/>
      <c r="O13" s="1135"/>
      <c r="P13" s="3150"/>
      <c r="Q13" s="1800">
        <f t="shared" si="6"/>
        <v>111</v>
      </c>
      <c r="R13" s="771" t="s">
        <v>17</v>
      </c>
      <c r="S13" s="772">
        <f t="shared" si="0"/>
        <v>100</v>
      </c>
      <c r="T13" s="771" t="s">
        <v>17</v>
      </c>
      <c r="U13" s="772">
        <f t="shared" si="1"/>
        <v>100</v>
      </c>
      <c r="V13" s="771" t="s">
        <v>17</v>
      </c>
      <c r="W13" s="772">
        <f t="shared" si="2"/>
        <v>100</v>
      </c>
      <c r="X13" s="773"/>
      <c r="Y13" s="3005"/>
      <c r="Z13" s="55">
        <f t="shared" si="7"/>
        <v>111</v>
      </c>
      <c r="AA13" s="774">
        <f t="shared" si="3"/>
        <v>1</v>
      </c>
      <c r="AB13" s="774">
        <f t="shared" si="4"/>
        <v>1</v>
      </c>
      <c r="AC13" s="2677">
        <f t="shared" si="5"/>
        <v>1</v>
      </c>
    </row>
    <row r="14" spans="1:29" ht="15.75" thickBot="1">
      <c r="A14" s="437"/>
      <c r="B14" s="2608">
        <v>111</v>
      </c>
      <c r="C14" s="438"/>
      <c r="D14" s="439">
        <v>100</v>
      </c>
      <c r="E14" s="629"/>
      <c r="F14" s="439">
        <f>SUMIF(75:75,E14,76:76)-SUMIF(75:75,C14,76:76)+100</f>
        <v>100</v>
      </c>
      <c r="G14" s="2678"/>
      <c r="H14" s="439">
        <f>SUMIF(75:75,G14,76:76)-SUMIF(75:75,C14,76:76)+100</f>
        <v>100</v>
      </c>
      <c r="I14" s="433"/>
      <c r="J14" s="439">
        <f>SUMIF(75:75,I14,76:76)-SUMIF(75:75,C14,76:76)+100</f>
        <v>100</v>
      </c>
      <c r="K14" s="614"/>
      <c r="L14" s="1144"/>
      <c r="M14" s="1135"/>
      <c r="N14" s="1135"/>
      <c r="O14" s="1135"/>
      <c r="P14" s="3150"/>
      <c r="Q14" s="1800">
        <f t="shared" si="6"/>
        <v>111</v>
      </c>
      <c r="R14" s="771" t="s">
        <v>17</v>
      </c>
      <c r="S14" s="772">
        <f t="shared" si="0"/>
        <v>100</v>
      </c>
      <c r="T14" s="771" t="s">
        <v>17</v>
      </c>
      <c r="U14" s="772">
        <f t="shared" si="1"/>
        <v>100</v>
      </c>
      <c r="V14" s="771" t="s">
        <v>17</v>
      </c>
      <c r="W14" s="772">
        <f t="shared" si="2"/>
        <v>100</v>
      </c>
      <c r="X14" s="773"/>
      <c r="Y14" s="3005"/>
      <c r="Z14" s="55">
        <f t="shared" si="7"/>
        <v>111</v>
      </c>
      <c r="AA14" s="774">
        <f t="shared" si="3"/>
        <v>1</v>
      </c>
      <c r="AB14" s="774">
        <f t="shared" si="4"/>
        <v>1</v>
      </c>
      <c r="AC14" s="2677">
        <f t="shared" si="5"/>
        <v>1</v>
      </c>
    </row>
    <row r="15" spans="1:29" ht="57">
      <c r="A15" s="441" t="s">
        <v>2557</v>
      </c>
      <c r="B15" s="630" t="s">
        <v>2685</v>
      </c>
      <c r="C15" s="2679" t="str">
        <f>估价对象房地状况!C5</f>
        <v>估价对象周边办公楼项目较多，入驻率高，办公集聚程度较好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156" t="s">
        <v>2558</v>
      </c>
      <c r="Q15" s="1815" t="str">
        <f t="shared" si="6"/>
        <v>办公集聚程度</v>
      </c>
      <c r="R15" s="775" t="s">
        <v>17</v>
      </c>
      <c r="S15" s="776">
        <f t="shared" si="0"/>
        <v>100</v>
      </c>
      <c r="T15" s="775" t="s">
        <v>17</v>
      </c>
      <c r="U15" s="776">
        <f t="shared" si="1"/>
        <v>100</v>
      </c>
      <c r="V15" s="775" t="s">
        <v>17</v>
      </c>
      <c r="W15" s="776">
        <f t="shared" si="2"/>
        <v>100</v>
      </c>
      <c r="X15" s="1818"/>
      <c r="Y15" s="3158" t="s">
        <v>2558</v>
      </c>
      <c r="Z15" s="1819" t="str">
        <f t="shared" si="7"/>
        <v>办公集聚程度</v>
      </c>
      <c r="AA15" s="1816">
        <f t="shared" si="3"/>
        <v>1</v>
      </c>
      <c r="AB15" s="1816">
        <f t="shared" si="4"/>
        <v>1</v>
      </c>
      <c r="AC15" s="2680">
        <f t="shared" si="5"/>
        <v>1</v>
      </c>
    </row>
    <row r="16" spans="1:29" ht="15">
      <c r="A16" s="429"/>
      <c r="B16" s="631"/>
      <c r="C16" s="2617" t="s">
        <v>3097</v>
      </c>
      <c r="D16" s="449"/>
      <c r="E16" s="448" t="s">
        <v>3097</v>
      </c>
      <c r="F16" s="449"/>
      <c r="G16" s="2617" t="s">
        <v>3097</v>
      </c>
      <c r="H16" s="451"/>
      <c r="I16" s="448" t="s">
        <v>3097</v>
      </c>
      <c r="J16" s="449"/>
      <c r="K16" s="616"/>
      <c r="L16" s="1144"/>
      <c r="M16" s="1135"/>
      <c r="N16" s="1135"/>
      <c r="O16" s="1135"/>
      <c r="P16" s="3157"/>
      <c r="Q16" s="1815"/>
      <c r="R16" s="775"/>
      <c r="S16" s="776"/>
      <c r="T16" s="775"/>
      <c r="U16" s="776"/>
      <c r="V16" s="775"/>
      <c r="W16" s="776"/>
      <c r="X16" s="1818"/>
      <c r="Y16" s="3159"/>
      <c r="Z16" s="1819"/>
      <c r="AA16" s="1816">
        <v>1</v>
      </c>
      <c r="AB16" s="1816">
        <v>1</v>
      </c>
      <c r="AC16" s="2680">
        <v>1</v>
      </c>
    </row>
    <row r="17" spans="1:29" ht="71.25">
      <c r="A17" s="429"/>
      <c r="B17" s="632" t="s">
        <v>2095</v>
      </c>
      <c r="C17" s="2681" t="str">
        <f>估价对象房地状况!C6</f>
        <v>估价对象周边道路通达、公共交通通达、停车便捷，综合评价交通便捷度较好</v>
      </c>
      <c r="D17" s="451">
        <v>100</v>
      </c>
      <c r="E17" s="455" t="s">
        <v>3123</v>
      </c>
      <c r="F17" s="451">
        <f>SUMIF(79:79,E18,80:80)-SUMIF(79:79,C18,80:80)+100</f>
        <v>102</v>
      </c>
      <c r="G17" s="453" t="s">
        <v>3124</v>
      </c>
      <c r="H17" s="456">
        <f>SUMIF(79:79,G18,80:80)-SUMIF(79:79,C18,80:80)+100</f>
        <v>102</v>
      </c>
      <c r="I17" s="453" t="s">
        <v>3125</v>
      </c>
      <c r="J17" s="456">
        <f>SUMIF(79:79,I18,80:80)-SUMIF(79:79,C18,80:80)+100</f>
        <v>102</v>
      </c>
      <c r="K17" s="615">
        <v>2</v>
      </c>
      <c r="L17" s="1144"/>
      <c r="M17" s="1135"/>
      <c r="N17" s="1135"/>
      <c r="O17" s="1135"/>
      <c r="P17" s="3157"/>
      <c r="Q17" s="1815" t="str">
        <f>B17</f>
        <v>交通便捷度</v>
      </c>
      <c r="R17" s="775" t="s">
        <v>17</v>
      </c>
      <c r="S17" s="776">
        <f>F17</f>
        <v>102</v>
      </c>
      <c r="T17" s="775" t="s">
        <v>17</v>
      </c>
      <c r="U17" s="776">
        <f>H17</f>
        <v>102</v>
      </c>
      <c r="V17" s="775" t="s">
        <v>17</v>
      </c>
      <c r="W17" s="776">
        <f>J17</f>
        <v>102</v>
      </c>
      <c r="X17" s="1818"/>
      <c r="Y17" s="3159"/>
      <c r="Z17" s="1819" t="str">
        <f>Q17</f>
        <v>交通便捷度</v>
      </c>
      <c r="AA17" s="1816">
        <f t="shared" si="3"/>
        <v>0.98039215686274506</v>
      </c>
      <c r="AB17" s="1816">
        <f t="shared" si="4"/>
        <v>0.98039215686274506</v>
      </c>
      <c r="AC17" s="2680">
        <f t="shared" si="5"/>
        <v>0.98039215686274506</v>
      </c>
    </row>
    <row r="18" spans="1:29" ht="15">
      <c r="A18" s="429"/>
      <c r="B18" s="633"/>
      <c r="C18" s="2682" t="s">
        <v>3097</v>
      </c>
      <c r="D18" s="451"/>
      <c r="E18" s="2615" t="s">
        <v>3098</v>
      </c>
      <c r="F18" s="451"/>
      <c r="G18" s="2616" t="s">
        <v>3098</v>
      </c>
      <c r="H18" s="449"/>
      <c r="I18" s="2616" t="s">
        <v>3098</v>
      </c>
      <c r="J18" s="449"/>
      <c r="K18" s="616"/>
      <c r="L18" s="1144"/>
      <c r="M18" s="1135"/>
      <c r="N18" s="1135"/>
      <c r="O18" s="1135"/>
      <c r="P18" s="3157"/>
      <c r="Q18" s="1815"/>
      <c r="R18" s="775"/>
      <c r="S18" s="776"/>
      <c r="T18" s="775"/>
      <c r="U18" s="776"/>
      <c r="V18" s="775"/>
      <c r="W18" s="776"/>
      <c r="X18" s="1818"/>
      <c r="Y18" s="3159"/>
      <c r="Z18" s="1819"/>
      <c r="AA18" s="1816">
        <v>1</v>
      </c>
      <c r="AB18" s="1816">
        <v>1</v>
      </c>
      <c r="AC18" s="2680">
        <v>1</v>
      </c>
    </row>
    <row r="19" spans="1:29" ht="28.5">
      <c r="A19" s="429"/>
      <c r="B19" s="632" t="s">
        <v>2686</v>
      </c>
      <c r="C19" s="2681"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157"/>
      <c r="Q19" s="1815" t="str">
        <f>B19</f>
        <v>公共配套设施</v>
      </c>
      <c r="R19" s="775" t="s">
        <v>17</v>
      </c>
      <c r="S19" s="776">
        <f>F19</f>
        <v>100</v>
      </c>
      <c r="T19" s="775" t="s">
        <v>17</v>
      </c>
      <c r="U19" s="776">
        <f>H19</f>
        <v>100</v>
      </c>
      <c r="V19" s="775" t="s">
        <v>17</v>
      </c>
      <c r="W19" s="776">
        <f>J19</f>
        <v>100</v>
      </c>
      <c r="X19" s="1818"/>
      <c r="Y19" s="3159"/>
      <c r="Z19" s="1819" t="str">
        <f>Q19</f>
        <v>公共配套设施</v>
      </c>
      <c r="AA19" s="1816">
        <f t="shared" si="3"/>
        <v>1</v>
      </c>
      <c r="AB19" s="1816">
        <f t="shared" si="4"/>
        <v>1</v>
      </c>
      <c r="AC19" s="2680">
        <f t="shared" si="5"/>
        <v>1</v>
      </c>
    </row>
    <row r="20" spans="1:29" ht="15">
      <c r="A20" s="429"/>
      <c r="B20" s="633"/>
      <c r="C20" s="2617" t="s">
        <v>3098</v>
      </c>
      <c r="D20" s="449"/>
      <c r="E20" s="2610" t="s">
        <v>3098</v>
      </c>
      <c r="F20" s="449"/>
      <c r="G20" s="2611" t="s">
        <v>3098</v>
      </c>
      <c r="H20" s="449"/>
      <c r="I20" s="2611" t="s">
        <v>3098</v>
      </c>
      <c r="J20" s="449"/>
      <c r="K20" s="616"/>
      <c r="L20" s="1144"/>
      <c r="M20" s="1135"/>
      <c r="N20" s="1135"/>
      <c r="O20" s="1135"/>
      <c r="P20" s="3157"/>
      <c r="Q20" s="1815"/>
      <c r="R20" s="775"/>
      <c r="S20" s="776"/>
      <c r="T20" s="775"/>
      <c r="U20" s="776"/>
      <c r="V20" s="775"/>
      <c r="W20" s="776"/>
      <c r="X20" s="1818"/>
      <c r="Y20" s="3159"/>
      <c r="Z20" s="1819"/>
      <c r="AA20" s="1816">
        <v>1</v>
      </c>
      <c r="AB20" s="1816">
        <v>1</v>
      </c>
      <c r="AC20" s="2680">
        <v>1</v>
      </c>
    </row>
    <row r="21" spans="1:29" ht="42.75">
      <c r="A21" s="429"/>
      <c r="B21" s="634" t="s">
        <v>2687</v>
      </c>
      <c r="C21" s="2681"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157"/>
      <c r="Q21" s="1815" t="str">
        <f>B21</f>
        <v>基础设施水平</v>
      </c>
      <c r="R21" s="775" t="s">
        <v>17</v>
      </c>
      <c r="S21" s="776">
        <f>F21</f>
        <v>100</v>
      </c>
      <c r="T21" s="775" t="s">
        <v>17</v>
      </c>
      <c r="U21" s="776">
        <f>H21</f>
        <v>100</v>
      </c>
      <c r="V21" s="775" t="s">
        <v>17</v>
      </c>
      <c r="W21" s="776">
        <f>J21</f>
        <v>100</v>
      </c>
      <c r="X21" s="1818"/>
      <c r="Y21" s="3159"/>
      <c r="Z21" s="1819" t="str">
        <f>Q21</f>
        <v>基础设施水平</v>
      </c>
      <c r="AA21" s="1816">
        <f t="shared" ref="AA21" si="8">D21/F21</f>
        <v>1</v>
      </c>
      <c r="AB21" s="1816">
        <f t="shared" ref="AB21" si="9">D21/H21</f>
        <v>1</v>
      </c>
      <c r="AC21" s="2680">
        <f t="shared" ref="AC21" si="10">D21/J21</f>
        <v>1</v>
      </c>
    </row>
    <row r="22" spans="1:29" ht="15">
      <c r="A22" s="429"/>
      <c r="B22" s="634"/>
      <c r="C22" s="2682" t="s">
        <v>3078</v>
      </c>
      <c r="D22" s="449"/>
      <c r="E22" s="448" t="s">
        <v>3078</v>
      </c>
      <c r="F22" s="449"/>
      <c r="G22" s="2617" t="s">
        <v>3078</v>
      </c>
      <c r="H22" s="449"/>
      <c r="I22" s="2617" t="s">
        <v>3078</v>
      </c>
      <c r="J22" s="449"/>
      <c r="K22" s="1387"/>
      <c r="L22" s="1144"/>
      <c r="M22" s="1135"/>
      <c r="N22" s="1135"/>
      <c r="O22" s="1135"/>
      <c r="P22" s="3157"/>
      <c r="Q22" s="1815"/>
      <c r="R22" s="775"/>
      <c r="S22" s="776"/>
      <c r="T22" s="775"/>
      <c r="U22" s="776"/>
      <c r="V22" s="775"/>
      <c r="W22" s="776"/>
      <c r="X22" s="1818"/>
      <c r="Y22" s="3159"/>
      <c r="Z22" s="1819"/>
      <c r="AA22" s="1816">
        <v>1</v>
      </c>
      <c r="AB22" s="1816">
        <v>1</v>
      </c>
      <c r="AC22" s="2680">
        <v>1</v>
      </c>
    </row>
    <row r="23" spans="1:29" ht="57">
      <c r="A23" s="429"/>
      <c r="B23" s="632" t="s">
        <v>2688</v>
      </c>
      <c r="C23" s="2681" t="str">
        <f>估价对象房地状况!C9</f>
        <v>区域自然环境较好；人文环境较好；综合评价环境状况较好</v>
      </c>
      <c r="D23" s="451">
        <v>100</v>
      </c>
      <c r="E23" s="2953" t="s">
        <v>3131</v>
      </c>
      <c r="F23" s="451">
        <f>SUMIF(85:85,E24,86:86)-SUMIF(85:85,C24,86:86)+100</f>
        <v>100</v>
      </c>
      <c r="G23" s="2954" t="s">
        <v>3127</v>
      </c>
      <c r="H23" s="451">
        <f>SUMIF(85:85,G24,86:86)-SUMIF(85:85,C24,86:86)+100</f>
        <v>100</v>
      </c>
      <c r="I23" s="2954" t="s">
        <v>3128</v>
      </c>
      <c r="J23" s="451">
        <f>SUMIF(85:85,I24,86:86)-SUMIF(85:85,C24,86:86)+100</f>
        <v>100</v>
      </c>
      <c r="K23" s="615">
        <v>2</v>
      </c>
      <c r="L23" s="1144"/>
      <c r="M23" s="1135"/>
      <c r="N23" s="1135"/>
      <c r="O23" s="1135"/>
      <c r="P23" s="3157"/>
      <c r="Q23" s="1815" t="str">
        <f>B23</f>
        <v>环境质量</v>
      </c>
      <c r="R23" s="775" t="s">
        <v>17</v>
      </c>
      <c r="S23" s="776">
        <f>F23</f>
        <v>100</v>
      </c>
      <c r="T23" s="775" t="s">
        <v>17</v>
      </c>
      <c r="U23" s="776">
        <f>H23</f>
        <v>100</v>
      </c>
      <c r="V23" s="775" t="s">
        <v>17</v>
      </c>
      <c r="W23" s="776">
        <f>J23</f>
        <v>100</v>
      </c>
      <c r="X23" s="1818"/>
      <c r="Y23" s="3159"/>
      <c r="Z23" s="1819" t="str">
        <f>Q23</f>
        <v>环境质量</v>
      </c>
      <c r="AA23" s="1816">
        <f t="shared" si="3"/>
        <v>1</v>
      </c>
      <c r="AB23" s="1816">
        <f t="shared" si="4"/>
        <v>1</v>
      </c>
      <c r="AC23" s="2680">
        <f t="shared" si="5"/>
        <v>1</v>
      </c>
    </row>
    <row r="24" spans="1:29" ht="15">
      <c r="A24" s="429"/>
      <c r="B24" s="634"/>
      <c r="C24" s="2617" t="s">
        <v>3097</v>
      </c>
      <c r="D24" s="449"/>
      <c r="E24" s="2610" t="s">
        <v>3097</v>
      </c>
      <c r="F24" s="449"/>
      <c r="G24" s="2611" t="s">
        <v>3097</v>
      </c>
      <c r="H24" s="449"/>
      <c r="I24" s="2611" t="s">
        <v>3097</v>
      </c>
      <c r="J24" s="449"/>
      <c r="K24" s="616"/>
      <c r="L24" s="1144"/>
      <c r="M24" s="1135"/>
      <c r="N24" s="1135"/>
      <c r="O24" s="1135"/>
      <c r="P24" s="3157"/>
      <c r="Q24" s="1815"/>
      <c r="R24" s="775"/>
      <c r="S24" s="776"/>
      <c r="T24" s="775"/>
      <c r="U24" s="776"/>
      <c r="V24" s="775"/>
      <c r="W24" s="776"/>
      <c r="X24" s="1818"/>
      <c r="Y24" s="3159"/>
      <c r="Z24" s="1819"/>
      <c r="AA24" s="1816">
        <v>1</v>
      </c>
      <c r="AB24" s="1816">
        <v>1</v>
      </c>
      <c r="AC24" s="2680">
        <v>1</v>
      </c>
    </row>
    <row r="25" spans="1:29" ht="27">
      <c r="A25" s="405"/>
      <c r="B25" s="632" t="s">
        <v>2689</v>
      </c>
      <c r="C25" s="2948" t="s">
        <v>3132</v>
      </c>
      <c r="D25" s="436">
        <v>100</v>
      </c>
      <c r="E25" s="2955" t="s">
        <v>3126</v>
      </c>
      <c r="F25" s="436">
        <f>SUMIF(87:87,E26,88:88)-SUMIF(87:87,C26,88:88)+100</f>
        <v>104</v>
      </c>
      <c r="G25" s="2948" t="s">
        <v>3134</v>
      </c>
      <c r="H25" s="436">
        <f>SUMIF(87:87,G26,88:88)-SUMIF(87:87,C26,88:88)+100</f>
        <v>100</v>
      </c>
      <c r="I25" s="2955" t="s">
        <v>3134</v>
      </c>
      <c r="J25" s="436">
        <f>SUMIF(87:87,I26,88:88)-SUMIF(87:87,C26,88:88)+100</f>
        <v>100</v>
      </c>
      <c r="K25" s="615">
        <v>2</v>
      </c>
      <c r="L25" s="1144"/>
      <c r="M25" s="1135"/>
      <c r="N25" s="1135"/>
      <c r="O25" s="1135"/>
      <c r="P25" s="3157"/>
      <c r="Q25" s="1815" t="str">
        <f>B25</f>
        <v>毗邻道路的类型与等级</v>
      </c>
      <c r="R25" s="775" t="s">
        <v>17</v>
      </c>
      <c r="S25" s="776">
        <f>F25</f>
        <v>104</v>
      </c>
      <c r="T25" s="775" t="s">
        <v>17</v>
      </c>
      <c r="U25" s="776">
        <f>H25</f>
        <v>100</v>
      </c>
      <c r="V25" s="775" t="s">
        <v>17</v>
      </c>
      <c r="W25" s="776">
        <f>J25</f>
        <v>100</v>
      </c>
      <c r="X25" s="1818"/>
      <c r="Y25" s="3159"/>
      <c r="Z25" s="1819" t="str">
        <f>Q25</f>
        <v>毗邻道路的类型与等级</v>
      </c>
      <c r="AA25" s="1816">
        <f t="shared" si="3"/>
        <v>0.96153846153846156</v>
      </c>
      <c r="AB25" s="1816">
        <f t="shared" si="4"/>
        <v>1</v>
      </c>
      <c r="AC25" s="2680">
        <f t="shared" si="5"/>
        <v>1</v>
      </c>
    </row>
    <row r="26" spans="1:29" ht="15">
      <c r="A26" s="405"/>
      <c r="B26" s="633"/>
      <c r="C26" s="635" t="s">
        <v>3133</v>
      </c>
      <c r="D26" s="436"/>
      <c r="E26" s="617" t="s">
        <v>3082</v>
      </c>
      <c r="F26" s="436"/>
      <c r="G26" s="635" t="s">
        <v>3133</v>
      </c>
      <c r="H26" s="436"/>
      <c r="I26" s="617" t="s">
        <v>3133</v>
      </c>
      <c r="J26" s="436"/>
      <c r="K26" s="616"/>
      <c r="L26" s="1144"/>
      <c r="M26" s="1135"/>
      <c r="N26" s="1135"/>
      <c r="O26" s="1135"/>
      <c r="P26" s="3157"/>
      <c r="Q26" s="1815"/>
      <c r="R26" s="775"/>
      <c r="S26" s="776"/>
      <c r="T26" s="775"/>
      <c r="U26" s="776"/>
      <c r="V26" s="775"/>
      <c r="W26" s="776"/>
      <c r="X26" s="1818"/>
      <c r="Y26" s="3159"/>
      <c r="Z26" s="1819"/>
      <c r="AA26" s="1816">
        <v>1</v>
      </c>
      <c r="AB26" s="1816">
        <v>1</v>
      </c>
      <c r="AC26" s="2680">
        <v>1</v>
      </c>
    </row>
    <row r="27" spans="1:29" ht="15">
      <c r="A27" s="429"/>
      <c r="B27" s="633" t="s">
        <v>2657</v>
      </c>
      <c r="C27" s="635" t="s">
        <v>3090</v>
      </c>
      <c r="D27" s="436">
        <v>100</v>
      </c>
      <c r="E27" s="617" t="s">
        <v>3088</v>
      </c>
      <c r="F27" s="436">
        <f>SUMIF(89:89,E27,90:90)-SUMIF(89:89,C27,90:90)+100</f>
        <v>102</v>
      </c>
      <c r="G27" s="635" t="s">
        <v>3111</v>
      </c>
      <c r="H27" s="436">
        <f>SUMIF(89:89,G27,90:90)-SUMIF(89:89,C27,90:90)+100</f>
        <v>104</v>
      </c>
      <c r="I27" s="617" t="s">
        <v>3090</v>
      </c>
      <c r="J27" s="436">
        <f>SUMIF(89:89,I27,90:90)-SUMIF(89:89,C27,90:90)+100</f>
        <v>100</v>
      </c>
      <c r="K27" s="2956">
        <v>2</v>
      </c>
      <c r="L27" s="1144"/>
      <c r="M27" s="1135"/>
      <c r="N27" s="1135"/>
      <c r="O27" s="1135"/>
      <c r="P27" s="3157"/>
      <c r="Q27" s="1815" t="str">
        <f t="shared" ref="Q27:Q47" si="11">B27</f>
        <v>楼层</v>
      </c>
      <c r="R27" s="775" t="s">
        <v>17</v>
      </c>
      <c r="S27" s="776">
        <f>F27</f>
        <v>102</v>
      </c>
      <c r="T27" s="775" t="s">
        <v>17</v>
      </c>
      <c r="U27" s="776">
        <f>H27</f>
        <v>104</v>
      </c>
      <c r="V27" s="775" t="s">
        <v>17</v>
      </c>
      <c r="W27" s="776">
        <f>J27</f>
        <v>100</v>
      </c>
      <c r="X27" s="1818"/>
      <c r="Y27" s="3159"/>
      <c r="Z27" s="1819" t="str">
        <f>Q27</f>
        <v>楼层</v>
      </c>
      <c r="AA27" s="1816">
        <f t="shared" si="3"/>
        <v>0.98039215686274506</v>
      </c>
      <c r="AB27" s="1816">
        <f t="shared" si="4"/>
        <v>0.96153846153846156</v>
      </c>
      <c r="AC27" s="2680">
        <f t="shared" si="5"/>
        <v>1</v>
      </c>
    </row>
    <row r="28" spans="1:29" s="117" customFormat="1" ht="15">
      <c r="A28" s="432"/>
      <c r="B28" s="632" t="s">
        <v>2690</v>
      </c>
      <c r="C28" s="2683"/>
      <c r="D28" s="463">
        <v>100</v>
      </c>
      <c r="E28" s="2671"/>
      <c r="F28" s="463">
        <f>SUMIF(91:91,E28,92:92)-SUMIF(91:91,C28,92:92)+100</f>
        <v>100</v>
      </c>
      <c r="G28" s="2683"/>
      <c r="H28" s="463">
        <f>SUMIF(91:91,G28,92:92)-SUMIF(91:91,C28,92:92)+100</f>
        <v>100</v>
      </c>
      <c r="I28" s="2671"/>
      <c r="J28" s="463">
        <f>SUMIF(91:91,I28,92:92)-SUMIF(91:91,C28,92:92)+100</f>
        <v>100</v>
      </c>
      <c r="K28" s="613">
        <v>1</v>
      </c>
      <c r="L28" s="1136"/>
      <c r="M28" s="1137"/>
      <c r="N28" s="1137"/>
      <c r="O28" s="1137"/>
      <c r="P28" s="3157"/>
      <c r="Q28" s="1800" t="str">
        <f t="shared" si="11"/>
        <v>朝向</v>
      </c>
      <c r="R28" s="771" t="s">
        <v>17</v>
      </c>
      <c r="S28" s="772">
        <f>F28</f>
        <v>100</v>
      </c>
      <c r="T28" s="771" t="s">
        <v>17</v>
      </c>
      <c r="U28" s="772">
        <f>H28</f>
        <v>100</v>
      </c>
      <c r="V28" s="771" t="s">
        <v>17</v>
      </c>
      <c r="W28" s="772">
        <f>J28</f>
        <v>100</v>
      </c>
      <c r="X28" s="773"/>
      <c r="Y28" s="3159"/>
      <c r="Z28" s="55" t="str">
        <f>Q28</f>
        <v>朝向</v>
      </c>
      <c r="AA28" s="1816">
        <f>D28/F28</f>
        <v>1</v>
      </c>
      <c r="AB28" s="1816">
        <f>D28/H28</f>
        <v>1</v>
      </c>
      <c r="AC28" s="2680">
        <f>D28/J28</f>
        <v>1</v>
      </c>
    </row>
    <row r="29" spans="1:29" ht="15">
      <c r="A29" s="429"/>
      <c r="B29" s="2684">
        <v>111</v>
      </c>
      <c r="C29" s="2621"/>
      <c r="D29" s="436">
        <v>100</v>
      </c>
      <c r="E29" s="433"/>
      <c r="F29" s="436">
        <f>SUMIF(93:93,E29,94:94)-SUMIF(93:93,C29,94:94)+100</f>
        <v>100</v>
      </c>
      <c r="G29" s="2678"/>
      <c r="H29" s="436">
        <f>SUMIF(93:93,G29,94:94)-SUMIF(93:93,C29,94:94)+100</f>
        <v>100</v>
      </c>
      <c r="I29" s="433"/>
      <c r="J29" s="436">
        <f>SUMIF(93:93,I29,94:94)-SUMIF(93:93,C29,94:94)+100</f>
        <v>100</v>
      </c>
      <c r="K29" s="614"/>
      <c r="L29" s="1144"/>
      <c r="M29" s="1135"/>
      <c r="N29" s="1135"/>
      <c r="O29" s="1135"/>
      <c r="P29" s="3157"/>
      <c r="Q29" s="1815">
        <f t="shared" si="11"/>
        <v>111</v>
      </c>
      <c r="R29" s="775" t="s">
        <v>17</v>
      </c>
      <c r="S29" s="776">
        <f t="shared" ref="S29:S47" si="12">F29</f>
        <v>100</v>
      </c>
      <c r="T29" s="775" t="s">
        <v>17</v>
      </c>
      <c r="U29" s="776">
        <f t="shared" ref="U29:U47" si="13">H29</f>
        <v>100</v>
      </c>
      <c r="V29" s="775" t="s">
        <v>17</v>
      </c>
      <c r="W29" s="776">
        <f t="shared" ref="W29:W47" si="14">J29</f>
        <v>100</v>
      </c>
      <c r="X29" s="1818"/>
      <c r="Y29" s="3159"/>
      <c r="Z29" s="1819">
        <f t="shared" ref="Z29:Z47" si="15">Q29</f>
        <v>111</v>
      </c>
      <c r="AA29" s="1816">
        <f t="shared" si="3"/>
        <v>1</v>
      </c>
      <c r="AB29" s="1816">
        <f t="shared" si="4"/>
        <v>1</v>
      </c>
      <c r="AC29" s="2680">
        <f t="shared" si="5"/>
        <v>1</v>
      </c>
    </row>
    <row r="30" spans="1:29" ht="15">
      <c r="A30" s="429"/>
      <c r="B30" s="2684">
        <v>111</v>
      </c>
      <c r="C30" s="2621"/>
      <c r="D30" s="436">
        <v>100</v>
      </c>
      <c r="E30" s="433"/>
      <c r="F30" s="436">
        <f>SUMIF(95:95,E30,96:96)-SUMIF(95:95,C30,96:96)+100</f>
        <v>100</v>
      </c>
      <c r="G30" s="2678"/>
      <c r="H30" s="436">
        <f>SUMIF(95:95,G30,96:96)-SUMIF(95:95,C30,96:96)+100</f>
        <v>100</v>
      </c>
      <c r="I30" s="433"/>
      <c r="J30" s="436">
        <f>SUMIF(95:95,I30,96:96)-SUMIF(95:95,C30,96:96)+100</f>
        <v>100</v>
      </c>
      <c r="K30" s="614"/>
      <c r="L30" s="1144"/>
      <c r="M30" s="1135"/>
      <c r="N30" s="1135"/>
      <c r="O30" s="1135"/>
      <c r="P30" s="3157"/>
      <c r="Q30" s="1815">
        <f t="shared" si="11"/>
        <v>111</v>
      </c>
      <c r="R30" s="775" t="s">
        <v>17</v>
      </c>
      <c r="S30" s="776">
        <f t="shared" si="12"/>
        <v>100</v>
      </c>
      <c r="T30" s="775" t="s">
        <v>17</v>
      </c>
      <c r="U30" s="776">
        <f t="shared" si="13"/>
        <v>100</v>
      </c>
      <c r="V30" s="775" t="s">
        <v>17</v>
      </c>
      <c r="W30" s="776">
        <f t="shared" si="14"/>
        <v>100</v>
      </c>
      <c r="X30" s="1818"/>
      <c r="Y30" s="3159"/>
      <c r="Z30" s="1819">
        <f t="shared" si="15"/>
        <v>111</v>
      </c>
      <c r="AA30" s="1816">
        <f t="shared" si="3"/>
        <v>1</v>
      </c>
      <c r="AB30" s="1816">
        <f t="shared" si="4"/>
        <v>1</v>
      </c>
      <c r="AC30" s="2680">
        <f t="shared" si="5"/>
        <v>1</v>
      </c>
    </row>
    <row r="31" spans="1:29" ht="15">
      <c r="A31" s="429"/>
      <c r="B31" s="2684">
        <v>111</v>
      </c>
      <c r="C31" s="2621"/>
      <c r="D31" s="436">
        <v>100</v>
      </c>
      <c r="E31" s="433"/>
      <c r="F31" s="436">
        <f>SUMIF(97:97,E31,98:98)-SUMIF(97:97,C31,98:98)+100</f>
        <v>100</v>
      </c>
      <c r="G31" s="2678"/>
      <c r="H31" s="436">
        <f>SUMIF(97:97,G31,98:98)-SUMIF(97:97,C31,98:98)+100</f>
        <v>100</v>
      </c>
      <c r="I31" s="433"/>
      <c r="J31" s="436">
        <f>SUMIF(97:97,I31,98:98)-SUMIF(97:97,C31,98:98)+100</f>
        <v>100</v>
      </c>
      <c r="K31" s="614"/>
      <c r="L31" s="1144"/>
      <c r="M31" s="1135"/>
      <c r="N31" s="1135"/>
      <c r="O31" s="1135"/>
      <c r="P31" s="3157"/>
      <c r="Q31" s="1815">
        <f t="shared" si="11"/>
        <v>111</v>
      </c>
      <c r="R31" s="775" t="s">
        <v>17</v>
      </c>
      <c r="S31" s="776">
        <f t="shared" si="12"/>
        <v>100</v>
      </c>
      <c r="T31" s="775" t="s">
        <v>17</v>
      </c>
      <c r="U31" s="776">
        <f t="shared" si="13"/>
        <v>100</v>
      </c>
      <c r="V31" s="775" t="s">
        <v>17</v>
      </c>
      <c r="W31" s="776">
        <f t="shared" si="14"/>
        <v>100</v>
      </c>
      <c r="X31" s="1818"/>
      <c r="Y31" s="3159"/>
      <c r="Z31" s="1819">
        <f t="shared" si="15"/>
        <v>111</v>
      </c>
      <c r="AA31" s="1816">
        <f t="shared" si="3"/>
        <v>1</v>
      </c>
      <c r="AB31" s="1816">
        <f t="shared" si="4"/>
        <v>1</v>
      </c>
      <c r="AC31" s="2680">
        <f t="shared" si="5"/>
        <v>1</v>
      </c>
    </row>
    <row r="32" spans="1:29" ht="15.75" thickBot="1">
      <c r="A32" s="437"/>
      <c r="B32" s="636">
        <v>111</v>
      </c>
      <c r="C32" s="2622"/>
      <c r="D32" s="439">
        <v>100</v>
      </c>
      <c r="E32" s="629"/>
      <c r="F32" s="439">
        <f>SUMIF(99:99,E32,100:100)-SUMIF(99:99,C32,100:100)+100</f>
        <v>100</v>
      </c>
      <c r="G32" s="2678"/>
      <c r="H32" s="439">
        <f>SUMIF(99:99,G32,100:100)-SUMIF(99:99,C32,100:100)+100</f>
        <v>100</v>
      </c>
      <c r="I32" s="433"/>
      <c r="J32" s="439">
        <f>SUMIF(99:99,I32,100:100)-SUMIF(99:99,C32,100:100)+100</f>
        <v>100</v>
      </c>
      <c r="K32" s="614"/>
      <c r="L32" s="1144"/>
      <c r="M32" s="1135"/>
      <c r="N32" s="1135"/>
      <c r="O32" s="1135"/>
      <c r="P32" s="3157"/>
      <c r="Q32" s="1815">
        <f t="shared" si="11"/>
        <v>111</v>
      </c>
      <c r="R32" s="775" t="s">
        <v>17</v>
      </c>
      <c r="S32" s="776">
        <f t="shared" si="12"/>
        <v>100</v>
      </c>
      <c r="T32" s="775" t="s">
        <v>17</v>
      </c>
      <c r="U32" s="776">
        <f t="shared" si="13"/>
        <v>100</v>
      </c>
      <c r="V32" s="775" t="s">
        <v>17</v>
      </c>
      <c r="W32" s="776">
        <f t="shared" si="14"/>
        <v>100</v>
      </c>
      <c r="X32" s="1818"/>
      <c r="Y32" s="3159"/>
      <c r="Z32" s="1819">
        <f t="shared" si="15"/>
        <v>111</v>
      </c>
      <c r="AA32" s="1816">
        <f t="shared" si="3"/>
        <v>1</v>
      </c>
      <c r="AB32" s="1816">
        <f t="shared" si="4"/>
        <v>1</v>
      </c>
      <c r="AC32" s="2680">
        <f t="shared" si="5"/>
        <v>1</v>
      </c>
    </row>
    <row r="33" spans="1:29" ht="15">
      <c r="A33" s="441" t="s">
        <v>2561</v>
      </c>
      <c r="B33" s="71" t="s">
        <v>2691</v>
      </c>
      <c r="C33" s="2685" t="s">
        <v>3099</v>
      </c>
      <c r="D33" s="468">
        <v>100</v>
      </c>
      <c r="E33" s="2685" t="s">
        <v>3099</v>
      </c>
      <c r="F33" s="462">
        <f>SUMIF(101:101,E33,102:102)-SUMIF(101:101,C33,102:102)+100</f>
        <v>100</v>
      </c>
      <c r="G33" s="2685" t="s">
        <v>3099</v>
      </c>
      <c r="H33" s="436">
        <f>SUMIF(101:101,G33,102:102)-SUMIF(101:101,C33,102:102)+100</f>
        <v>100</v>
      </c>
      <c r="I33" s="2685" t="s">
        <v>3099</v>
      </c>
      <c r="J33" s="468">
        <f>SUMIF(101:101,I33,102:102)-SUMIF(101:101,C33,102:102)+100</f>
        <v>100</v>
      </c>
      <c r="K33" s="613">
        <v>1</v>
      </c>
      <c r="L33" s="1144"/>
      <c r="M33" s="1135"/>
      <c r="N33" s="1135"/>
      <c r="O33" s="1135"/>
      <c r="P33" s="3160" t="s">
        <v>2563</v>
      </c>
      <c r="Q33" s="1815" t="str">
        <f t="shared" si="11"/>
        <v>建筑类型</v>
      </c>
      <c r="R33" s="775" t="s">
        <v>17</v>
      </c>
      <c r="S33" s="776">
        <f t="shared" si="12"/>
        <v>100</v>
      </c>
      <c r="T33" s="775" t="s">
        <v>17</v>
      </c>
      <c r="U33" s="776">
        <f t="shared" si="13"/>
        <v>100</v>
      </c>
      <c r="V33" s="775" t="s">
        <v>17</v>
      </c>
      <c r="W33" s="776">
        <f t="shared" si="14"/>
        <v>100</v>
      </c>
      <c r="X33" s="1818"/>
      <c r="Y33" s="3163" t="s">
        <v>2563</v>
      </c>
      <c r="Z33" s="1819" t="str">
        <f t="shared" si="15"/>
        <v>建筑类型</v>
      </c>
      <c r="AA33" s="1816">
        <f t="shared" si="3"/>
        <v>1</v>
      </c>
      <c r="AB33" s="1816">
        <f t="shared" si="4"/>
        <v>1</v>
      </c>
      <c r="AC33" s="2680">
        <f t="shared" si="5"/>
        <v>1</v>
      </c>
    </row>
    <row r="34" spans="1:29" s="472" customFormat="1" ht="15">
      <c r="A34" s="469"/>
      <c r="B34" s="2960" t="s">
        <v>2564</v>
      </c>
      <c r="C34" s="470">
        <v>898.32</v>
      </c>
      <c r="D34" s="136">
        <v>100</v>
      </c>
      <c r="E34" s="431">
        <v>620</v>
      </c>
      <c r="F34" s="426">
        <f>LOOKUP(E34,104:104,105:105)-LOOKUP(C34,104:104,105:105)+100</f>
        <v>100</v>
      </c>
      <c r="G34" s="430">
        <v>208</v>
      </c>
      <c r="H34" s="136">
        <f>LOOKUP(G34,104:104,105:105)-LOOKUP(C34,104:104,105:105)+100</f>
        <v>100</v>
      </c>
      <c r="I34" s="430">
        <v>573</v>
      </c>
      <c r="J34" s="136">
        <f>LOOKUP(I34,104:104,105:105)-LOOKUP(C34,104:104,105:105)+100</f>
        <v>101</v>
      </c>
      <c r="K34" s="614"/>
      <c r="L34" s="1142"/>
      <c r="M34" s="1145"/>
      <c r="N34" s="1145"/>
      <c r="O34" s="1145"/>
      <c r="P34" s="3161"/>
      <c r="Q34" s="777" t="str">
        <f t="shared" si="11"/>
        <v>项目建筑规模</v>
      </c>
      <c r="R34" s="778" t="s">
        <v>17</v>
      </c>
      <c r="S34" s="779">
        <f t="shared" si="12"/>
        <v>100</v>
      </c>
      <c r="T34" s="778" t="s">
        <v>17</v>
      </c>
      <c r="U34" s="779">
        <f t="shared" si="13"/>
        <v>100</v>
      </c>
      <c r="V34" s="778" t="s">
        <v>17</v>
      </c>
      <c r="W34" s="779">
        <f t="shared" si="14"/>
        <v>101</v>
      </c>
      <c r="X34" s="780"/>
      <c r="Y34" s="3163"/>
      <c r="Z34" s="781" t="str">
        <f t="shared" si="15"/>
        <v>项目建筑规模</v>
      </c>
      <c r="AA34" s="1816">
        <f t="shared" si="3"/>
        <v>1</v>
      </c>
      <c r="AB34" s="1816">
        <f t="shared" si="4"/>
        <v>1</v>
      </c>
      <c r="AC34" s="2680">
        <f t="shared" si="5"/>
        <v>0.99009900990099009</v>
      </c>
    </row>
    <row r="35" spans="1:29" ht="15">
      <c r="A35" s="473"/>
      <c r="B35" s="423" t="s">
        <v>2565</v>
      </c>
      <c r="C35" s="461" t="s">
        <v>3065</v>
      </c>
      <c r="D35" s="436">
        <v>100</v>
      </c>
      <c r="E35" s="461" t="s">
        <v>3065</v>
      </c>
      <c r="F35" s="462">
        <f>SUMIF(106:106,E35,107:107)-SUMIF(106:106,C35,107:107)+100</f>
        <v>100</v>
      </c>
      <c r="G35" s="461" t="s">
        <v>3065</v>
      </c>
      <c r="H35" s="436">
        <f>SUMIF(106:106,G35,107:107)-SUMIF(106:106,C35,107:107)+100</f>
        <v>100</v>
      </c>
      <c r="I35" s="461" t="s">
        <v>3065</v>
      </c>
      <c r="J35" s="436">
        <f>SUMIF(106:106,I35,107:107)-SUMIF(106:106,C35,107:107)+100</f>
        <v>100</v>
      </c>
      <c r="K35" s="613">
        <v>2</v>
      </c>
      <c r="L35" s="1144"/>
      <c r="M35" s="1135"/>
      <c r="N35" s="1135"/>
      <c r="O35" s="1135"/>
      <c r="P35" s="3161"/>
      <c r="Q35" s="1815" t="str">
        <f t="shared" si="11"/>
        <v>建筑结构</v>
      </c>
      <c r="R35" s="775" t="s">
        <v>17</v>
      </c>
      <c r="S35" s="776">
        <f t="shared" si="12"/>
        <v>100</v>
      </c>
      <c r="T35" s="775" t="s">
        <v>17</v>
      </c>
      <c r="U35" s="776">
        <f t="shared" si="13"/>
        <v>100</v>
      </c>
      <c r="V35" s="775" t="s">
        <v>17</v>
      </c>
      <c r="W35" s="776">
        <f t="shared" si="14"/>
        <v>100</v>
      </c>
      <c r="X35" s="1818"/>
      <c r="Y35" s="3163"/>
      <c r="Z35" s="1819" t="str">
        <f t="shared" si="15"/>
        <v>建筑结构</v>
      </c>
      <c r="AA35" s="1816">
        <f t="shared" si="3"/>
        <v>1</v>
      </c>
      <c r="AB35" s="1816">
        <f t="shared" si="4"/>
        <v>1</v>
      </c>
      <c r="AC35" s="2680">
        <f t="shared" si="5"/>
        <v>1</v>
      </c>
    </row>
    <row r="36" spans="1:29" ht="15">
      <c r="A36" s="473"/>
      <c r="B36" s="423" t="s">
        <v>2659</v>
      </c>
      <c r="C36" s="461" t="s">
        <v>3068</v>
      </c>
      <c r="D36" s="436">
        <v>100</v>
      </c>
      <c r="E36" s="461" t="s">
        <v>3068</v>
      </c>
      <c r="F36" s="462">
        <f>SUMIF(108:108,E36,109:109)-SUMIF(108:108,C36,109:109)+100</f>
        <v>100</v>
      </c>
      <c r="G36" s="461" t="s">
        <v>3068</v>
      </c>
      <c r="H36" s="436">
        <f>SUMIF(108:108,G36,109:109)-SUMIF(108:108,C36,109:109)+100</f>
        <v>100</v>
      </c>
      <c r="I36" s="461" t="s">
        <v>3068</v>
      </c>
      <c r="J36" s="436">
        <f>SUMIF(108:108,I36,109:109)-SUMIF(108:108,C36,109:109)+100</f>
        <v>100</v>
      </c>
      <c r="K36" s="613">
        <v>1</v>
      </c>
      <c r="L36" s="1144"/>
      <c r="M36" s="1135"/>
      <c r="N36" s="1135"/>
      <c r="O36" s="1135"/>
      <c r="P36" s="3161"/>
      <c r="Q36" s="1815" t="str">
        <f t="shared" si="11"/>
        <v>公共部分装修</v>
      </c>
      <c r="R36" s="775" t="s">
        <v>17</v>
      </c>
      <c r="S36" s="776">
        <f t="shared" si="12"/>
        <v>100</v>
      </c>
      <c r="T36" s="775" t="s">
        <v>17</v>
      </c>
      <c r="U36" s="776">
        <f t="shared" si="13"/>
        <v>100</v>
      </c>
      <c r="V36" s="775" t="s">
        <v>17</v>
      </c>
      <c r="W36" s="776">
        <f t="shared" si="14"/>
        <v>100</v>
      </c>
      <c r="X36" s="1818"/>
      <c r="Y36" s="3163"/>
      <c r="Z36" s="1819" t="str">
        <f t="shared" si="15"/>
        <v>公共部分装修</v>
      </c>
      <c r="AA36" s="1816">
        <f t="shared" si="3"/>
        <v>1</v>
      </c>
      <c r="AB36" s="1816">
        <f t="shared" si="4"/>
        <v>1</v>
      </c>
      <c r="AC36" s="2680">
        <f t="shared" si="5"/>
        <v>1</v>
      </c>
    </row>
    <row r="37" spans="1:29" ht="15">
      <c r="A37" s="473"/>
      <c r="B37" s="423" t="s">
        <v>2660</v>
      </c>
      <c r="C37" s="475">
        <v>0.88</v>
      </c>
      <c r="D37" s="436">
        <v>100</v>
      </c>
      <c r="E37" s="475">
        <v>0.7</v>
      </c>
      <c r="F37" s="462">
        <f>LOOKUP(E37,111:111,112:112)-LOOKUP(C37,111:111,112:112)+100</f>
        <v>99</v>
      </c>
      <c r="G37" s="475">
        <v>0.7</v>
      </c>
      <c r="H37" s="462">
        <f>LOOKUP(G37,111:111,112:112)-LOOKUP(C37,111:111,112:112)+100</f>
        <v>99</v>
      </c>
      <c r="I37" s="475">
        <v>0.85</v>
      </c>
      <c r="J37" s="436">
        <f>LOOKUP(I37,111:111,112:112)-LOOKUP(C37,111:111,112:112)+100</f>
        <v>100</v>
      </c>
      <c r="K37" s="613">
        <v>1</v>
      </c>
      <c r="L37" s="1144"/>
      <c r="M37" s="1135"/>
      <c r="N37" s="1135"/>
      <c r="O37" s="1135"/>
      <c r="P37" s="3161"/>
      <c r="Q37" s="1815" t="str">
        <f t="shared" si="11"/>
        <v>成新度</v>
      </c>
      <c r="R37" s="775" t="s">
        <v>17</v>
      </c>
      <c r="S37" s="776">
        <f t="shared" si="12"/>
        <v>99</v>
      </c>
      <c r="T37" s="775" t="s">
        <v>17</v>
      </c>
      <c r="U37" s="776">
        <f t="shared" si="13"/>
        <v>99</v>
      </c>
      <c r="V37" s="775" t="s">
        <v>17</v>
      </c>
      <c r="W37" s="776">
        <f t="shared" si="14"/>
        <v>100</v>
      </c>
      <c r="X37" s="1818"/>
      <c r="Y37" s="3163"/>
      <c r="Z37" s="1819" t="str">
        <f t="shared" si="15"/>
        <v>成新度</v>
      </c>
      <c r="AA37" s="1816">
        <f t="shared" si="3"/>
        <v>1.0101010101010102</v>
      </c>
      <c r="AB37" s="1816">
        <f t="shared" si="4"/>
        <v>1.0101010101010102</v>
      </c>
      <c r="AC37" s="2680">
        <f t="shared" si="5"/>
        <v>1</v>
      </c>
    </row>
    <row r="38" spans="1:29" s="117" customFormat="1" ht="15">
      <c r="A38" s="474"/>
      <c r="B38" s="423" t="s">
        <v>2692</v>
      </c>
      <c r="C38" s="461" t="s">
        <v>3072</v>
      </c>
      <c r="D38" s="136">
        <v>100</v>
      </c>
      <c r="E38" s="461" t="s">
        <v>3072</v>
      </c>
      <c r="F38" s="462">
        <f>SUMIF(113:113,E38,114:114)-SUMIF(113:113,C38,114:114)+100</f>
        <v>100</v>
      </c>
      <c r="G38" s="461" t="s">
        <v>3072</v>
      </c>
      <c r="H38" s="436">
        <f>SUMIF(113:113,G38,114:114)-SUMIF(113:113,C38,114:114)+100</f>
        <v>100</v>
      </c>
      <c r="I38" s="461" t="s">
        <v>3072</v>
      </c>
      <c r="J38" s="436">
        <f>SUMIF(113:113,I38,114:114)-SUMIF(113:113,C38,114:114)+100</f>
        <v>100</v>
      </c>
      <c r="K38" s="613">
        <v>2</v>
      </c>
      <c r="L38" s="1136"/>
      <c r="M38" s="1137"/>
      <c r="N38" s="1137"/>
      <c r="O38" s="1137"/>
      <c r="P38" s="3161"/>
      <c r="Q38" s="1800" t="str">
        <f t="shared" si="11"/>
        <v>写字楼等级</v>
      </c>
      <c r="R38" s="771" t="s">
        <v>17</v>
      </c>
      <c r="S38" s="772">
        <f t="shared" si="12"/>
        <v>100</v>
      </c>
      <c r="T38" s="771" t="s">
        <v>17</v>
      </c>
      <c r="U38" s="772">
        <f t="shared" si="13"/>
        <v>100</v>
      </c>
      <c r="V38" s="771" t="s">
        <v>17</v>
      </c>
      <c r="W38" s="772">
        <f t="shared" si="14"/>
        <v>100</v>
      </c>
      <c r="X38" s="773"/>
      <c r="Y38" s="3163"/>
      <c r="Z38" s="55" t="str">
        <f t="shared" si="15"/>
        <v>写字楼等级</v>
      </c>
      <c r="AA38" s="774">
        <f t="shared" si="3"/>
        <v>1</v>
      </c>
      <c r="AB38" s="774">
        <f t="shared" si="4"/>
        <v>1</v>
      </c>
      <c r="AC38" s="2677">
        <f t="shared" si="5"/>
        <v>1</v>
      </c>
    </row>
    <row r="39" spans="1:29" ht="15">
      <c r="A39" s="473"/>
      <c r="B39" s="423" t="s">
        <v>2693</v>
      </c>
      <c r="C39" s="461" t="s">
        <v>3076</v>
      </c>
      <c r="D39" s="436">
        <v>100</v>
      </c>
      <c r="E39" s="461" t="s">
        <v>3076</v>
      </c>
      <c r="F39" s="462">
        <f>SUMIF(115:115,E39,116:116)-SUMIF(115:115,C39,116:116)+100</f>
        <v>100</v>
      </c>
      <c r="G39" s="461" t="s">
        <v>3076</v>
      </c>
      <c r="H39" s="436">
        <f>SUMIF(115:115,G39,116:116)-SUMIF(115:115,C39,116:116)+100</f>
        <v>100</v>
      </c>
      <c r="I39" s="461" t="s">
        <v>3076</v>
      </c>
      <c r="J39" s="436">
        <f>SUMIF(115:115,I39,116:116)-SUMIF(115:115,C39,116:116)+100</f>
        <v>100</v>
      </c>
      <c r="K39" s="613">
        <v>2</v>
      </c>
      <c r="L39" s="1144"/>
      <c r="M39" s="1135"/>
      <c r="N39" s="1135"/>
      <c r="O39" s="1135"/>
      <c r="P39" s="3161" t="s">
        <v>2563</v>
      </c>
      <c r="Q39" s="1815" t="str">
        <f t="shared" si="11"/>
        <v>物业管理</v>
      </c>
      <c r="R39" s="775" t="s">
        <v>17</v>
      </c>
      <c r="S39" s="776">
        <f t="shared" si="12"/>
        <v>100</v>
      </c>
      <c r="T39" s="775" t="s">
        <v>17</v>
      </c>
      <c r="U39" s="776">
        <f t="shared" si="13"/>
        <v>100</v>
      </c>
      <c r="V39" s="775" t="s">
        <v>17</v>
      </c>
      <c r="W39" s="776">
        <f t="shared" si="14"/>
        <v>100</v>
      </c>
      <c r="X39" s="1818"/>
      <c r="Y39" s="3163" t="s">
        <v>2563</v>
      </c>
      <c r="Z39" s="1819" t="str">
        <f t="shared" si="15"/>
        <v>物业管理</v>
      </c>
      <c r="AA39" s="1816">
        <f t="shared" si="3"/>
        <v>1</v>
      </c>
      <c r="AB39" s="1816">
        <f t="shared" si="4"/>
        <v>1</v>
      </c>
      <c r="AC39" s="2680">
        <f t="shared" si="5"/>
        <v>1</v>
      </c>
    </row>
    <row r="40" spans="1:29" ht="15">
      <c r="A40" s="473"/>
      <c r="B40" s="423" t="s">
        <v>2661</v>
      </c>
      <c r="C40" s="461" t="s">
        <v>3078</v>
      </c>
      <c r="D40" s="436">
        <v>100</v>
      </c>
      <c r="E40" s="461" t="s">
        <v>3078</v>
      </c>
      <c r="F40" s="462">
        <f>SUMIF(117:117,E40,118:118)-SUMIF(117:117,C40,118:118)+100</f>
        <v>100</v>
      </c>
      <c r="G40" s="461" t="s">
        <v>3078</v>
      </c>
      <c r="H40" s="436">
        <f>SUMIF(117:117,G40,118:118)-SUMIF(117:117,C40,118:118)+100</f>
        <v>100</v>
      </c>
      <c r="I40" s="461" t="s">
        <v>3078</v>
      </c>
      <c r="J40" s="436">
        <f>SUMIF(117:117,I40,118:118)-SUMIF(117:117,C40,118:118)+100</f>
        <v>100</v>
      </c>
      <c r="K40" s="613">
        <v>1</v>
      </c>
      <c r="L40" s="1144"/>
      <c r="M40" s="1135"/>
      <c r="N40" s="1135"/>
      <c r="O40" s="1135"/>
      <c r="P40" s="3161"/>
      <c r="Q40" s="1815" t="str">
        <f t="shared" si="11"/>
        <v>市政基础设施</v>
      </c>
      <c r="R40" s="775" t="s">
        <v>17</v>
      </c>
      <c r="S40" s="776">
        <f t="shared" si="12"/>
        <v>100</v>
      </c>
      <c r="T40" s="775" t="s">
        <v>17</v>
      </c>
      <c r="U40" s="776">
        <f t="shared" si="13"/>
        <v>100</v>
      </c>
      <c r="V40" s="775" t="s">
        <v>17</v>
      </c>
      <c r="W40" s="776">
        <f t="shared" si="14"/>
        <v>100</v>
      </c>
      <c r="X40" s="1818"/>
      <c r="Y40" s="3163"/>
      <c r="Z40" s="1819" t="str">
        <f t="shared" si="15"/>
        <v>市政基础设施</v>
      </c>
      <c r="AA40" s="1816">
        <f t="shared" si="3"/>
        <v>1</v>
      </c>
      <c r="AB40" s="1816">
        <f t="shared" si="4"/>
        <v>1</v>
      </c>
      <c r="AC40" s="2680">
        <f t="shared" si="5"/>
        <v>1</v>
      </c>
    </row>
    <row r="41" spans="1:29" ht="15">
      <c r="A41" s="473"/>
      <c r="B41" s="423" t="s">
        <v>2663</v>
      </c>
      <c r="C41" s="617" t="s">
        <v>3101</v>
      </c>
      <c r="D41" s="436">
        <v>100</v>
      </c>
      <c r="E41" s="617" t="s">
        <v>3101</v>
      </c>
      <c r="F41" s="462">
        <f>SUMIF(119:119,E41,120:120)-SUMIF(119:119,C41,120:120)+100</f>
        <v>100</v>
      </c>
      <c r="G41" s="617" t="s">
        <v>3101</v>
      </c>
      <c r="H41" s="436">
        <f>SUMIF(119:119,G41,120:120)-SUMIF(119:119,C41,120:120)+100</f>
        <v>100</v>
      </c>
      <c r="I41" s="617" t="s">
        <v>3101</v>
      </c>
      <c r="J41" s="436">
        <f>SUMIF(119:119,I41,120:120)-SUMIF(119:119,C41,120:120)+100</f>
        <v>100</v>
      </c>
      <c r="K41" s="613">
        <v>1</v>
      </c>
      <c r="L41" s="1144"/>
      <c r="M41" s="1135"/>
      <c r="N41" s="1135"/>
      <c r="O41" s="1135"/>
      <c r="P41" s="3161"/>
      <c r="Q41" s="1815" t="str">
        <f t="shared" si="11"/>
        <v>层高</v>
      </c>
      <c r="R41" s="775" t="s">
        <v>17</v>
      </c>
      <c r="S41" s="776">
        <f t="shared" si="12"/>
        <v>100</v>
      </c>
      <c r="T41" s="775" t="s">
        <v>17</v>
      </c>
      <c r="U41" s="776">
        <f t="shared" si="13"/>
        <v>100</v>
      </c>
      <c r="V41" s="775" t="s">
        <v>17</v>
      </c>
      <c r="W41" s="776">
        <f t="shared" si="14"/>
        <v>100</v>
      </c>
      <c r="X41" s="1818"/>
      <c r="Y41" s="3163"/>
      <c r="Z41" s="1819" t="str">
        <f t="shared" si="15"/>
        <v>层高</v>
      </c>
      <c r="AA41" s="1816">
        <f t="shared" si="3"/>
        <v>1</v>
      </c>
      <c r="AB41" s="1816">
        <f t="shared" si="4"/>
        <v>1</v>
      </c>
      <c r="AC41" s="2680">
        <f t="shared" si="5"/>
        <v>1</v>
      </c>
    </row>
    <row r="42" spans="1:29" s="472" customFormat="1" ht="15">
      <c r="A42" s="469"/>
      <c r="B42" s="1817" t="s">
        <v>2694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161"/>
      <c r="Q42" s="777" t="str">
        <f t="shared" si="11"/>
        <v>单套建筑面积</v>
      </c>
      <c r="R42" s="778" t="s">
        <v>17</v>
      </c>
      <c r="S42" s="779">
        <f t="shared" si="12"/>
        <v>100</v>
      </c>
      <c r="T42" s="778" t="s">
        <v>17</v>
      </c>
      <c r="U42" s="779">
        <f t="shared" si="13"/>
        <v>100</v>
      </c>
      <c r="V42" s="778" t="s">
        <v>17</v>
      </c>
      <c r="W42" s="779">
        <f t="shared" si="14"/>
        <v>100</v>
      </c>
      <c r="X42" s="780"/>
      <c r="Y42" s="3163"/>
      <c r="Z42" s="781" t="str">
        <f t="shared" si="15"/>
        <v>单套建筑面积</v>
      </c>
      <c r="AA42" s="1816">
        <f t="shared" si="3"/>
        <v>1</v>
      </c>
      <c r="AB42" s="1816">
        <f t="shared" si="4"/>
        <v>1</v>
      </c>
      <c r="AC42" s="2680">
        <f t="shared" si="5"/>
        <v>1</v>
      </c>
    </row>
    <row r="43" spans="1:29" ht="15">
      <c r="A43" s="473"/>
      <c r="B43" s="423" t="s">
        <v>2666</v>
      </c>
      <c r="C43" s="461" t="s">
        <v>3068</v>
      </c>
      <c r="D43" s="436">
        <v>100</v>
      </c>
      <c r="E43" s="461" t="s">
        <v>3068</v>
      </c>
      <c r="F43" s="462">
        <f>SUMIF(123:123,E43,124:124)-SUMIF(123:123,C43,124:124)+100</f>
        <v>100</v>
      </c>
      <c r="G43" s="461" t="s">
        <v>3068</v>
      </c>
      <c r="H43" s="436">
        <f>SUMIF(123:123,G43,124:124)-SUMIF(123:123,C43,124:124)+100</f>
        <v>100</v>
      </c>
      <c r="I43" s="461" t="s">
        <v>3068</v>
      </c>
      <c r="J43" s="436">
        <f>SUMIF(123:123,I43,124:124)-SUMIF(123:123,C43,124:124)+100</f>
        <v>100</v>
      </c>
      <c r="K43" s="613">
        <v>1</v>
      </c>
      <c r="L43" s="1144"/>
      <c r="M43" s="1135"/>
      <c r="N43" s="1135"/>
      <c r="O43" s="1135"/>
      <c r="P43" s="3161"/>
      <c r="Q43" s="1815" t="str">
        <f t="shared" si="11"/>
        <v>内部装修</v>
      </c>
      <c r="R43" s="775" t="s">
        <v>17</v>
      </c>
      <c r="S43" s="776">
        <f t="shared" si="12"/>
        <v>100</v>
      </c>
      <c r="T43" s="775" t="s">
        <v>17</v>
      </c>
      <c r="U43" s="776">
        <f t="shared" si="13"/>
        <v>100</v>
      </c>
      <c r="V43" s="775" t="s">
        <v>17</v>
      </c>
      <c r="W43" s="776">
        <f t="shared" si="14"/>
        <v>100</v>
      </c>
      <c r="X43" s="1818"/>
      <c r="Y43" s="3163"/>
      <c r="Z43" s="1819" t="str">
        <f t="shared" si="15"/>
        <v>内部装修</v>
      </c>
      <c r="AA43" s="1816">
        <f t="shared" si="3"/>
        <v>1</v>
      </c>
      <c r="AB43" s="1816">
        <f t="shared" si="4"/>
        <v>1</v>
      </c>
      <c r="AC43" s="2680">
        <f t="shared" si="5"/>
        <v>1</v>
      </c>
    </row>
    <row r="44" spans="1:29" ht="15">
      <c r="A44" s="473"/>
      <c r="B44" s="423" t="s">
        <v>2574</v>
      </c>
      <c r="C44" s="461" t="s">
        <v>3097</v>
      </c>
      <c r="D44" s="436">
        <v>100</v>
      </c>
      <c r="E44" s="2619" t="s">
        <v>3097</v>
      </c>
      <c r="F44" s="462">
        <f>SUMIF(125:125,E44,126:126)-SUMIF(125:125,C44,126:126)+100</f>
        <v>100</v>
      </c>
      <c r="G44" s="2619" t="s">
        <v>3097</v>
      </c>
      <c r="H44" s="436">
        <f>SUMIF(125:125,G44,126:126)-SUMIF(125:125,C44,126:126)+100</f>
        <v>100</v>
      </c>
      <c r="I44" s="2619" t="s">
        <v>3097</v>
      </c>
      <c r="J44" s="436">
        <f>SUMIF(125:125,I44,126:126)-SUMIF(125:125,C44,126:126)+100</f>
        <v>100</v>
      </c>
      <c r="K44" s="613">
        <v>2</v>
      </c>
      <c r="L44" s="1144"/>
      <c r="M44" s="1135"/>
      <c r="N44" s="1135"/>
      <c r="O44" s="1135"/>
      <c r="P44" s="3161"/>
      <c r="Q44" s="1815" t="str">
        <f t="shared" si="11"/>
        <v>内部装修维护情况</v>
      </c>
      <c r="R44" s="775" t="s">
        <v>17</v>
      </c>
      <c r="S44" s="776">
        <f t="shared" si="12"/>
        <v>100</v>
      </c>
      <c r="T44" s="775" t="s">
        <v>17</v>
      </c>
      <c r="U44" s="776">
        <f t="shared" si="13"/>
        <v>100</v>
      </c>
      <c r="V44" s="775" t="s">
        <v>17</v>
      </c>
      <c r="W44" s="776">
        <f t="shared" si="14"/>
        <v>100</v>
      </c>
      <c r="X44" s="1818"/>
      <c r="Y44" s="3163"/>
      <c r="Z44" s="1819" t="str">
        <f t="shared" si="15"/>
        <v>内部装修维护情况</v>
      </c>
      <c r="AA44" s="1816">
        <f t="shared" si="3"/>
        <v>1</v>
      </c>
      <c r="AB44" s="1816">
        <f t="shared" si="4"/>
        <v>1</v>
      </c>
      <c r="AC44" s="2680">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161"/>
      <c r="Q45" s="1800">
        <f t="shared" si="11"/>
        <v>111</v>
      </c>
      <c r="R45" s="771" t="s">
        <v>17</v>
      </c>
      <c r="S45" s="772">
        <f t="shared" si="12"/>
        <v>100</v>
      </c>
      <c r="T45" s="771" t="s">
        <v>17</v>
      </c>
      <c r="U45" s="772">
        <f t="shared" si="13"/>
        <v>100</v>
      </c>
      <c r="V45" s="771" t="s">
        <v>17</v>
      </c>
      <c r="W45" s="772">
        <f t="shared" si="14"/>
        <v>100</v>
      </c>
      <c r="X45" s="773"/>
      <c r="Y45" s="3163"/>
      <c r="Z45" s="55">
        <f t="shared" si="15"/>
        <v>111</v>
      </c>
      <c r="AA45" s="774">
        <f t="shared" si="3"/>
        <v>1</v>
      </c>
      <c r="AB45" s="774">
        <f t="shared" si="4"/>
        <v>1</v>
      </c>
      <c r="AC45" s="2677">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161"/>
      <c r="Q46" s="1815">
        <f t="shared" si="11"/>
        <v>111</v>
      </c>
      <c r="R46" s="775" t="s">
        <v>17</v>
      </c>
      <c r="S46" s="776">
        <f t="shared" si="12"/>
        <v>100</v>
      </c>
      <c r="T46" s="775" t="s">
        <v>17</v>
      </c>
      <c r="U46" s="776">
        <f t="shared" si="13"/>
        <v>100</v>
      </c>
      <c r="V46" s="775" t="s">
        <v>17</v>
      </c>
      <c r="W46" s="776">
        <f t="shared" si="14"/>
        <v>100</v>
      </c>
      <c r="X46" s="1818"/>
      <c r="Y46" s="3163"/>
      <c r="Z46" s="1819">
        <f t="shared" si="15"/>
        <v>111</v>
      </c>
      <c r="AA46" s="1816">
        <f t="shared" si="3"/>
        <v>1</v>
      </c>
      <c r="AB46" s="1816">
        <f t="shared" si="4"/>
        <v>1</v>
      </c>
      <c r="AC46" s="2680">
        <f t="shared" si="5"/>
        <v>1</v>
      </c>
    </row>
    <row r="47" spans="1:29" ht="15.75" thickBot="1">
      <c r="A47" s="479"/>
      <c r="B47" s="2608">
        <v>111</v>
      </c>
      <c r="C47" s="438">
        <v>2010</v>
      </c>
      <c r="D47" s="439">
        <v>100</v>
      </c>
      <c r="E47" s="433">
        <v>1992</v>
      </c>
      <c r="F47" s="440">
        <f>SUMIF(131:131,E47,132:132)-SUMIF(131:131,C47,132:132)+100</f>
        <v>100</v>
      </c>
      <c r="G47" s="433">
        <v>1999</v>
      </c>
      <c r="H47" s="439">
        <f>SUMIF(131:131,G47,132:132)-SUMIF(131:131,C47,132:132)+100</f>
        <v>100</v>
      </c>
      <c r="I47" s="433">
        <v>2008</v>
      </c>
      <c r="J47" s="439">
        <f>SUMIF(131:131,I47,132:132)-SUMIF(131:131,C47,132:132)+100</f>
        <v>100</v>
      </c>
      <c r="K47" s="614"/>
      <c r="L47" s="1144"/>
      <c r="M47" s="1135"/>
      <c r="N47" s="1135"/>
      <c r="O47" s="1135"/>
      <c r="P47" s="3162"/>
      <c r="Q47" s="1815">
        <f t="shared" si="11"/>
        <v>111</v>
      </c>
      <c r="R47" s="775" t="s">
        <v>17</v>
      </c>
      <c r="S47" s="776">
        <f t="shared" si="12"/>
        <v>100</v>
      </c>
      <c r="T47" s="775" t="s">
        <v>17</v>
      </c>
      <c r="U47" s="776">
        <f t="shared" si="13"/>
        <v>100</v>
      </c>
      <c r="V47" s="775" t="s">
        <v>17</v>
      </c>
      <c r="W47" s="776">
        <f t="shared" si="14"/>
        <v>100</v>
      </c>
      <c r="X47" s="1818"/>
      <c r="Y47" s="3164"/>
      <c r="Z47" s="1819">
        <f t="shared" si="15"/>
        <v>111</v>
      </c>
      <c r="AA47" s="1816">
        <f t="shared" si="3"/>
        <v>1</v>
      </c>
      <c r="AB47" s="1816">
        <f t="shared" si="4"/>
        <v>1</v>
      </c>
      <c r="AC47" s="2680">
        <f t="shared" si="5"/>
        <v>1</v>
      </c>
    </row>
    <row r="48" spans="1:29" ht="15">
      <c r="A48" s="480" t="s">
        <v>2575</v>
      </c>
      <c r="B48" s="481"/>
      <c r="C48" s="1411" t="s">
        <v>1</v>
      </c>
      <c r="D48" s="1412"/>
      <c r="E48" s="1413">
        <v>55000</v>
      </c>
      <c r="F48" s="1414"/>
      <c r="G48" s="1415">
        <v>47000</v>
      </c>
      <c r="H48" s="1416"/>
      <c r="I48" s="1413">
        <v>55000</v>
      </c>
      <c r="J48" s="486"/>
      <c r="K48" s="784"/>
      <c r="L48" s="1147"/>
      <c r="M48" s="1135"/>
      <c r="N48" s="1135"/>
      <c r="O48" s="1135"/>
      <c r="P48" s="3150" t="str">
        <f>A48</f>
        <v>成交单价（元/平方米）</v>
      </c>
      <c r="Q48" s="3151"/>
      <c r="R48" s="3152">
        <f>E48</f>
        <v>55000</v>
      </c>
      <c r="S48" s="3152"/>
      <c r="T48" s="3152">
        <f>G48</f>
        <v>47000</v>
      </c>
      <c r="U48" s="3152"/>
      <c r="V48" s="3152">
        <f>I48</f>
        <v>55000</v>
      </c>
      <c r="W48" s="3152"/>
      <c r="X48" s="447"/>
      <c r="Y48" s="782"/>
      <c r="Z48" s="447"/>
      <c r="AA48" s="447"/>
      <c r="AB48" s="447"/>
      <c r="AC48" s="631"/>
    </row>
    <row r="49" spans="1:29" ht="15.75" thickBot="1">
      <c r="A49" s="487" t="s">
        <v>2667</v>
      </c>
      <c r="B49" s="488"/>
      <c r="C49" s="1417">
        <f>R50</f>
        <v>50152</v>
      </c>
      <c r="D49" s="1418"/>
      <c r="E49" s="1419">
        <f>R49</f>
        <v>51863</v>
      </c>
      <c r="F49" s="1419"/>
      <c r="G49" s="1417">
        <f>T49</f>
        <v>45206</v>
      </c>
      <c r="H49" s="1418"/>
      <c r="I49" s="1419">
        <f>V49</f>
        <v>53388</v>
      </c>
      <c r="J49" s="490"/>
      <c r="K49" s="785"/>
      <c r="L49" s="1147"/>
      <c r="M49" s="1135"/>
      <c r="N49" s="1135"/>
      <c r="O49" s="1135"/>
      <c r="P49" s="3150" t="str">
        <f>A49</f>
        <v>比较价值（元/平方米）</v>
      </c>
      <c r="Q49" s="3151"/>
      <c r="R49" s="3152">
        <f>IF(F1="售价",ROUND(PRODUCT(R48,AA7:AA47),0),ROUND(PRODUCT(R48,AA7:AA47),1))</f>
        <v>51863</v>
      </c>
      <c r="S49" s="3152"/>
      <c r="T49" s="3152">
        <f>IF(F1="售价",ROUND(PRODUCT(T48,AB7:AB47),0),ROUND(PRODUCT(T48,AB7:AB47),1))</f>
        <v>45206</v>
      </c>
      <c r="U49" s="3152"/>
      <c r="V49" s="3152">
        <f>IF(F1="售价",ROUND(PRODUCT(V48,AC7:AC47),0),ROUND(PRODUCT(V48,AC7:AC47),1))</f>
        <v>53388</v>
      </c>
      <c r="W49" s="3152"/>
      <c r="X49" s="447"/>
      <c r="Y49" s="447"/>
      <c r="Z49" s="447"/>
      <c r="AA49" s="447"/>
      <c r="AB49" s="447"/>
      <c r="AC49" s="631"/>
    </row>
    <row r="50" spans="1:29" ht="15.75" thickBot="1">
      <c r="A50" s="493" t="s">
        <v>3094</v>
      </c>
      <c r="B50" s="494"/>
      <c r="C50" s="1421">
        <f>R50</f>
        <v>50152</v>
      </c>
      <c r="D50" s="1421"/>
      <c r="E50" s="1421"/>
      <c r="F50" s="1421"/>
      <c r="G50" s="1421"/>
      <c r="H50" s="1421"/>
      <c r="I50" s="1421"/>
      <c r="J50" s="495"/>
      <c r="K50" s="786"/>
      <c r="L50" s="1147"/>
      <c r="M50" s="1135"/>
      <c r="N50" s="1135"/>
      <c r="O50" s="1135"/>
      <c r="P50" s="3153" t="str">
        <f>A50</f>
        <v>估价对象办公用房的比较价值（楼面单价，元/平方米）</v>
      </c>
      <c r="Q50" s="3154"/>
      <c r="R50" s="3155">
        <f>IF(F1="售价",ROUND(AVERAGE(R49:V49),0),ROUND(AVERAGE(R49:V49),1))</f>
        <v>50152</v>
      </c>
      <c r="S50" s="3155"/>
      <c r="T50" s="3155"/>
      <c r="U50" s="3155"/>
      <c r="V50" s="3155"/>
      <c r="W50" s="3155"/>
      <c r="X50" s="2660"/>
      <c r="Y50" s="2660"/>
      <c r="Z50" s="2660"/>
      <c r="AA50" s="2660"/>
      <c r="AB50" s="2660"/>
      <c r="AC50" s="2661"/>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2669</v>
      </c>
      <c r="D53" s="499"/>
      <c r="E53" s="500">
        <f>IF(E48&lt;E49,E49/E48-1,E48/E49-1)</f>
        <v>6.0486281163835587E-2</v>
      </c>
      <c r="F53" s="501" t="str">
        <f>IF(OR(E53&gt;=0.3,E53&lt;=-0.3),"超过30%","")</f>
        <v/>
      </c>
      <c r="G53" s="500">
        <f>IF(G48&lt;G49,G49/G48-1,G48/G49-1)</f>
        <v>3.9684997566694635E-2</v>
      </c>
      <c r="H53" s="501" t="str">
        <f>IF(OR(G53&gt;=0.3,G53&lt;=-0.3),"超过30%","")</f>
        <v/>
      </c>
      <c r="I53" s="500">
        <f>IF(I48&lt;I49,I49/I48-1,I48/I49-1)</f>
        <v>3.0194051097624852E-2</v>
      </c>
      <c r="J53" s="501" t="str">
        <f>IF(OR(I53&gt;=0.3,I53&lt;=-0.3),"超过30%","")</f>
        <v/>
      </c>
      <c r="K53" s="1109"/>
      <c r="L53" s="1110"/>
      <c r="M53" s="1148"/>
      <c r="N53" s="1148"/>
      <c r="O53" s="1148"/>
    </row>
    <row r="54" spans="1:29" ht="13.5" customHeight="1">
      <c r="A54" s="1148"/>
      <c r="B54" s="1148"/>
      <c r="C54" s="498" t="s">
        <v>2670</v>
      </c>
      <c r="D54" s="502"/>
      <c r="E54" s="500">
        <f>IF(E49&lt;G49,G49/E49-1,E49/G49-1)</f>
        <v>0.14725921337875514</v>
      </c>
      <c r="F54" s="501" t="str">
        <f>IF(OR(E54&gt;=0.2,E54&lt;=-0.2),"超过20%","")</f>
        <v/>
      </c>
      <c r="G54" s="500">
        <f>IF(G49&lt;I49,I49/G49-1,G49/I49-1)</f>
        <v>0.180993673406185</v>
      </c>
      <c r="H54" s="501" t="str">
        <f>IF(OR(G54&gt;=0.2,G54&lt;=-0.2),"超过20%","")</f>
        <v/>
      </c>
      <c r="I54" s="500">
        <f>IF(I49&lt;E49,E49/I49-1,I49/E49-1)</f>
        <v>2.9404392341360941E-2</v>
      </c>
      <c r="J54" s="501" t="str">
        <f>IF(OR(I54&gt;=0.2,I54&lt;=-0.2),"超过20%","")</f>
        <v/>
      </c>
      <c r="K54" s="1109"/>
      <c r="L54" s="1110"/>
      <c r="M54" s="1148"/>
      <c r="N54" s="1148"/>
      <c r="O54" s="1148"/>
    </row>
    <row r="55" spans="1:29" s="503" customFormat="1" ht="13.5" customHeight="1">
      <c r="A55" s="1149"/>
      <c r="B55" s="1149"/>
      <c r="C55" s="498" t="s">
        <v>2671</v>
      </c>
      <c r="D55" s="502"/>
      <c r="E55" s="500">
        <f>IF(E48&lt;G48,G48/E48-1,E48/G48-1)</f>
        <v>0.17021276595744683</v>
      </c>
      <c r="F55" s="501" t="str">
        <f>IF(OR(E55&gt;=0.3,E55&lt;=-0.3),"超过30%","")</f>
        <v/>
      </c>
      <c r="G55" s="500">
        <f>IF(G48&lt;I48,I48/G48-1,G48/I48-1)</f>
        <v>0.17021276595744683</v>
      </c>
      <c r="H55" s="501" t="str">
        <f>IF(OR(G55&gt;=0.3,G55&lt;=-0.3),"超过30%","")</f>
        <v/>
      </c>
      <c r="I55" s="500">
        <f>IF(I48&lt;E48,E48/I48-1,I48/E48-1)</f>
        <v>0</v>
      </c>
      <c r="J55" s="501" t="str">
        <f>IF(OR(I55&gt;=0.3,I55&lt;=-0.3),"超过30%","")</f>
        <v/>
      </c>
      <c r="K55" s="1152"/>
      <c r="L55" s="1153"/>
      <c r="M55" s="1149"/>
      <c r="N55" s="1149"/>
      <c r="O55" s="1149"/>
      <c r="P55" s="2686"/>
    </row>
    <row r="56" spans="1:29" s="503" customFormat="1">
      <c r="A56" s="1149"/>
      <c r="B56" s="1150"/>
      <c r="C56" s="1154"/>
      <c r="D56" s="1149"/>
      <c r="E56" s="1149"/>
      <c r="F56" s="1149"/>
      <c r="G56" s="1149"/>
      <c r="H56" s="1149"/>
      <c r="I56" s="1149"/>
      <c r="J56" s="1149"/>
      <c r="K56" s="1152"/>
      <c r="L56" s="1153"/>
      <c r="M56" s="1149"/>
      <c r="N56" s="1149"/>
      <c r="O56" s="1149"/>
      <c r="P56" s="2686"/>
    </row>
    <row r="57" spans="1:29">
      <c r="A57" s="1148"/>
      <c r="B57" s="1150"/>
      <c r="C57" s="1154"/>
      <c r="D57" s="1148"/>
      <c r="E57" s="1148"/>
      <c r="F57" s="1148"/>
      <c r="G57" s="1148"/>
      <c r="H57" s="1148"/>
      <c r="I57" s="1148"/>
      <c r="J57" s="1148"/>
      <c r="K57" s="1109"/>
      <c r="L57" s="1110"/>
      <c r="M57" s="1148"/>
      <c r="N57" s="1148"/>
      <c r="O57" s="1148"/>
    </row>
    <row r="58" spans="1:29" ht="21.75" thickBot="1">
      <c r="A58" s="764" t="s">
        <v>2672</v>
      </c>
      <c r="B58" s="760"/>
      <c r="C58" s="765"/>
      <c r="D58" s="765"/>
      <c r="E58" s="765"/>
      <c r="F58" s="766"/>
      <c r="G58" s="766"/>
      <c r="H58" s="765"/>
      <c r="I58" s="765"/>
      <c r="J58" s="765"/>
      <c r="K58" s="767"/>
      <c r="L58" s="1165"/>
      <c r="M58" s="1163"/>
      <c r="N58" s="1163"/>
      <c r="O58" s="1163"/>
      <c r="P58" s="2687"/>
      <c r="Q58" s="505"/>
    </row>
    <row r="59" spans="1:29" s="509" customFormat="1" ht="15">
      <c r="A59" s="506" t="s">
        <v>2546</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8"/>
    </row>
    <row r="61" spans="1:29" s="117" customFormat="1" ht="15.75" thickBot="1">
      <c r="A61" s="516" t="s">
        <v>2583</v>
      </c>
      <c r="B61" s="517"/>
      <c r="C61" s="518"/>
      <c r="D61" s="519"/>
      <c r="E61" s="519"/>
      <c r="F61" s="519"/>
      <c r="G61" s="519"/>
      <c r="H61" s="519"/>
      <c r="I61" s="519"/>
      <c r="J61" s="519"/>
      <c r="K61" s="519"/>
      <c r="L61" s="519"/>
      <c r="M61" s="520"/>
      <c r="N61" s="519"/>
      <c r="O61" s="520"/>
      <c r="P61" s="2688"/>
      <c r="Q61" s="505"/>
    </row>
    <row r="62" spans="1:29" s="117" customFormat="1" ht="15">
      <c r="A62" s="522" t="s">
        <v>2548</v>
      </c>
      <c r="B62" s="511"/>
      <c r="C62" s="523" t="s">
        <v>2650</v>
      </c>
      <c r="D62" s="524"/>
      <c r="E62" s="524"/>
      <c r="F62" s="524"/>
      <c r="G62" s="524"/>
      <c r="H62" s="524"/>
      <c r="I62" s="524"/>
      <c r="J62" s="524"/>
      <c r="K62" s="524"/>
      <c r="L62" s="525"/>
      <c r="M62" s="526"/>
      <c r="N62" s="1155"/>
      <c r="O62" s="1155"/>
      <c r="P62" s="2689"/>
      <c r="Q62" s="505"/>
    </row>
    <row r="63" spans="1:29" s="117" customFormat="1" ht="15.75" thickBot="1">
      <c r="A63" s="522"/>
      <c r="B63" s="511"/>
      <c r="C63" s="512">
        <v>100</v>
      </c>
      <c r="D63" s="513"/>
      <c r="E63" s="513"/>
      <c r="F63" s="513"/>
      <c r="G63" s="513"/>
      <c r="H63" s="513"/>
      <c r="I63" s="513"/>
      <c r="J63" s="513"/>
      <c r="K63" s="513"/>
      <c r="L63" s="513"/>
      <c r="M63" s="515"/>
      <c r="N63" s="1155"/>
      <c r="O63" s="1155"/>
      <c r="P63" s="2688"/>
      <c r="Q63" s="505"/>
    </row>
    <row r="64" spans="1:29">
      <c r="A64" s="528" t="s">
        <v>2586</v>
      </c>
      <c r="B64" s="529" t="s">
        <v>2552</v>
      </c>
      <c r="C64" s="530" t="str">
        <f>C9</f>
        <v>办公</v>
      </c>
      <c r="D64" s="531"/>
      <c r="E64" s="531"/>
      <c r="F64" s="531"/>
      <c r="G64" s="531"/>
      <c r="H64" s="531"/>
      <c r="I64" s="531"/>
      <c r="J64" s="531"/>
      <c r="K64" s="532"/>
      <c r="L64" s="533"/>
      <c r="M64" s="534"/>
      <c r="N64" s="1156"/>
      <c r="O64" s="1156"/>
      <c r="P64" s="2690"/>
      <c r="Q64" s="505"/>
    </row>
    <row r="65" spans="1:17" ht="15.75" thickBot="1">
      <c r="A65" s="535"/>
      <c r="B65" s="536"/>
      <c r="C65" s="537">
        <v>100</v>
      </c>
      <c r="D65" s="537"/>
      <c r="E65" s="537"/>
      <c r="F65" s="537"/>
      <c r="G65" s="537"/>
      <c r="H65" s="537"/>
      <c r="I65" s="537"/>
      <c r="J65" s="537"/>
      <c r="K65" s="537"/>
      <c r="L65" s="537"/>
      <c r="M65" s="538"/>
      <c r="N65" s="1157"/>
      <c r="O65" s="1157"/>
      <c r="P65" s="2690"/>
      <c r="Q65" s="505"/>
    </row>
    <row r="66" spans="1:17" ht="27.75" thickTop="1">
      <c r="A66" s="535"/>
      <c r="B66" s="539" t="s">
        <v>2555</v>
      </c>
      <c r="C66" s="540" t="s">
        <v>2587</v>
      </c>
      <c r="D66" s="540" t="s">
        <v>2588</v>
      </c>
      <c r="E66" s="540" t="s">
        <v>2589</v>
      </c>
      <c r="F66" s="540" t="s">
        <v>2590</v>
      </c>
      <c r="G66" s="540" t="s">
        <v>2591</v>
      </c>
      <c r="H66" s="540" t="s">
        <v>2592</v>
      </c>
      <c r="I66" s="540" t="s">
        <v>2593</v>
      </c>
      <c r="J66" s="540"/>
      <c r="K66" s="541"/>
      <c r="L66" s="542"/>
      <c r="M66" s="543"/>
      <c r="N66" s="1156"/>
      <c r="O66" s="1156"/>
      <c r="P66" s="2690"/>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0"/>
      <c r="Q67" s="505"/>
    </row>
    <row r="68" spans="1:17" ht="15.75" thickTop="1">
      <c r="A68" s="535"/>
      <c r="B68" s="547" t="s">
        <v>2556</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0"/>
      <c r="Q68" s="505"/>
    </row>
    <row r="69" spans="1:17" ht="15">
      <c r="A69" s="535"/>
      <c r="B69" s="549"/>
      <c r="C69" s="550">
        <v>0</v>
      </c>
      <c r="D69" s="550">
        <v>1</v>
      </c>
      <c r="E69" s="550"/>
      <c r="F69" s="550"/>
      <c r="G69" s="550"/>
      <c r="H69" s="550"/>
      <c r="I69" s="550"/>
      <c r="J69" s="550"/>
      <c r="K69" s="551"/>
      <c r="L69" s="552"/>
      <c r="M69" s="553"/>
      <c r="N69" s="1156"/>
      <c r="O69" s="1156"/>
      <c r="P69" s="2690"/>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0"/>
      <c r="Q70" s="505"/>
    </row>
    <row r="71" spans="1:17" s="472" customFormat="1" ht="15.75" thickTop="1">
      <c r="A71" s="554"/>
      <c r="B71" s="539">
        <f>B12</f>
        <v>111</v>
      </c>
      <c r="C71" s="555"/>
      <c r="D71" s="555"/>
      <c r="E71" s="555"/>
      <c r="F71" s="555"/>
      <c r="G71" s="555"/>
      <c r="H71" s="556"/>
      <c r="I71" s="556"/>
      <c r="J71" s="556"/>
      <c r="K71" s="556"/>
      <c r="L71" s="557"/>
      <c r="M71" s="558"/>
      <c r="N71" s="1158"/>
      <c r="O71" s="1158"/>
      <c r="P71" s="2691"/>
      <c r="Q71" s="560"/>
    </row>
    <row r="72" spans="1:17" s="472" customFormat="1" ht="15.75" thickBot="1">
      <c r="A72" s="554"/>
      <c r="B72" s="544"/>
      <c r="C72" s="561"/>
      <c r="D72" s="537"/>
      <c r="E72" s="537"/>
      <c r="F72" s="537"/>
      <c r="G72" s="537"/>
      <c r="H72" s="537"/>
      <c r="I72" s="537"/>
      <c r="J72" s="537"/>
      <c r="K72" s="537"/>
      <c r="L72" s="537"/>
      <c r="M72" s="538"/>
      <c r="N72" s="1157"/>
      <c r="O72" s="1157"/>
      <c r="P72" s="2691"/>
      <c r="Q72" s="560"/>
    </row>
    <row r="73" spans="1:17" s="472" customFormat="1" ht="15.75" thickTop="1">
      <c r="A73" s="554"/>
      <c r="B73" s="539">
        <f>B13</f>
        <v>111</v>
      </c>
      <c r="C73" s="555"/>
      <c r="D73" s="555"/>
      <c r="E73" s="555"/>
      <c r="F73" s="555"/>
      <c r="G73" s="555"/>
      <c r="H73" s="556"/>
      <c r="I73" s="556"/>
      <c r="J73" s="556"/>
      <c r="K73" s="556"/>
      <c r="L73" s="557"/>
      <c r="M73" s="558"/>
      <c r="N73" s="1158"/>
      <c r="O73" s="1158"/>
      <c r="P73" s="2692"/>
      <c r="Q73" s="562"/>
    </row>
    <row r="74" spans="1:17" s="472" customFormat="1" ht="15.75" thickBot="1">
      <c r="A74" s="554"/>
      <c r="B74" s="544"/>
      <c r="C74" s="561"/>
      <c r="D74" s="561"/>
      <c r="E74" s="561"/>
      <c r="F74" s="561"/>
      <c r="G74" s="561"/>
      <c r="H74" s="563"/>
      <c r="I74" s="563"/>
      <c r="J74" s="563"/>
      <c r="K74" s="563"/>
      <c r="L74" s="563"/>
      <c r="M74" s="564"/>
      <c r="N74" s="1158"/>
      <c r="O74" s="1158"/>
      <c r="P74" s="2691"/>
      <c r="Q74" s="560"/>
    </row>
    <row r="75" spans="1:17" s="472" customFormat="1" ht="15.75" thickTop="1">
      <c r="A75" s="554"/>
      <c r="B75" s="547">
        <f>B14</f>
        <v>111</v>
      </c>
      <c r="C75" s="524"/>
      <c r="D75" s="524"/>
      <c r="E75" s="524"/>
      <c r="F75" s="524"/>
      <c r="G75" s="524"/>
      <c r="H75" s="565"/>
      <c r="I75" s="565"/>
      <c r="J75" s="565"/>
      <c r="K75" s="565"/>
      <c r="L75" s="566"/>
      <c r="M75" s="567"/>
      <c r="N75" s="1158"/>
      <c r="O75" s="1158"/>
      <c r="P75" s="2693"/>
      <c r="Q75" s="560"/>
    </row>
    <row r="76" spans="1:17" s="472" customFormat="1" ht="15.75" thickBot="1">
      <c r="A76" s="569"/>
      <c r="B76" s="570"/>
      <c r="C76" s="571"/>
      <c r="D76" s="571"/>
      <c r="E76" s="571"/>
      <c r="F76" s="571"/>
      <c r="G76" s="571"/>
      <c r="H76" s="572"/>
      <c r="I76" s="572"/>
      <c r="J76" s="572"/>
      <c r="K76" s="572"/>
      <c r="L76" s="572"/>
      <c r="M76" s="573"/>
      <c r="N76" s="1158"/>
      <c r="O76" s="1158"/>
      <c r="P76" s="2691"/>
      <c r="Q76" s="560"/>
    </row>
    <row r="77" spans="1:17">
      <c r="A77" s="528" t="s">
        <v>2557</v>
      </c>
      <c r="B77" s="529" t="s">
        <v>2695</v>
      </c>
      <c r="C77" s="574" t="s">
        <v>2595</v>
      </c>
      <c r="D77" s="574" t="s">
        <v>2596</v>
      </c>
      <c r="E77" s="574" t="s">
        <v>2597</v>
      </c>
      <c r="F77" s="574" t="s">
        <v>2598</v>
      </c>
      <c r="G77" s="574" t="s">
        <v>2599</v>
      </c>
      <c r="H77" s="530"/>
      <c r="I77" s="530"/>
      <c r="J77" s="530"/>
      <c r="K77" s="575"/>
      <c r="L77" s="576"/>
      <c r="M77" s="577"/>
      <c r="N77" s="1156"/>
      <c r="O77" s="1156"/>
      <c r="P77" s="2694"/>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0"/>
      <c r="Q78" s="505"/>
    </row>
    <row r="79" spans="1:17" ht="15.75" thickTop="1">
      <c r="A79" s="535"/>
      <c r="B79" s="539" t="s">
        <v>2600</v>
      </c>
      <c r="C79" s="579" t="s">
        <v>2595</v>
      </c>
      <c r="D79" s="579" t="s">
        <v>2596</v>
      </c>
      <c r="E79" s="579" t="s">
        <v>2597</v>
      </c>
      <c r="F79" s="579" t="s">
        <v>2598</v>
      </c>
      <c r="G79" s="579" t="s">
        <v>2599</v>
      </c>
      <c r="H79" s="540"/>
      <c r="I79" s="540"/>
      <c r="J79" s="540"/>
      <c r="K79" s="541"/>
      <c r="L79" s="542"/>
      <c r="M79" s="543"/>
      <c r="N79" s="1156"/>
      <c r="O79" s="1156"/>
      <c r="P79" s="2690"/>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0"/>
      <c r="Q80" s="505"/>
    </row>
    <row r="81" spans="1:17" ht="15.75" thickTop="1">
      <c r="A81" s="535"/>
      <c r="B81" s="539" t="s">
        <v>2601</v>
      </c>
      <c r="C81" s="579" t="s">
        <v>2595</v>
      </c>
      <c r="D81" s="579" t="s">
        <v>2596</v>
      </c>
      <c r="E81" s="579" t="s">
        <v>2597</v>
      </c>
      <c r="F81" s="579" t="s">
        <v>2598</v>
      </c>
      <c r="G81" s="579" t="s">
        <v>2599</v>
      </c>
      <c r="H81" s="540"/>
      <c r="I81" s="540"/>
      <c r="J81" s="540"/>
      <c r="K81" s="541"/>
      <c r="L81" s="542"/>
      <c r="M81" s="543"/>
      <c r="N81" s="1156"/>
      <c r="O81" s="1156"/>
      <c r="P81" s="2690"/>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0"/>
      <c r="Q82" s="505"/>
    </row>
    <row r="83" spans="1:17" ht="15.75" thickTop="1">
      <c r="A83" s="535"/>
      <c r="B83" s="547" t="s">
        <v>2687</v>
      </c>
      <c r="C83" s="661" t="s">
        <v>2673</v>
      </c>
      <c r="D83" s="661" t="s">
        <v>2674</v>
      </c>
      <c r="E83" s="661" t="s">
        <v>2675</v>
      </c>
      <c r="F83" s="661" t="s">
        <v>2676</v>
      </c>
      <c r="G83" s="661" t="s">
        <v>2677</v>
      </c>
      <c r="H83" s="540"/>
      <c r="I83" s="540"/>
      <c r="J83" s="540"/>
      <c r="K83" s="540"/>
      <c r="L83" s="540"/>
      <c r="M83" s="1386"/>
      <c r="N83" s="1157"/>
      <c r="O83" s="1157"/>
      <c r="P83" s="2690"/>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0"/>
      <c r="Q84" s="505"/>
    </row>
    <row r="85" spans="1:17" ht="15.75" thickTop="1">
      <c r="A85" s="535"/>
      <c r="B85" s="539" t="s">
        <v>2696</v>
      </c>
      <c r="C85" s="579" t="s">
        <v>2595</v>
      </c>
      <c r="D85" s="579" t="s">
        <v>2596</v>
      </c>
      <c r="E85" s="579" t="s">
        <v>2597</v>
      </c>
      <c r="F85" s="579" t="s">
        <v>2598</v>
      </c>
      <c r="G85" s="579" t="s">
        <v>2599</v>
      </c>
      <c r="H85" s="540"/>
      <c r="I85" s="540"/>
      <c r="J85" s="540"/>
      <c r="K85" s="541"/>
      <c r="L85" s="542"/>
      <c r="M85" s="543"/>
      <c r="N85" s="1156"/>
      <c r="O85" s="1156"/>
      <c r="P85" s="2690"/>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0"/>
      <c r="Q86" s="505"/>
    </row>
    <row r="87" spans="1:17" s="117" customFormat="1" ht="27.75" thickTop="1">
      <c r="A87" s="580"/>
      <c r="B87" s="539" t="s">
        <v>2697</v>
      </c>
      <c r="C87" s="2945" t="s">
        <v>3081</v>
      </c>
      <c r="D87" s="2945" t="s">
        <v>3083</v>
      </c>
      <c r="E87" s="2945" t="s">
        <v>3084</v>
      </c>
      <c r="F87" s="2945" t="s">
        <v>3085</v>
      </c>
      <c r="G87" s="2945" t="s">
        <v>3086</v>
      </c>
      <c r="H87" s="555"/>
      <c r="I87" s="555"/>
      <c r="J87" s="555"/>
      <c r="K87" s="555"/>
      <c r="L87" s="581"/>
      <c r="M87" s="582"/>
      <c r="N87" s="1155"/>
      <c r="O87" s="1155"/>
      <c r="P87" s="2690"/>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0"/>
      <c r="Q88" s="505"/>
    </row>
    <row r="89" spans="1:17" s="117" customFormat="1" ht="15.75" thickTop="1">
      <c r="A89" s="580"/>
      <c r="B89" s="539" t="str">
        <f>B27</f>
        <v>楼层</v>
      </c>
      <c r="C89" s="2945" t="s">
        <v>3087</v>
      </c>
      <c r="D89" s="2945" t="s">
        <v>3089</v>
      </c>
      <c r="E89" s="2945" t="s">
        <v>3091</v>
      </c>
      <c r="F89" s="2641"/>
      <c r="G89" s="555"/>
      <c r="H89" s="555"/>
      <c r="I89" s="555"/>
      <c r="J89" s="555"/>
      <c r="K89" s="555"/>
      <c r="L89" s="555"/>
      <c r="M89" s="582"/>
      <c r="N89" s="1155"/>
      <c r="O89" s="1155"/>
      <c r="P89" s="2690"/>
      <c r="Q89" s="505"/>
    </row>
    <row r="90" spans="1:17" s="117" customFormat="1" ht="15.75" thickBot="1">
      <c r="A90" s="580"/>
      <c r="B90" s="544"/>
      <c r="C90" s="583">
        <v>100</v>
      </c>
      <c r="D90" s="545">
        <f>C90-$K27</f>
        <v>98</v>
      </c>
      <c r="E90" s="545">
        <f t="shared" ref="E90:M90" si="20">D90-$K27</f>
        <v>96</v>
      </c>
      <c r="F90" s="545">
        <f t="shared" si="20"/>
        <v>94</v>
      </c>
      <c r="G90" s="545">
        <f t="shared" si="20"/>
        <v>92</v>
      </c>
      <c r="H90" s="545">
        <f t="shared" si="20"/>
        <v>90</v>
      </c>
      <c r="I90" s="545">
        <f t="shared" si="20"/>
        <v>88</v>
      </c>
      <c r="J90" s="545">
        <f t="shared" si="20"/>
        <v>86</v>
      </c>
      <c r="K90" s="545">
        <f t="shared" si="20"/>
        <v>84</v>
      </c>
      <c r="L90" s="545">
        <f t="shared" si="20"/>
        <v>82</v>
      </c>
      <c r="M90" s="545">
        <f t="shared" si="20"/>
        <v>80</v>
      </c>
      <c r="N90" s="1157"/>
      <c r="O90" s="1157"/>
      <c r="P90" s="2690"/>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1"/>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1"/>
      <c r="Q92" s="560"/>
    </row>
    <row r="93" spans="1:17" ht="15.75" thickTop="1">
      <c r="A93" s="535"/>
      <c r="B93" s="539">
        <f>B29</f>
        <v>111</v>
      </c>
      <c r="C93" s="555"/>
      <c r="D93" s="555"/>
      <c r="E93" s="555"/>
      <c r="F93" s="555"/>
      <c r="G93" s="555"/>
      <c r="H93" s="555"/>
      <c r="I93" s="555"/>
      <c r="J93" s="555"/>
      <c r="K93" s="555"/>
      <c r="L93" s="581"/>
      <c r="M93" s="582"/>
      <c r="N93" s="1156"/>
      <c r="O93" s="1156"/>
      <c r="P93" s="2690"/>
      <c r="Q93" s="505"/>
    </row>
    <row r="94" spans="1:17" ht="15.75" thickBot="1">
      <c r="A94" s="535"/>
      <c r="B94" s="544"/>
      <c r="C94" s="561"/>
      <c r="D94" s="537"/>
      <c r="E94" s="537"/>
      <c r="F94" s="537"/>
      <c r="G94" s="537"/>
      <c r="H94" s="537"/>
      <c r="I94" s="537"/>
      <c r="J94" s="537"/>
      <c r="K94" s="537"/>
      <c r="L94" s="537"/>
      <c r="M94" s="538"/>
      <c r="N94" s="1157"/>
      <c r="O94" s="1157"/>
      <c r="P94" s="2690"/>
      <c r="Q94" s="505"/>
    </row>
    <row r="95" spans="1:17" ht="15.75" thickTop="1">
      <c r="A95" s="535"/>
      <c r="B95" s="539">
        <f>B30</f>
        <v>111</v>
      </c>
      <c r="C95" s="555"/>
      <c r="D95" s="555"/>
      <c r="E95" s="555"/>
      <c r="F95" s="555"/>
      <c r="G95" s="584"/>
      <c r="H95" s="584"/>
      <c r="I95" s="584"/>
      <c r="J95" s="584"/>
      <c r="K95" s="585"/>
      <c r="L95" s="586"/>
      <c r="M95" s="587"/>
      <c r="N95" s="1156"/>
      <c r="O95" s="1156"/>
      <c r="P95" s="2690"/>
      <c r="Q95" s="505"/>
    </row>
    <row r="96" spans="1:17" ht="15.75" thickBot="1">
      <c r="A96" s="535"/>
      <c r="B96" s="544"/>
      <c r="C96" s="561"/>
      <c r="D96" s="561"/>
      <c r="E96" s="561"/>
      <c r="F96" s="561"/>
      <c r="G96" s="537"/>
      <c r="H96" s="537"/>
      <c r="I96" s="537"/>
      <c r="J96" s="537"/>
      <c r="K96" s="537"/>
      <c r="L96" s="537"/>
      <c r="M96" s="538"/>
      <c r="N96" s="1157"/>
      <c r="O96" s="1157"/>
      <c r="P96" s="2690"/>
      <c r="Q96" s="505"/>
    </row>
    <row r="97" spans="1:17" ht="15.75" thickTop="1">
      <c r="A97" s="535"/>
      <c r="B97" s="539">
        <f>B31</f>
        <v>111</v>
      </c>
      <c r="C97" s="555"/>
      <c r="D97" s="555"/>
      <c r="E97" s="555"/>
      <c r="F97" s="555"/>
      <c r="G97" s="584"/>
      <c r="H97" s="584"/>
      <c r="I97" s="584"/>
      <c r="J97" s="584"/>
      <c r="K97" s="585"/>
      <c r="L97" s="586"/>
      <c r="M97" s="587"/>
      <c r="N97" s="1156"/>
      <c r="O97" s="1156"/>
      <c r="P97" s="2690"/>
      <c r="Q97" s="505"/>
    </row>
    <row r="98" spans="1:17" ht="15.75" thickBot="1">
      <c r="A98" s="535"/>
      <c r="B98" s="544"/>
      <c r="C98" s="561"/>
      <c r="D98" s="537"/>
      <c r="E98" s="537"/>
      <c r="F98" s="537"/>
      <c r="G98" s="537"/>
      <c r="H98" s="537"/>
      <c r="I98" s="537"/>
      <c r="J98" s="537"/>
      <c r="K98" s="537"/>
      <c r="L98" s="537"/>
      <c r="M98" s="538"/>
      <c r="N98" s="1157"/>
      <c r="O98" s="1157"/>
      <c r="P98" s="2690"/>
      <c r="Q98" s="505"/>
    </row>
    <row r="99" spans="1:17" ht="15.75" thickTop="1">
      <c r="A99" s="535"/>
      <c r="B99" s="547">
        <f>B32</f>
        <v>111</v>
      </c>
      <c r="C99" s="524"/>
      <c r="D99" s="524"/>
      <c r="E99" s="524"/>
      <c r="F99" s="524"/>
      <c r="G99" s="588"/>
      <c r="H99" s="588"/>
      <c r="I99" s="588"/>
      <c r="J99" s="588"/>
      <c r="K99" s="589"/>
      <c r="L99" s="590"/>
      <c r="M99" s="591"/>
      <c r="N99" s="1156"/>
      <c r="O99" s="1156"/>
      <c r="P99" s="2690"/>
      <c r="Q99" s="505"/>
    </row>
    <row r="100" spans="1:17" ht="15.75" thickBot="1">
      <c r="A100" s="2642"/>
      <c r="B100" s="570"/>
      <c r="C100" s="571"/>
      <c r="D100" s="571"/>
      <c r="E100" s="571"/>
      <c r="F100" s="571"/>
      <c r="G100" s="592"/>
      <c r="H100" s="592"/>
      <c r="I100" s="592"/>
      <c r="J100" s="592"/>
      <c r="K100" s="592"/>
      <c r="L100" s="592"/>
      <c r="M100" s="593"/>
      <c r="N100" s="1157"/>
      <c r="O100" s="1157"/>
      <c r="P100" s="2690"/>
      <c r="Q100" s="505"/>
    </row>
    <row r="101" spans="1:17">
      <c r="A101" s="528" t="s">
        <v>2561</v>
      </c>
      <c r="B101" s="529" t="s">
        <v>2610</v>
      </c>
      <c r="C101" s="2949" t="s">
        <v>3100</v>
      </c>
      <c r="D101" s="531"/>
      <c r="E101" s="531"/>
      <c r="F101" s="531"/>
      <c r="G101" s="531"/>
      <c r="H101" s="531"/>
      <c r="I101" s="531"/>
      <c r="J101" s="531"/>
      <c r="K101" s="532"/>
      <c r="L101" s="533"/>
      <c r="M101" s="534"/>
      <c r="N101" s="1156"/>
      <c r="O101" s="1156"/>
      <c r="P101" s="2690"/>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0"/>
      <c r="Q102" s="505"/>
    </row>
    <row r="103" spans="1:17" ht="29.25" thickTop="1">
      <c r="A103" s="535"/>
      <c r="B103" s="539" t="s">
        <v>2611</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0"/>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1"/>
      <c r="Q104" s="560"/>
    </row>
    <row r="105" spans="1:17" s="472" customFormat="1" ht="15.75" thickBot="1">
      <c r="A105" s="554"/>
      <c r="B105" s="544"/>
      <c r="C105" s="561">
        <v>98</v>
      </c>
      <c r="D105" s="537">
        <v>99</v>
      </c>
      <c r="E105" s="537">
        <v>100</v>
      </c>
      <c r="F105" s="537">
        <v>99</v>
      </c>
      <c r="G105" s="537">
        <v>98</v>
      </c>
      <c r="H105" s="537">
        <v>97</v>
      </c>
      <c r="I105" s="537">
        <v>96</v>
      </c>
      <c r="J105" s="537">
        <v>95</v>
      </c>
      <c r="K105" s="537"/>
      <c r="L105" s="537"/>
      <c r="M105" s="537"/>
      <c r="N105" s="1157"/>
      <c r="O105" s="1157"/>
      <c r="P105" s="2691"/>
      <c r="Q105" s="560"/>
    </row>
    <row r="106" spans="1:17" ht="15" thickTop="1">
      <c r="A106" s="600"/>
      <c r="B106" s="539" t="s">
        <v>2612</v>
      </c>
      <c r="C106" s="2945" t="s">
        <v>3066</v>
      </c>
      <c r="D106" s="555"/>
      <c r="E106" s="584"/>
      <c r="F106" s="584"/>
      <c r="G106" s="584"/>
      <c r="H106" s="584"/>
      <c r="I106" s="584"/>
      <c r="J106" s="584"/>
      <c r="K106" s="585"/>
      <c r="L106" s="586"/>
      <c r="M106" s="587"/>
      <c r="N106" s="1156"/>
      <c r="O106" s="1156"/>
      <c r="P106" s="2690"/>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0"/>
      <c r="Q107" s="505"/>
    </row>
    <row r="108" spans="1:17" ht="15" thickTop="1">
      <c r="A108" s="600"/>
      <c r="B108" s="539" t="s">
        <v>2614</v>
      </c>
      <c r="C108" s="2945" t="s">
        <v>3067</v>
      </c>
      <c r="D108" s="2945" t="s">
        <v>3069</v>
      </c>
      <c r="E108" s="2945" t="s">
        <v>3070</v>
      </c>
      <c r="F108" s="2946" t="s">
        <v>3071</v>
      </c>
      <c r="G108" s="584"/>
      <c r="H108" s="584"/>
      <c r="I108" s="584"/>
      <c r="J108" s="584"/>
      <c r="K108" s="585"/>
      <c r="L108" s="586"/>
      <c r="M108" s="587"/>
      <c r="N108" s="1156"/>
      <c r="O108" s="1156"/>
      <c r="P108" s="2690"/>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0"/>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0"/>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0"/>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0"/>
      <c r="Q112" s="505"/>
    </row>
    <row r="113" spans="1:17" s="472" customFormat="1" ht="15" thickTop="1">
      <c r="A113" s="594"/>
      <c r="B113" s="539" t="s">
        <v>2698</v>
      </c>
      <c r="C113" s="2945" t="s">
        <v>3073</v>
      </c>
      <c r="D113" s="2945" t="s">
        <v>3074</v>
      </c>
      <c r="E113" s="555"/>
      <c r="F113" s="555"/>
      <c r="G113" s="555"/>
      <c r="H113" s="584"/>
      <c r="I113" s="584"/>
      <c r="J113" s="584"/>
      <c r="K113" s="585"/>
      <c r="L113" s="586"/>
      <c r="M113" s="587"/>
      <c r="N113" s="1158"/>
      <c r="O113" s="1158"/>
      <c r="P113" s="2691"/>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1"/>
      <c r="Q114" s="560"/>
    </row>
    <row r="115" spans="1:17" ht="15" thickTop="1">
      <c r="A115" s="600"/>
      <c r="B115" s="539" t="s">
        <v>2615</v>
      </c>
      <c r="C115" s="2945" t="s">
        <v>3075</v>
      </c>
      <c r="D115" s="2945" t="s">
        <v>3077</v>
      </c>
      <c r="E115" s="584"/>
      <c r="F115" s="584"/>
      <c r="G115" s="584"/>
      <c r="H115" s="584"/>
      <c r="I115" s="584"/>
      <c r="J115" s="584"/>
      <c r="K115" s="585"/>
      <c r="L115" s="586"/>
      <c r="M115" s="587"/>
      <c r="N115" s="1156"/>
      <c r="O115" s="1156"/>
      <c r="P115" s="2690"/>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0"/>
      <c r="Q116" s="505"/>
    </row>
    <row r="117" spans="1:17" ht="15" thickTop="1">
      <c r="A117" s="600"/>
      <c r="B117" s="539" t="s">
        <v>2616</v>
      </c>
      <c r="C117" s="2945" t="s">
        <v>3079</v>
      </c>
      <c r="D117" s="555"/>
      <c r="E117" s="555"/>
      <c r="F117" s="555"/>
      <c r="G117" s="555"/>
      <c r="H117" s="584"/>
      <c r="I117" s="584"/>
      <c r="J117" s="584"/>
      <c r="K117" s="585"/>
      <c r="L117" s="586"/>
      <c r="M117" s="587"/>
      <c r="N117" s="1156"/>
      <c r="O117" s="1156"/>
      <c r="P117" s="2690"/>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0"/>
      <c r="Q118" s="505"/>
    </row>
    <row r="119" spans="1:17" ht="15" thickTop="1">
      <c r="A119" s="600"/>
      <c r="B119" s="637" t="s">
        <v>2699</v>
      </c>
      <c r="C119" s="2946" t="s">
        <v>3080</v>
      </c>
      <c r="D119" s="2946" t="s">
        <v>3102</v>
      </c>
      <c r="E119" s="584"/>
      <c r="F119" s="584"/>
      <c r="G119" s="584"/>
      <c r="H119" s="584"/>
      <c r="I119" s="584"/>
      <c r="J119" s="584"/>
      <c r="K119" s="584"/>
      <c r="L119" s="2695"/>
      <c r="M119" s="2696"/>
      <c r="N119" s="1157"/>
      <c r="O119" s="1157"/>
      <c r="P119" s="2697"/>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0"/>
      <c r="Q120" s="505"/>
    </row>
    <row r="121" spans="1:17" s="472" customFormat="1" ht="15" thickTop="1">
      <c r="A121" s="594"/>
      <c r="B121" s="539" t="s">
        <v>2682</v>
      </c>
      <c r="C121" s="555"/>
      <c r="D121" s="555"/>
      <c r="E121" s="555"/>
      <c r="F121" s="584"/>
      <c r="G121" s="556"/>
      <c r="H121" s="556"/>
      <c r="I121" s="556"/>
      <c r="J121" s="556"/>
      <c r="K121" s="556"/>
      <c r="L121" s="557"/>
      <c r="M121" s="558"/>
      <c r="N121" s="1158"/>
      <c r="O121" s="1158"/>
      <c r="P121" s="2691"/>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1"/>
      <c r="Q122" s="560"/>
    </row>
    <row r="123" spans="1:17" ht="15" thickTop="1">
      <c r="A123" s="600"/>
      <c r="B123" s="539" t="s">
        <v>2618</v>
      </c>
      <c r="C123" s="2945" t="s">
        <v>3067</v>
      </c>
      <c r="D123" s="2945" t="s">
        <v>3069</v>
      </c>
      <c r="E123" s="2945" t="s">
        <v>3070</v>
      </c>
      <c r="F123" s="2946" t="s">
        <v>3071</v>
      </c>
      <c r="G123" s="584"/>
      <c r="H123" s="584"/>
      <c r="I123" s="584"/>
      <c r="J123" s="584"/>
      <c r="K123" s="585"/>
      <c r="L123" s="586"/>
      <c r="M123" s="587"/>
      <c r="N123" s="1156"/>
      <c r="O123" s="1156"/>
      <c r="P123" s="2690"/>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0"/>
      <c r="Q124" s="505"/>
    </row>
    <row r="125" spans="1:17" ht="15" thickTop="1">
      <c r="A125" s="600"/>
      <c r="B125" s="539" t="s">
        <v>2619</v>
      </c>
      <c r="C125" s="579" t="s">
        <v>2595</v>
      </c>
      <c r="D125" s="579" t="s">
        <v>2596</v>
      </c>
      <c r="E125" s="579" t="s">
        <v>2597</v>
      </c>
      <c r="F125" s="579" t="s">
        <v>2598</v>
      </c>
      <c r="G125" s="579" t="s">
        <v>2599</v>
      </c>
      <c r="H125" s="540"/>
      <c r="I125" s="540"/>
      <c r="J125" s="540"/>
      <c r="K125" s="541"/>
      <c r="L125" s="542"/>
      <c r="M125" s="543"/>
      <c r="N125" s="1156"/>
      <c r="O125" s="1156"/>
      <c r="P125" s="2691"/>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0"/>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1"/>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1"/>
      <c r="Q128" s="560"/>
    </row>
    <row r="129" spans="1:17" ht="15" thickTop="1">
      <c r="A129" s="600"/>
      <c r="B129" s="539">
        <f>B46</f>
        <v>111</v>
      </c>
      <c r="C129" s="555"/>
      <c r="D129" s="555"/>
      <c r="E129" s="555"/>
      <c r="F129" s="555"/>
      <c r="G129" s="584"/>
      <c r="H129" s="584"/>
      <c r="I129" s="584"/>
      <c r="J129" s="584"/>
      <c r="K129" s="585"/>
      <c r="L129" s="586"/>
      <c r="M129" s="587"/>
      <c r="N129" s="1156"/>
      <c r="O129" s="1156"/>
      <c r="P129" s="2690"/>
      <c r="Q129" s="505"/>
    </row>
    <row r="130" spans="1:17" ht="15.75" thickBot="1">
      <c r="A130" s="535"/>
      <c r="B130" s="544"/>
      <c r="C130" s="561"/>
      <c r="D130" s="561"/>
      <c r="E130" s="561"/>
      <c r="F130" s="561"/>
      <c r="G130" s="537"/>
      <c r="H130" s="537"/>
      <c r="I130" s="537"/>
      <c r="J130" s="537"/>
      <c r="K130" s="537"/>
      <c r="L130" s="537"/>
      <c r="M130" s="538"/>
      <c r="N130" s="1157"/>
      <c r="O130" s="1157"/>
      <c r="P130" s="2690"/>
      <c r="Q130" s="505"/>
    </row>
    <row r="131" spans="1:17" ht="15" thickTop="1">
      <c r="A131" s="600"/>
      <c r="B131" s="547">
        <f>B47</f>
        <v>111</v>
      </c>
      <c r="C131" s="524"/>
      <c r="D131" s="524"/>
      <c r="E131" s="524"/>
      <c r="F131" s="524"/>
      <c r="G131" s="588"/>
      <c r="H131" s="588"/>
      <c r="I131" s="588"/>
      <c r="J131" s="588"/>
      <c r="K131" s="524"/>
      <c r="L131" s="525"/>
      <c r="M131" s="591"/>
      <c r="N131" s="1156"/>
      <c r="O131" s="1156"/>
      <c r="P131" s="2690"/>
      <c r="Q131" s="505"/>
    </row>
    <row r="132" spans="1:17" ht="15.75" thickBot="1">
      <c r="A132" s="2642"/>
      <c r="B132" s="570"/>
      <c r="C132" s="571"/>
      <c r="D132" s="571"/>
      <c r="E132" s="571"/>
      <c r="F132" s="571"/>
      <c r="G132" s="592"/>
      <c r="H132" s="592"/>
      <c r="I132" s="592"/>
      <c r="J132" s="592"/>
      <c r="K132" s="592"/>
      <c r="L132" s="592"/>
      <c r="M132" s="593"/>
      <c r="N132" s="1157"/>
      <c r="O132" s="1157"/>
      <c r="P132" s="2690"/>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topLeftCell="A28" zoomScale="90" zoomScaleNormal="90" zoomScaleSheetLayoutView="90" workbookViewId="0">
      <selection activeCell="F38" sqref="F3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27</v>
      </c>
      <c r="D1" s="1825" t="s">
        <v>70</v>
      </c>
      <c r="E1" s="1826" t="s">
        <v>1388</v>
      </c>
      <c r="F1" s="1287">
        <f ca="1">J53</f>
        <v>41.02</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1516</v>
      </c>
      <c r="B2" s="1849">
        <f ca="1">C40+J29+L46</f>
        <v>3688</v>
      </c>
      <c r="C2" s="1850" t="s">
        <v>1517</v>
      </c>
      <c r="D2" s="1850"/>
      <c r="E2" s="1851"/>
      <c r="F2" s="1852"/>
      <c r="G2" s="1853"/>
      <c r="H2" s="1845"/>
      <c r="I2" s="1845"/>
      <c r="J2" s="1845"/>
      <c r="K2" s="1846"/>
      <c r="L2" s="1845"/>
      <c r="M2" s="1845"/>
    </row>
    <row r="3" spans="1:37" ht="18" customHeight="1" thickBot="1">
      <c r="A3" s="1854" t="s">
        <v>1518</v>
      </c>
      <c r="B3" s="1855">
        <f ca="1">IF(ISERROR(B2*10000/F43),0,ROUND(B2*10000/F43,0))</f>
        <v>41054</v>
      </c>
      <c r="C3" s="1850" t="s">
        <v>1519</v>
      </c>
      <c r="D3" s="1850"/>
      <c r="E3" s="1851"/>
      <c r="F3" s="1852"/>
      <c r="G3" s="1853"/>
      <c r="H3" s="745" t="s">
        <v>1589</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162</v>
      </c>
      <c r="D5" s="1827" t="s">
        <v>1403</v>
      </c>
      <c r="E5" s="1297"/>
      <c r="F5" s="1298"/>
      <c r="G5" s="1856"/>
      <c r="H5" s="345">
        <v>1</v>
      </c>
      <c r="I5" s="346" t="s">
        <v>1402</v>
      </c>
      <c r="J5" s="1296">
        <f ca="1">J6+J10+J12</f>
        <v>0</v>
      </c>
      <c r="K5" s="1827" t="s">
        <v>1403</v>
      </c>
      <c r="L5" s="1297"/>
      <c r="M5" s="1298"/>
    </row>
    <row r="6" spans="1:37" ht="18" customHeight="1">
      <c r="A6" s="1295" t="s">
        <v>1035</v>
      </c>
      <c r="B6" s="3204" t="s">
        <v>1404</v>
      </c>
      <c r="C6" s="1300">
        <f ca="1">ROUND(F6*F8*F7*(1-F9)/10000,0)</f>
        <v>162</v>
      </c>
      <c r="D6" s="165" t="s">
        <v>3032</v>
      </c>
      <c r="E6" s="348" t="s">
        <v>1406</v>
      </c>
      <c r="F6" s="349">
        <f ca="1">INDIRECT("'数据-取费表'!u"&amp;$G$1)</f>
        <v>5.5</v>
      </c>
      <c r="G6" s="1856"/>
      <c r="H6" s="1295" t="s">
        <v>1035</v>
      </c>
      <c r="I6" s="3204" t="s">
        <v>1404</v>
      </c>
      <c r="J6" s="347">
        <f ca="1">ROUND(M6*M8*M7*(1-M9)/10000,0)</f>
        <v>0</v>
      </c>
      <c r="K6" s="165" t="s">
        <v>3031</v>
      </c>
      <c r="L6" s="348" t="s">
        <v>1406</v>
      </c>
      <c r="M6" s="349">
        <f ca="1">INDIRECT("'数据-取费表'!z"&amp;$G$1)</f>
        <v>0</v>
      </c>
    </row>
    <row r="7" spans="1:37" ht="18" customHeight="1">
      <c r="A7" s="1299"/>
      <c r="B7" s="3205"/>
      <c r="C7" s="1301"/>
      <c r="D7" s="353"/>
      <c r="E7" s="1302" t="s">
        <v>1407</v>
      </c>
      <c r="F7" s="349">
        <f ca="1">IF(INDIRECT("'数据-取费表'!ah"&amp;$G$1)="",INDIRECT("'数据-取费表'!k"&amp;$G$1),INDIRECT("'数据-取费表'!ah"&amp;$G$1))</f>
        <v>898.32</v>
      </c>
      <c r="G7" s="1856"/>
      <c r="H7" s="350"/>
      <c r="I7" s="3205"/>
      <c r="J7" s="352"/>
      <c r="K7" s="353"/>
      <c r="L7" s="348" t="s">
        <v>1407</v>
      </c>
      <c r="M7" s="349">
        <f ca="1">F7</f>
        <v>898.32</v>
      </c>
    </row>
    <row r="8" spans="1:37" ht="18" customHeight="1">
      <c r="A8" s="350"/>
      <c r="B8" s="3205"/>
      <c r="C8" s="352"/>
      <c r="D8" s="353"/>
      <c r="E8" s="348" t="s">
        <v>1408</v>
      </c>
      <c r="F8" s="349">
        <f ca="1">INDIRECT("'数据-取费表'!ai"&amp;$G$1)</f>
        <v>365</v>
      </c>
      <c r="G8" s="1856"/>
      <c r="H8" s="350"/>
      <c r="I8" s="3205"/>
      <c r="J8" s="352"/>
      <c r="K8" s="353"/>
      <c r="L8" s="348" t="s">
        <v>1408</v>
      </c>
      <c r="M8" s="349">
        <f ca="1">INDIRECT("'数据-取费表'!ai"&amp;$G$1)</f>
        <v>365</v>
      </c>
    </row>
    <row r="9" spans="1:37" ht="18" customHeight="1">
      <c r="A9" s="350"/>
      <c r="B9" s="3206"/>
      <c r="C9" s="352"/>
      <c r="D9" s="353"/>
      <c r="E9" s="348" t="s">
        <v>1409</v>
      </c>
      <c r="F9" s="358">
        <f ca="1">INDIRECT("'数据-取费表'!w"&amp;$G$1)</f>
        <v>0.1</v>
      </c>
      <c r="G9" s="1856"/>
      <c r="H9" s="350"/>
      <c r="I9" s="3206"/>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0</v>
      </c>
      <c r="D10" s="1829" t="s">
        <v>3033</v>
      </c>
      <c r="E10" s="359" t="s">
        <v>1412</v>
      </c>
      <c r="F10" s="1370" t="s">
        <v>3104</v>
      </c>
      <c r="G10" s="1856"/>
      <c r="H10" s="1295" t="s">
        <v>1039</v>
      </c>
      <c r="I10" s="1828" t="s">
        <v>1410</v>
      </c>
      <c r="J10" s="347">
        <f ca="1">ROUND(IF(M10="押一",M6*M8*M7/12*M11,IF(M10="押二",M6*M8*M7/12*2*M11,IF(M10="押三",M6*M8*M7/12*3*M11,J11*M11)))/10000,0)</f>
        <v>0</v>
      </c>
      <c r="K10" s="1829" t="s">
        <v>3034</v>
      </c>
      <c r="L10" s="359" t="s">
        <v>1412</v>
      </c>
      <c r="M10" s="1370" t="s">
        <v>3104</v>
      </c>
    </row>
    <row r="11" spans="1:37" ht="18" customHeight="1">
      <c r="A11" s="354"/>
      <c r="B11" s="1830" t="s">
        <v>1389</v>
      </c>
      <c r="C11" s="1182"/>
      <c r="D11" s="1831"/>
      <c r="E11" s="359" t="s">
        <v>1413</v>
      </c>
      <c r="F11" s="360">
        <f ca="1">'数据-取费表'!B39</f>
        <v>1.4999999999999999E-2</v>
      </c>
      <c r="G11" s="1856"/>
      <c r="H11" s="1303"/>
      <c r="I11" s="1830" t="s">
        <v>1389</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348</v>
      </c>
      <c r="D13" s="1335" t="s">
        <v>1416</v>
      </c>
      <c r="E13" s="1335" t="s">
        <v>1417</v>
      </c>
      <c r="F13" s="1336">
        <f ca="1">INDIRECT("'数据-取费表'!y"&amp;$G$1)</f>
        <v>0.88</v>
      </c>
      <c r="G13" s="1856"/>
      <c r="H13" s="1333">
        <v>2</v>
      </c>
      <c r="I13" s="1334" t="s">
        <v>1415</v>
      </c>
      <c r="J13" s="1294">
        <f ca="1">ROUND(J14*J15,0)</f>
        <v>0</v>
      </c>
      <c r="K13" s="1341" t="s">
        <v>1416</v>
      </c>
      <c r="L13" s="1857"/>
      <c r="M13" s="1858"/>
    </row>
    <row r="14" spans="1:37" ht="18" customHeight="1">
      <c r="A14" s="1205" t="s">
        <v>1034</v>
      </c>
      <c r="B14" s="348" t="s">
        <v>1418</v>
      </c>
      <c r="C14" s="364">
        <f ca="1">INDIRECT("'数据-取费表'!m"&amp;$G$1)+INDIRECT("'数据-取费表'!t"&amp;$G$1)</f>
        <v>269</v>
      </c>
      <c r="D14" s="1805" t="s">
        <v>1419</v>
      </c>
      <c r="E14" s="1799"/>
      <c r="F14" s="365"/>
      <c r="G14" s="1856"/>
      <c r="H14" s="1205" t="s">
        <v>1035</v>
      </c>
      <c r="I14" s="348" t="s">
        <v>1420</v>
      </c>
      <c r="J14" s="24">
        <f ca="1">C29</f>
        <v>396</v>
      </c>
      <c r="K14" s="15"/>
      <c r="L14" s="983"/>
      <c r="M14" s="984"/>
    </row>
    <row r="15" spans="1:37" s="1863" customFormat="1" ht="18" customHeight="1" thickBot="1">
      <c r="A15" s="1205" t="s">
        <v>1036</v>
      </c>
      <c r="B15" s="348" t="s">
        <v>1421</v>
      </c>
      <c r="C15" s="24">
        <f ca="1">ROUND(C14*F15,0)</f>
        <v>8</v>
      </c>
      <c r="D15" s="366" t="s">
        <v>1422</v>
      </c>
      <c r="E15" s="366" t="s">
        <v>1423</v>
      </c>
      <c r="F15" s="367">
        <f>'数据-取费表'!B33</f>
        <v>0.03</v>
      </c>
      <c r="G15" s="1859"/>
      <c r="H15" s="1343" t="s">
        <v>1039</v>
      </c>
      <c r="I15" s="1344" t="s">
        <v>1417</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ROUND(INDIRECT("'数据-取费表'!m"&amp;$G$1)*F16,0)</f>
        <v>0</v>
      </c>
      <c r="D16" s="348" t="s">
        <v>1422</v>
      </c>
      <c r="E16" s="348" t="s">
        <v>1423</v>
      </c>
      <c r="F16" s="368">
        <f ca="1">IF(INDIRECT("'数据-取费表'!c"&amp;$G$1)="住宅",'数据-取费表'!B34,0)</f>
        <v>0</v>
      </c>
      <c r="G16" s="1856"/>
      <c r="H16" s="1333" t="s">
        <v>1030</v>
      </c>
      <c r="I16" s="1334" t="s">
        <v>1425</v>
      </c>
      <c r="J16" s="356">
        <f ca="1">ROUND(J17+J22+J23+J24,0)</f>
        <v>6</v>
      </c>
      <c r="K16" s="1341" t="s">
        <v>1426</v>
      </c>
      <c r="L16" s="1342"/>
      <c r="M16" s="1298"/>
    </row>
    <row r="17" spans="1:37" s="1863" customFormat="1" ht="18" customHeight="1">
      <c r="A17" s="1205" t="s">
        <v>1391</v>
      </c>
      <c r="B17" s="348" t="s">
        <v>1427</v>
      </c>
      <c r="C17" s="24">
        <f ca="1">ROUND(F17*(F43+INDIRECT("'数据-取费表'!S"&amp;$G$1))/10000,0)</f>
        <v>9</v>
      </c>
      <c r="D17" s="348" t="s">
        <v>1428</v>
      </c>
      <c r="E17" s="348" t="s">
        <v>1429</v>
      </c>
      <c r="F17" s="26">
        <f>'数据-取费表'!B35</f>
        <v>100</v>
      </c>
      <c r="G17" s="1859"/>
      <c r="H17" s="1205" t="s">
        <v>1035</v>
      </c>
      <c r="I17" s="348" t="s">
        <v>1430</v>
      </c>
      <c r="J17" s="24">
        <f ca="1">ROUND(IF(项目基本情况!B11="自然人",J5*M17,J18+J19+J20),1)</f>
        <v>0</v>
      </c>
      <c r="K17" s="1805" t="s">
        <v>1431</v>
      </c>
      <c r="L17" s="1803" t="s">
        <v>1432</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4</v>
      </c>
      <c r="D18" s="348" t="s">
        <v>1422</v>
      </c>
      <c r="E18" s="348" t="s">
        <v>1423</v>
      </c>
      <c r="F18" s="368">
        <f>'数据-取费表'!B36</f>
        <v>1.4999999999999999E-2</v>
      </c>
      <c r="G18" s="1859"/>
      <c r="H18" s="1205" t="s">
        <v>1034</v>
      </c>
      <c r="I18" s="348" t="s">
        <v>1434</v>
      </c>
      <c r="J18" s="24">
        <f ca="1">ROUND(J5*M18/(1+'数据-取费表'!C42),2)</f>
        <v>0</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290</v>
      </c>
      <c r="D19" s="140" t="s">
        <v>1437</v>
      </c>
      <c r="E19" s="1823"/>
      <c r="F19" s="26"/>
      <c r="G19" s="1856"/>
      <c r="H19" s="1205" t="s">
        <v>1036</v>
      </c>
      <c r="I19" s="348" t="s">
        <v>1438</v>
      </c>
      <c r="J19" s="24">
        <f ca="1">IF(K19="按租金收入计税",ROUND(J5*M19,2),ROUND(C29*M19*0.7,2))</f>
        <v>3.33</v>
      </c>
      <c r="K19" s="1833" t="s">
        <v>1439</v>
      </c>
      <c r="L19" s="348" t="s">
        <v>1423</v>
      </c>
      <c r="M19" s="368">
        <f>IF(K19="按租金收入计税",'数据-取费表'!B51,'数据-取费表'!B50)</f>
        <v>1.2E-2</v>
      </c>
    </row>
    <row r="20" spans="1:37" s="1863" customFormat="1" ht="18" customHeight="1">
      <c r="A20" s="1205" t="s">
        <v>1039</v>
      </c>
      <c r="B20" s="348" t="s">
        <v>1440</v>
      </c>
      <c r="C20" s="24">
        <f ca="1">ROUND(C19*F20,0)</f>
        <v>6</v>
      </c>
      <c r="D20" s="370" t="s">
        <v>1441</v>
      </c>
      <c r="E20" s="348" t="s">
        <v>1423</v>
      </c>
      <c r="F20" s="368">
        <f>'数据-取费表'!B37</f>
        <v>0.02</v>
      </c>
      <c r="G20" s="1859"/>
      <c r="H20" s="1205" t="s">
        <v>1390</v>
      </c>
      <c r="I20" s="165" t="s">
        <v>1442</v>
      </c>
      <c r="J20" s="25">
        <f ca="1">ROUND(M20*M21/10000,2)</f>
        <v>0</v>
      </c>
      <c r="K20" s="371" t="s">
        <v>1443</v>
      </c>
      <c r="L20" s="348" t="s">
        <v>1444</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18</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ROUND(J14*M22,1)</f>
        <v>5.9</v>
      </c>
      <c r="K22" s="1803" t="s">
        <v>1451</v>
      </c>
      <c r="L22" s="348" t="s">
        <v>1423</v>
      </c>
      <c r="M22" s="375">
        <f ca="1">INDIRECT("'数据-取费表'!Ak"&amp;$G$1)</f>
        <v>1.4999999999999999E-2</v>
      </c>
    </row>
    <row r="23" spans="1:37" s="1863" customFormat="1" ht="18" customHeight="1">
      <c r="A23" s="1205" t="s">
        <v>1034</v>
      </c>
      <c r="B23" s="348" t="s">
        <v>1452</v>
      </c>
      <c r="C23" s="24">
        <f ca="1">IF('数据-取费表'!B22&lt;=1,ROUND(C19*F24*F23/2,0)+ROUND(C20*F24*F23/2,0),ROUND(C19*(POWER((1+F24),F23/2)-1),0)+ROUND(C20*(POWER((1+F24),F23/2)-1),0))</f>
        <v>10</v>
      </c>
      <c r="D23" s="376" t="str">
        <f>IF(F23&lt;=1,"(建造成本+管理费用)×利率×(建设周期÷2)","(建造成本+管理费用)×((1+利率)^(建设周期÷2)-1)")</f>
        <v>(建造成本+管理费用)×((1+利率)^(建设周期÷2)-1)</v>
      </c>
      <c r="E23" s="348" t="s">
        <v>1453</v>
      </c>
      <c r="F23" s="372">
        <f>'数据-取费表'!B20</f>
        <v>1.5</v>
      </c>
      <c r="G23" s="1859"/>
      <c r="H23" s="1205" t="s">
        <v>1075</v>
      </c>
      <c r="I23" s="348" t="s">
        <v>1454</v>
      </c>
      <c r="J23" s="24">
        <f ca="1">ROUND(J13*M23,1)</f>
        <v>0</v>
      </c>
      <c r="K23" s="1803" t="s">
        <v>1455</v>
      </c>
      <c r="L23" s="348" t="s">
        <v>1456</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6.9999999999999999E-4</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ROUND(J5*M24,1)</f>
        <v>0</v>
      </c>
      <c r="K24" s="1346" t="s">
        <v>1460</v>
      </c>
      <c r="L24" s="1344" t="s">
        <v>1456</v>
      </c>
      <c r="M24" s="1340">
        <f ca="1">INDIRECT("'数据-取费表'!Am"&amp;$G$1)</f>
        <v>0.01</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1461</v>
      </c>
      <c r="B25" s="348" t="s">
        <v>1462</v>
      </c>
      <c r="C25" s="24"/>
      <c r="D25" s="140" t="s">
        <v>1463</v>
      </c>
      <c r="E25" s="1823"/>
      <c r="F25" s="26"/>
      <c r="G25" s="1856"/>
      <c r="H25" s="1333" t="s">
        <v>1031</v>
      </c>
      <c r="I25" s="1348" t="s">
        <v>1464</v>
      </c>
      <c r="J25" s="356">
        <f ca="1">J5-J16</f>
        <v>-6</v>
      </c>
      <c r="K25" s="1349" t="s">
        <v>1465</v>
      </c>
      <c r="L25" s="1350"/>
      <c r="M25" s="1351"/>
    </row>
    <row r="26" spans="1:37">
      <c r="A26" s="1205" t="s">
        <v>1034</v>
      </c>
      <c r="B26" s="348" t="s">
        <v>1466</v>
      </c>
      <c r="C26" s="24">
        <f ca="1">ROUND((C19+C20)*F26,0)</f>
        <v>59</v>
      </c>
      <c r="D26" s="370" t="s">
        <v>1467</v>
      </c>
      <c r="E26" s="359" t="s">
        <v>1468</v>
      </c>
      <c r="F26" s="358">
        <f ca="1">INDIRECT("'数据-取费表'!q"&amp;$G$1)</f>
        <v>0.2</v>
      </c>
      <c r="G26" s="1856"/>
      <c r="H26" s="345" t="s">
        <v>1032</v>
      </c>
      <c r="I26" s="346" t="s">
        <v>1469</v>
      </c>
      <c r="J26" s="347">
        <f ca="1">IF(J5&lt;&gt;0,ROUND(J25*(1-((1+M28)/(1+M26))^M27)/(M26-M28),0),0)</f>
        <v>0</v>
      </c>
      <c r="K26" s="371" t="s">
        <v>1470</v>
      </c>
      <c r="L26" s="348" t="s">
        <v>1471</v>
      </c>
      <c r="M26" s="358">
        <f ca="1">INDIRECT("'数据-取费表'!I"&amp;$G$1)</f>
        <v>0.05</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0</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396</v>
      </c>
      <c r="D29" s="1346"/>
      <c r="E29" s="1344"/>
      <c r="F29" s="1347"/>
      <c r="G29" s="1859"/>
      <c r="H29" s="381" t="s">
        <v>1033</v>
      </c>
      <c r="I29" s="382" t="s">
        <v>1480</v>
      </c>
      <c r="J29" s="383">
        <f ca="1">ROUND(J26/(1+F40)^F41,0)</f>
        <v>0</v>
      </c>
      <c r="K29" s="384" t="s">
        <v>1481</v>
      </c>
      <c r="L29" s="385"/>
      <c r="M29" s="386">
        <f ca="1">INDIRECT("'数据-取费表'!k"&amp;$G$1)</f>
        <v>898.32</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27</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ROUND(IF(项目基本情况!B11="自然人",C5*F31,C32+C33+C34),1)</f>
        <v>19.399999999999999</v>
      </c>
      <c r="D31" s="1805" t="s">
        <v>1431</v>
      </c>
      <c r="E31" s="1803" t="s">
        <v>1482</v>
      </c>
      <c r="F31" s="369">
        <f ca="1">IF(项目基本情况!B11="企业","",IF(INDIRECT("'数据-取费表'!c"&amp;$G$1)="住宅",5%,IF(F6*F7*F8/12/(1+'数据-取费表'!C42)&gt;20000,12%,7%)))</f>
        <v>0.12</v>
      </c>
      <c r="G31" s="1856"/>
      <c r="H31" s="746"/>
      <c r="I31" s="747"/>
      <c r="J31" s="748"/>
      <c r="K31" s="749"/>
      <c r="L31" s="750"/>
      <c r="M31" s="751"/>
    </row>
    <row r="32" spans="1:37" ht="18" customHeight="1">
      <c r="A32" s="1205" t="s">
        <v>1034</v>
      </c>
      <c r="B32" s="348" t="s">
        <v>1434</v>
      </c>
      <c r="C32" s="24" t="str">
        <f>IF(项目基本情况!B11="自然人","——",ROUND(C5*F32/(1+'数据-取费表'!C42),2))</f>
        <v>——</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t="str">
        <f ca="1">IF(项目基本情况!B11="自然人","——",IF(D33="按租金收入计税",ROUND(C5*F33,2),IF(D33="按房产原值计税",ROUND(C29*F33*0.7,2),INDIRECT("'数据-取费表'!Aj"&amp;$G$1))))</f>
        <v>——</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t="str">
        <f>IF(项目基本情况!B11="自然人","——",ROUND(F34*F35/10000,2))</f>
        <v>——</v>
      </c>
      <c r="D34" s="371" t="s">
        <v>1443</v>
      </c>
      <c r="E34" s="348" t="s">
        <v>1444</v>
      </c>
      <c r="F34" s="372">
        <f>'数据-取费表'!B52</f>
        <v>18</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ROUND(C29*F36,1)</f>
        <v>5.9</v>
      </c>
      <c r="D36" s="1803" t="s">
        <v>1483</v>
      </c>
      <c r="E36" s="348" t="s">
        <v>1423</v>
      </c>
      <c r="F36" s="375">
        <f ca="1">INDIRECT("'数据-取费表'!Ak"&amp;$G$1)</f>
        <v>1.4999999999999999E-2</v>
      </c>
      <c r="G36" s="1856"/>
      <c r="H36" s="1864"/>
      <c r="I36" s="1865"/>
      <c r="J36" s="1866"/>
      <c r="K36" s="752"/>
      <c r="L36" s="1864"/>
      <c r="M36" s="1864"/>
    </row>
    <row r="37" spans="1:18" ht="18" customHeight="1">
      <c r="A37" s="1205" t="s">
        <v>1075</v>
      </c>
      <c r="B37" s="348" t="s">
        <v>1454</v>
      </c>
      <c r="C37" s="24">
        <f ca="1">ROUND(C13*F37,1)</f>
        <v>0.5</v>
      </c>
      <c r="D37" s="1803" t="s">
        <v>1455</v>
      </c>
      <c r="E37" s="348" t="s">
        <v>1456</v>
      </c>
      <c r="F37" s="377">
        <f ca="1">INDIRECT("'数据-取费表'!Al"&amp;$G$1)</f>
        <v>1.5E-3</v>
      </c>
      <c r="G37" s="1856"/>
      <c r="H37" s="1864"/>
      <c r="I37" s="1865"/>
      <c r="J37" s="1866"/>
      <c r="K37" s="752"/>
      <c r="L37" s="1864"/>
      <c r="M37" s="1864"/>
    </row>
    <row r="38" spans="1:18" ht="18" customHeight="1" thickBot="1">
      <c r="A38" s="1343" t="s">
        <v>1394</v>
      </c>
      <c r="B38" s="1344" t="s">
        <v>1440</v>
      </c>
      <c r="C38" s="1345">
        <f ca="1">ROUND(C5*F38,1)</f>
        <v>1.6</v>
      </c>
      <c r="D38" s="1346" t="s">
        <v>1460</v>
      </c>
      <c r="E38" s="1344" t="s">
        <v>1456</v>
      </c>
      <c r="F38" s="1340">
        <f ca="1">INDIRECT("'数据-取费表'!Am"&amp;$G$1)</f>
        <v>0.01</v>
      </c>
      <c r="G38" s="1856"/>
      <c r="H38" s="1864"/>
      <c r="I38" s="1865"/>
      <c r="J38" s="1866"/>
      <c r="K38" s="1870"/>
      <c r="L38" s="1864"/>
      <c r="M38" s="1864"/>
    </row>
    <row r="39" spans="1:18" ht="24.6" customHeight="1" thickTop="1">
      <c r="A39" s="1333" t="s">
        <v>1031</v>
      </c>
      <c r="B39" s="1348" t="s">
        <v>1484</v>
      </c>
      <c r="C39" s="356">
        <f ca="1">C5-C30</f>
        <v>135</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3683</v>
      </c>
      <c r="D40" s="371" t="s">
        <v>1470</v>
      </c>
      <c r="E40" s="348" t="s">
        <v>1471</v>
      </c>
      <c r="F40" s="358">
        <f ca="1">INDIRECT("'数据-取费表'!I"&amp;$G$1)</f>
        <v>0.05</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41.02</v>
      </c>
      <c r="G41" s="1856"/>
      <c r="H41" s="733"/>
      <c r="I41" s="1865"/>
      <c r="J41" s="1866"/>
      <c r="K41" s="752"/>
      <c r="L41" s="733"/>
      <c r="M41" s="733"/>
    </row>
    <row r="42" spans="1:18" ht="18" customHeight="1">
      <c r="A42" s="354"/>
      <c r="B42" s="355"/>
      <c r="C42" s="356"/>
      <c r="D42" s="374"/>
      <c r="E42" s="348" t="s">
        <v>1478</v>
      </c>
      <c r="F42" s="358">
        <f ca="1">INDIRECT("'数据-取费表'!v"&amp;$G$1)</f>
        <v>0.03</v>
      </c>
      <c r="G42" s="1856"/>
      <c r="H42" s="733"/>
      <c r="I42" s="1865"/>
      <c r="J42" s="1866"/>
      <c r="K42" s="752"/>
      <c r="L42" s="733"/>
      <c r="M42" s="733"/>
    </row>
    <row r="43" spans="1:18" ht="18" customHeight="1" thickBot="1">
      <c r="A43" s="381" t="s">
        <v>1033</v>
      </c>
      <c r="B43" s="382" t="s">
        <v>1488</v>
      </c>
      <c r="C43" s="383">
        <f ca="1">ROUND(C40*10000/F43,0)</f>
        <v>40999</v>
      </c>
      <c r="D43" s="384" t="s">
        <v>1489</v>
      </c>
      <c r="E43" s="385" t="s">
        <v>1490</v>
      </c>
      <c r="F43" s="386">
        <f ca="1">INDIRECT("'数据-取费表'!k"&amp;$G$1)</f>
        <v>898.32</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1520</v>
      </c>
      <c r="P45" s="1844"/>
      <c r="Q45" s="1844"/>
      <c r="R45" s="1844"/>
    </row>
    <row r="46" spans="1:18" s="1847" customFormat="1" ht="13.5" thickBot="1">
      <c r="A46" s="1875" t="s">
        <v>1521</v>
      </c>
      <c r="C46" s="1876">
        <f ca="1">C68-C40</f>
        <v>0</v>
      </c>
      <c r="D46" s="1877" t="str">
        <f>C2</f>
        <v>万元</v>
      </c>
      <c r="E46" s="1871"/>
      <c r="F46" s="1871"/>
      <c r="I46" s="1878" t="s">
        <v>1522</v>
      </c>
      <c r="J46" s="1879"/>
      <c r="K46" s="1880"/>
      <c r="L46" s="1881">
        <f ca="1">IF(M47="住宅",0,IF(L48&gt;J51,L60,J60))</f>
        <v>5</v>
      </c>
      <c r="O46" s="1882" t="s">
        <v>1523</v>
      </c>
      <c r="P46" s="1883" t="s">
        <v>1524</v>
      </c>
      <c r="Q46" s="1884" t="s">
        <v>1525</v>
      </c>
      <c r="R46" s="1884" t="s">
        <v>1526</v>
      </c>
    </row>
    <row r="47" spans="1:18" s="1847" customFormat="1" ht="13.5" thickBot="1">
      <c r="A47" s="1169" t="s">
        <v>1397</v>
      </c>
      <c r="B47" s="1201" t="s">
        <v>1398</v>
      </c>
      <c r="C47" s="1371" t="s">
        <v>1399</v>
      </c>
      <c r="D47" s="1201" t="s">
        <v>1400</v>
      </c>
      <c r="E47" s="1283" t="s">
        <v>1401</v>
      </c>
      <c r="F47" s="1284"/>
      <c r="G47" s="793"/>
      <c r="I47" s="1885" t="s">
        <v>1527</v>
      </c>
      <c r="J47" s="1886" t="s">
        <v>3065</v>
      </c>
      <c r="K47" s="1887" t="s">
        <v>1528</v>
      </c>
      <c r="L47" s="1888">
        <f ca="1">INDIRECT("'数据-取费表'!d"&amp;$G$1)</f>
        <v>50</v>
      </c>
      <c r="M47" s="1843" t="str">
        <f>IF(ISNUMBER(FIND("住宅",C1)),"住宅","非住宅")</f>
        <v>非住宅</v>
      </c>
      <c r="O47" s="1889" t="s">
        <v>1040</v>
      </c>
      <c r="P47" s="1890" t="s">
        <v>1529</v>
      </c>
      <c r="Q47" s="1891">
        <f ca="1">C40+J29</f>
        <v>3683</v>
      </c>
      <c r="R47" s="1891" t="s">
        <v>1530</v>
      </c>
    </row>
    <row r="48" spans="1:18" s="1847" customFormat="1" ht="28.5" thickBot="1">
      <c r="A48" s="1364" t="s">
        <v>1135</v>
      </c>
      <c r="B48" s="346" t="s">
        <v>1402</v>
      </c>
      <c r="C48" s="1822">
        <f ca="1">C49+C53+C55</f>
        <v>162</v>
      </c>
      <c r="D48" s="1366"/>
      <c r="E48" s="1367"/>
      <c r="F48" s="1185"/>
      <c r="G48" s="793"/>
      <c r="H48" s="794"/>
      <c r="I48" s="1892" t="s">
        <v>1531</v>
      </c>
      <c r="J48" s="1893" t="s">
        <v>3103</v>
      </c>
      <c r="K48" s="1894" t="s">
        <v>1532</v>
      </c>
      <c r="L48" s="1895">
        <f ca="1">INDIRECT("'数据-取费表'!f"&amp;$G$1)</f>
        <v>41.02</v>
      </c>
      <c r="O48" s="1889" t="s">
        <v>1041</v>
      </c>
      <c r="P48" s="1890" t="s">
        <v>1533</v>
      </c>
      <c r="Q48" s="1891">
        <f ca="1">J60</f>
        <v>5</v>
      </c>
      <c r="R48" s="1891" t="s">
        <v>1534</v>
      </c>
    </row>
    <row r="49" spans="1:18" s="1847" customFormat="1" ht="13.5" thickBot="1">
      <c r="A49" s="1198" t="s">
        <v>1136</v>
      </c>
      <c r="B49" s="1834" t="s">
        <v>1491</v>
      </c>
      <c r="C49" s="1368">
        <f ca="1">ROUND(F49*F51*F50*(1-F52)/10000,0)</f>
        <v>162</v>
      </c>
      <c r="D49" s="1280" t="s">
        <v>3035</v>
      </c>
      <c r="E49" s="1835" t="s">
        <v>1492</v>
      </c>
      <c r="F49" s="1285">
        <f ca="1">F6</f>
        <v>5.5</v>
      </c>
      <c r="G49" s="1896"/>
      <c r="H49" s="794"/>
      <c r="I49" s="1892" t="s">
        <v>1535</v>
      </c>
      <c r="J49" s="1898">
        <v>2010</v>
      </c>
      <c r="K49" s="1894" t="s">
        <v>1536</v>
      </c>
      <c r="L49" s="1898"/>
      <c r="O49" s="1899" t="s">
        <v>1042</v>
      </c>
      <c r="P49" s="1890" t="s">
        <v>1537</v>
      </c>
      <c r="Q49" s="1891">
        <f ca="1">C29</f>
        <v>396</v>
      </c>
      <c r="R49" s="1891" t="s">
        <v>1530</v>
      </c>
    </row>
    <row r="50" spans="1:18" s="1847" customFormat="1" ht="13.5" thickBot="1">
      <c r="A50" s="1199"/>
      <c r="B50" s="1202"/>
      <c r="C50" s="1372"/>
      <c r="D50" s="1176"/>
      <c r="E50" s="1281" t="s">
        <v>1407</v>
      </c>
      <c r="F50" s="1282">
        <f ca="1">F7</f>
        <v>898.32</v>
      </c>
      <c r="H50" s="794"/>
      <c r="I50" s="1892" t="s">
        <v>1538</v>
      </c>
      <c r="J50" s="1900">
        <f>SUMPRODUCT((I63:I65=J47)*(J62:L62=J48)*(J63:L65))</f>
        <v>60</v>
      </c>
      <c r="K50" s="1894" t="s">
        <v>1539</v>
      </c>
      <c r="L50" s="1898"/>
      <c r="M50" s="1901"/>
      <c r="O50" s="1899" t="s">
        <v>1043</v>
      </c>
      <c r="P50" s="1890" t="s">
        <v>1540</v>
      </c>
      <c r="Q50" s="1902">
        <f ca="1">J58</f>
        <v>0.4</v>
      </c>
      <c r="R50" s="1891"/>
    </row>
    <row r="51" spans="1:18" s="1847" customFormat="1" ht="13.5" thickBot="1">
      <c r="A51" s="1200"/>
      <c r="B51" s="1202"/>
      <c r="C51" s="1203"/>
      <c r="D51" s="1176"/>
      <c r="E51" s="1204" t="s">
        <v>1408</v>
      </c>
      <c r="F51" s="349">
        <f ca="1">F8</f>
        <v>365</v>
      </c>
      <c r="I51" s="1903" t="s">
        <v>1541</v>
      </c>
      <c r="J51" s="1904">
        <f>IF(J49="",J50,J49+J50-YEAR('数据-取费表'!B2))</f>
        <v>53</v>
      </c>
      <c r="K51" s="1905" t="s">
        <v>1542</v>
      </c>
      <c r="L51" s="1906">
        <f ca="1">ROUND(-PV(INDIRECT("'数据-取费表'!h"&amp;$G$1),L48,(C39-C13*C76),0),0)</f>
        <v>1958</v>
      </c>
      <c r="M51" s="1907"/>
      <c r="O51" s="1899" t="s">
        <v>1044</v>
      </c>
      <c r="P51" s="1890" t="s">
        <v>1543</v>
      </c>
      <c r="Q51" s="1902">
        <f>J52</f>
        <v>0.09</v>
      </c>
      <c r="R51" s="1891"/>
    </row>
    <row r="52" spans="1:18" s="1847" customFormat="1" ht="13.5" thickBot="1">
      <c r="A52" s="1200"/>
      <c r="B52" s="1202"/>
      <c r="C52" s="1203"/>
      <c r="D52" s="1176"/>
      <c r="E52" s="1204" t="s">
        <v>1409</v>
      </c>
      <c r="F52" s="1279">
        <f ca="1">F9</f>
        <v>0.1</v>
      </c>
      <c r="I52" s="1908" t="s">
        <v>1544</v>
      </c>
      <c r="J52" s="1909">
        <v>0.09</v>
      </c>
      <c r="K52" s="1908" t="s">
        <v>1545</v>
      </c>
      <c r="L52" s="1909"/>
      <c r="O52" s="1899" t="s">
        <v>1045</v>
      </c>
      <c r="P52" s="1890" t="s">
        <v>1546</v>
      </c>
      <c r="Q52" s="1891">
        <f ca="1">J53</f>
        <v>41.02</v>
      </c>
      <c r="R52" s="1891" t="s">
        <v>1547</v>
      </c>
    </row>
    <row r="53" spans="1:18" s="1847" customFormat="1" ht="24.75" thickBot="1">
      <c r="A53" s="1409" t="s">
        <v>1137</v>
      </c>
      <c r="B53" s="1836" t="s">
        <v>1410</v>
      </c>
      <c r="C53" s="362">
        <f ca="1">ROUND(IF(F53="押一",F49*F51*F50/12*F11,IF(F53="押二",F49*F51*F50/12*2*F11,IF(F53="押三",F49*F51*F50/12*3*F11,C54*F11)))/10000,0)</f>
        <v>0</v>
      </c>
      <c r="D53" s="1829" t="s">
        <v>3033</v>
      </c>
      <c r="E53" s="359" t="s">
        <v>1412</v>
      </c>
      <c r="F53" s="1370" t="s">
        <v>3104</v>
      </c>
      <c r="I53" s="1910" t="s">
        <v>1548</v>
      </c>
      <c r="J53" s="1911">
        <f ca="1">IF(M47="住宅",J51,IF(D1="——",MIN(J51,L48),IF(D1="在建（套用方法）",MIN(J51,L48-'数据-取费表'!B24),IF(D1="土地（套用方法）",MIN(J51,L48-'数据-取费表'!B20)))))</f>
        <v>41.02</v>
      </c>
      <c r="K53" s="3202" t="s">
        <v>1549</v>
      </c>
      <c r="L53" s="3203"/>
      <c r="O53" s="1889" t="s">
        <v>1046</v>
      </c>
      <c r="P53" s="1890" t="s">
        <v>1550</v>
      </c>
      <c r="Q53" s="1891">
        <f ca="1">Q47+Q48</f>
        <v>3688</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0.2</v>
      </c>
      <c r="K55" s="1917" t="s">
        <v>1553</v>
      </c>
      <c r="L55" s="1918" t="s">
        <v>1554</v>
      </c>
      <c r="O55" s="1882" t="s">
        <v>1523</v>
      </c>
      <c r="P55" s="1883" t="s">
        <v>1524</v>
      </c>
      <c r="Q55" s="1884" t="s">
        <v>1525</v>
      </c>
      <c r="R55" s="1884" t="s">
        <v>1526</v>
      </c>
    </row>
    <row r="56" spans="1:18" s="1847" customFormat="1" ht="25.5" thickTop="1" thickBot="1">
      <c r="A56" s="1180">
        <v>2</v>
      </c>
      <c r="B56" s="1181" t="s">
        <v>1415</v>
      </c>
      <c r="C56" s="277">
        <f ca="1">C13</f>
        <v>348</v>
      </c>
      <c r="D56" s="1919"/>
      <c r="E56" s="1920"/>
      <c r="F56" s="1912"/>
      <c r="I56" s="1921" t="s">
        <v>1555</v>
      </c>
      <c r="J56" s="1922" t="s">
        <v>3046</v>
      </c>
      <c r="K56" s="1892" t="s">
        <v>1556</v>
      </c>
      <c r="L56" s="1895" t="str">
        <f ca="1">IF(L48&lt;J51,"——",L48-J53)</f>
        <v>——</v>
      </c>
      <c r="O56" s="1889" t="s">
        <v>1040</v>
      </c>
      <c r="P56" s="1890" t="s">
        <v>1529</v>
      </c>
      <c r="Q56" s="1891">
        <f ca="1">C40+J29</f>
        <v>3683</v>
      </c>
      <c r="R56" s="1891" t="s">
        <v>1530</v>
      </c>
    </row>
    <row r="57" spans="1:18" s="1847" customFormat="1" ht="24.75" thickBot="1">
      <c r="A57" s="1923"/>
      <c r="B57" s="1173" t="s">
        <v>1479</v>
      </c>
      <c r="C57" s="283">
        <f ca="1">C29</f>
        <v>396</v>
      </c>
      <c r="D57" s="1924"/>
      <c r="E57" s="1925"/>
      <c r="F57" s="1926"/>
      <c r="I57" s="1927" t="s">
        <v>1557</v>
      </c>
      <c r="J57" s="1928">
        <f ca="1">IF(OR(M47="住宅",J51&lt;L48,J56="是"),"——",J51-L48)</f>
        <v>11.979999999999997</v>
      </c>
      <c r="K57" s="1892" t="s">
        <v>1558</v>
      </c>
      <c r="L57" s="1895" t="str">
        <f ca="1">IF(L48&lt;J51,"——",IF(L55="比较法",L49,IF(L55="基准地价",L50,L51)))</f>
        <v>——</v>
      </c>
      <c r="O57" s="1889" t="s">
        <v>1041</v>
      </c>
      <c r="P57" s="1890" t="s">
        <v>1559</v>
      </c>
      <c r="Q57" s="1891">
        <f ca="1">L60</f>
        <v>0</v>
      </c>
      <c r="R57" s="1891" t="s">
        <v>1560</v>
      </c>
    </row>
    <row r="58" spans="1:18" s="1847" customFormat="1" ht="24.75" thickBot="1">
      <c r="A58" s="361" t="s">
        <v>1030</v>
      </c>
      <c r="B58" s="1181" t="s">
        <v>1425</v>
      </c>
      <c r="C58" s="362">
        <f ca="1">ROUND(C59+C64+C65+C66,0)</f>
        <v>27</v>
      </c>
      <c r="D58" s="1183" t="s">
        <v>1426</v>
      </c>
      <c r="E58" s="1184"/>
      <c r="F58" s="1185"/>
      <c r="I58" s="1927" t="s">
        <v>1561</v>
      </c>
      <c r="J58" s="1929">
        <f ca="1">IF(J55&lt;0.4,0.4,J55)</f>
        <v>0.4</v>
      </c>
      <c r="K58" s="1905" t="s">
        <v>1562</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ROUND(IF(项目基本情况!B11="自然人",C48*F59,C60+C61+C62),1)</f>
        <v>19.399999999999999</v>
      </c>
      <c r="D59" s="1186" t="s">
        <v>1431</v>
      </c>
      <c r="E59" s="1187" t="s">
        <v>1432</v>
      </c>
      <c r="F59" s="369">
        <f ca="1">IF(项目基本情况!B11="企业","",IF(INDIRECT("'数据-取费表'!c"&amp;$G$1)="住宅",5%,IF(F49*F50*F51/12/(1+'数据-取费表'!C42)&gt;20000,12%,7%)))</f>
        <v>0.12</v>
      </c>
      <c r="I59" s="1927" t="s">
        <v>1564</v>
      </c>
      <c r="J59" s="1928">
        <f ca="1">IF(OR(M47="住宅",J51&lt;L48,J56="是"),"——",ROUND(C29*J58,0))</f>
        <v>158</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t="str">
        <f>IF(项目基本情况!B11="自然人","——",ROUND(C48*F60/(1+'数据-取费表'!C42),2))</f>
        <v>——</v>
      </c>
      <c r="D60" s="1187" t="s">
        <v>1435</v>
      </c>
      <c r="E60" s="1173" t="s">
        <v>1423</v>
      </c>
      <c r="F60" s="378">
        <f t="shared" ref="F60:F66" si="0">F32</f>
        <v>5.6000000000000001E-2</v>
      </c>
      <c r="I60" s="1930" t="s">
        <v>1566</v>
      </c>
      <c r="J60" s="1931">
        <f ca="1">IF(OR(M47="住宅",J51&lt;L48,J56="是"),"0",ROUND(J59/(1+J52)^J53,0))</f>
        <v>5</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1493</v>
      </c>
      <c r="B61" s="1173" t="s">
        <v>1494</v>
      </c>
      <c r="C61" s="24" t="str">
        <f ca="1">IF(项目基本情况!B11="自然人","——",IF(D61="按租金收入计税",ROUND(C48*F61,2),IF(D61="按房产原值计税",ROUND(C57*F61*0.7,2),INDIRECT("'数据-取费表'!Aj"&amp;$G$1))))</f>
        <v>——</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1496</v>
      </c>
      <c r="B62" s="1172" t="s">
        <v>1497</v>
      </c>
      <c r="C62" s="25" t="str">
        <f>IF(项目基本情况!B11="自然人","——",ROUND(F62*F63/10000,2))</f>
        <v>——</v>
      </c>
      <c r="D62" s="1188" t="s">
        <v>1498</v>
      </c>
      <c r="E62" s="1173" t="s">
        <v>1499</v>
      </c>
      <c r="F62" s="372">
        <f t="shared" si="0"/>
        <v>18</v>
      </c>
      <c r="I62" s="1934" t="s">
        <v>1571</v>
      </c>
      <c r="J62" s="1935" t="s">
        <v>1572</v>
      </c>
      <c r="K62" s="1935" t="s">
        <v>1573</v>
      </c>
      <c r="L62" s="1935" t="s">
        <v>1574</v>
      </c>
      <c r="M62" s="1936" t="s">
        <v>1575</v>
      </c>
      <c r="O62" s="1889" t="s">
        <v>1046</v>
      </c>
      <c r="P62" s="1890" t="s">
        <v>1576</v>
      </c>
      <c r="Q62" s="1891">
        <f ca="1">Q56+Q57</f>
        <v>3683</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ROUND(C57*F64,1)</f>
        <v>5.9</v>
      </c>
      <c r="D64" s="1187" t="s">
        <v>1503</v>
      </c>
      <c r="E64" s="1173" t="s">
        <v>1495</v>
      </c>
      <c r="F64" s="375">
        <f t="shared" ca="1" si="0"/>
        <v>1.4999999999999999E-2</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ROUND(C56*F65,1)</f>
        <v>0.5</v>
      </c>
      <c r="D65" s="1187" t="s">
        <v>1455</v>
      </c>
      <c r="E65" s="1173" t="s">
        <v>1456</v>
      </c>
      <c r="F65" s="377">
        <f t="shared" ca="1" si="0"/>
        <v>1.5E-3</v>
      </c>
      <c r="I65" s="1934" t="s">
        <v>1580</v>
      </c>
      <c r="J65" s="1935">
        <v>40</v>
      </c>
      <c r="K65" s="1935">
        <v>30</v>
      </c>
      <c r="L65" s="1935">
        <v>50</v>
      </c>
      <c r="M65" s="1937">
        <v>0.02</v>
      </c>
      <c r="O65" s="1889" t="s">
        <v>1040</v>
      </c>
      <c r="P65" s="1890" t="s">
        <v>1581</v>
      </c>
      <c r="Q65" s="1891">
        <f ca="1">C40+J29</f>
        <v>3683</v>
      </c>
      <c r="R65" s="1891" t="s">
        <v>1530</v>
      </c>
    </row>
    <row r="66" spans="1:18" s="1847" customFormat="1" ht="16.5" thickBot="1">
      <c r="A66" s="1205" t="s">
        <v>1505</v>
      </c>
      <c r="B66" s="1173" t="s">
        <v>1440</v>
      </c>
      <c r="C66" s="24">
        <f ca="1">ROUND(C48*F66,1)</f>
        <v>1.6</v>
      </c>
      <c r="D66" s="1187" t="s">
        <v>1506</v>
      </c>
      <c r="E66" s="1173" t="s">
        <v>1423</v>
      </c>
      <c r="F66" s="358">
        <f t="shared" ca="1" si="0"/>
        <v>0.01</v>
      </c>
      <c r="O66" s="1889" t="s">
        <v>1041</v>
      </c>
      <c r="P66" s="1890" t="s">
        <v>1559</v>
      </c>
      <c r="Q66" s="1891">
        <f ca="1">L60</f>
        <v>0</v>
      </c>
      <c r="R66" s="1891" t="s">
        <v>1582</v>
      </c>
    </row>
    <row r="67" spans="1:18" s="1847" customFormat="1" ht="16.5" thickBot="1">
      <c r="A67" s="1180" t="s">
        <v>1031</v>
      </c>
      <c r="B67" s="1190" t="s">
        <v>1464</v>
      </c>
      <c r="C67" s="362">
        <f ca="1">C48-C58</f>
        <v>135</v>
      </c>
      <c r="D67" s="1186" t="s">
        <v>1465</v>
      </c>
      <c r="E67" s="1191"/>
      <c r="F67" s="1192"/>
      <c r="O67" s="1899" t="s">
        <v>1042</v>
      </c>
      <c r="P67" s="1890" t="s">
        <v>1563</v>
      </c>
      <c r="Q67" s="1938">
        <f ca="1">L51</f>
        <v>1958</v>
      </c>
      <c r="R67" s="1891" t="s">
        <v>1583</v>
      </c>
    </row>
    <row r="68" spans="1:18" s="1847" customFormat="1" ht="16.5" thickBot="1">
      <c r="A68" s="1170" t="s">
        <v>1032</v>
      </c>
      <c r="B68" s="1171" t="s">
        <v>1486</v>
      </c>
      <c r="C68" s="347">
        <f ca="1">ROUND(C67*(1-((1+F70)/(1+F68))^F69)/(F68-F70),0)</f>
        <v>3683</v>
      </c>
      <c r="D68" s="1188" t="s">
        <v>1470</v>
      </c>
      <c r="E68" s="1173" t="s">
        <v>1471</v>
      </c>
      <c r="F68" s="358">
        <f ca="1">F40</f>
        <v>0.05</v>
      </c>
      <c r="O68" s="1899" t="s">
        <v>1043</v>
      </c>
      <c r="P68" s="1939" t="s">
        <v>1584</v>
      </c>
      <c r="Q68" s="1891">
        <f ca="1">ROUND(Q69-Q70*Q71,0)</f>
        <v>105</v>
      </c>
      <c r="R68" s="1891" t="s">
        <v>1051</v>
      </c>
    </row>
    <row r="69" spans="1:18" s="1847" customFormat="1" ht="13.5" thickBot="1">
      <c r="A69" s="1174"/>
      <c r="B69" s="1175"/>
      <c r="C69" s="352"/>
      <c r="D69" s="1193" t="s">
        <v>1474</v>
      </c>
      <c r="E69" s="1173" t="s">
        <v>1475</v>
      </c>
      <c r="F69" s="380">
        <f ca="1">F41</f>
        <v>41.02</v>
      </c>
      <c r="O69" s="1899" t="s">
        <v>1048</v>
      </c>
      <c r="P69" s="1939" t="s">
        <v>1585</v>
      </c>
      <c r="Q69" s="1891">
        <f ca="1">C39</f>
        <v>135</v>
      </c>
      <c r="R69" s="1891" t="s">
        <v>1530</v>
      </c>
    </row>
    <row r="70" spans="1:18" s="1847" customFormat="1" ht="13.5" thickBot="1">
      <c r="A70" s="1177"/>
      <c r="B70" s="1178"/>
      <c r="C70" s="356"/>
      <c r="D70" s="1189"/>
      <c r="E70" s="1173" t="s">
        <v>1478</v>
      </c>
      <c r="F70" s="1279">
        <f ca="1">F42</f>
        <v>0.03</v>
      </c>
      <c r="O70" s="1899" t="s">
        <v>1049</v>
      </c>
      <c r="P70" s="1939" t="s">
        <v>1586</v>
      </c>
      <c r="Q70" s="1891">
        <f ca="1">C13</f>
        <v>348</v>
      </c>
      <c r="R70" s="1891" t="s">
        <v>1530</v>
      </c>
    </row>
    <row r="71" spans="1:18" s="1847" customFormat="1" ht="13.5" thickBot="1">
      <c r="A71" s="1194" t="s">
        <v>1033</v>
      </c>
      <c r="B71" s="1195" t="s">
        <v>1488</v>
      </c>
      <c r="C71" s="383">
        <f ca="1">ROUND(C68*10000/F71,0)</f>
        <v>40999</v>
      </c>
      <c r="D71" s="1196" t="s">
        <v>1489</v>
      </c>
      <c r="E71" s="1197" t="s">
        <v>1490</v>
      </c>
      <c r="F71" s="386">
        <f ca="1">F43</f>
        <v>898.32</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1507</v>
      </c>
      <c r="C75" s="388">
        <f ca="1">ROUND(C13*C76,0)</f>
        <v>30</v>
      </c>
      <c r="D75" s="1847"/>
      <c r="E75" s="1847"/>
      <c r="F75" s="1847"/>
      <c r="K75" s="1873"/>
      <c r="L75" s="1847"/>
      <c r="O75" s="1889" t="s">
        <v>1046</v>
      </c>
      <c r="P75" s="1890" t="s">
        <v>1550</v>
      </c>
      <c r="Q75" s="1891">
        <f ca="1">Q65+Q66</f>
        <v>3683</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0.77800000000000002</v>
      </c>
    </row>
    <row r="80" spans="1:18">
      <c r="B80" s="387" t="s">
        <v>1512</v>
      </c>
      <c r="C80" s="319">
        <f ca="1">ROUND(C75/C39,3)</f>
        <v>0.222</v>
      </c>
    </row>
    <row r="81" spans="2:3">
      <c r="B81" s="315" t="s">
        <v>1513</v>
      </c>
      <c r="C81" s="283"/>
    </row>
    <row r="82" spans="2:3">
      <c r="B82" s="318" t="s">
        <v>1514</v>
      </c>
      <c r="C82" s="320">
        <f ca="1">1-C83</f>
        <v>0.90600000000000003</v>
      </c>
    </row>
    <row r="83" spans="2:3">
      <c r="B83" s="318" t="s">
        <v>1515</v>
      </c>
      <c r="C83" s="319">
        <f ca="1">ROUND(C13/C40,3)</f>
        <v>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c r="D1" s="1825"/>
      <c r="E1" s="1826" t="s">
        <v>1388</v>
      </c>
      <c r="F1" s="1287" t="b">
        <f>J53</f>
        <v>0</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1591</v>
      </c>
      <c r="B2" s="1849" t="e">
        <f ca="1">ROUND(D2/10000,0)</f>
        <v>#DIV/0!</v>
      </c>
      <c r="C2" s="1850" t="s">
        <v>1592</v>
      </c>
      <c r="D2" s="1943" t="e">
        <f ca="1">C40+J29+L46</f>
        <v>#DIV/0!</v>
      </c>
      <c r="E2" s="1851" t="s">
        <v>1593</v>
      </c>
      <c r="F2" s="1852"/>
      <c r="G2" s="1853"/>
      <c r="H2" s="1845"/>
      <c r="I2" s="1845"/>
      <c r="J2" s="1845"/>
      <c r="K2" s="1846"/>
      <c r="L2" s="1845"/>
      <c r="M2" s="1845"/>
    </row>
    <row r="3" spans="1:37" ht="18" customHeight="1" thickBot="1">
      <c r="A3" s="1854" t="s">
        <v>1594</v>
      </c>
      <c r="B3" s="1855">
        <f ca="1">IF(ISERROR(D2/F43),0,ROUND(D2/F43,0))</f>
        <v>0</v>
      </c>
      <c r="C3" s="1850" t="s">
        <v>1595</v>
      </c>
      <c r="D3" s="1850"/>
      <c r="E3" s="1851"/>
      <c r="F3" s="1852"/>
      <c r="G3" s="1853"/>
      <c r="H3" s="745" t="s">
        <v>1589</v>
      </c>
      <c r="I3" s="1845"/>
      <c r="J3" s="1845"/>
      <c r="K3" s="1846"/>
      <c r="L3" s="1845"/>
      <c r="M3" s="1845"/>
    </row>
    <row r="4" spans="1:37" ht="18" customHeight="1">
      <c r="A4" s="341" t="s">
        <v>1596</v>
      </c>
      <c r="B4" s="342" t="s">
        <v>1597</v>
      </c>
      <c r="C4" s="342" t="s">
        <v>1598</v>
      </c>
      <c r="D4" s="342" t="s">
        <v>1599</v>
      </c>
      <c r="E4" s="343" t="s">
        <v>1600</v>
      </c>
      <c r="F4" s="344"/>
      <c r="G4" s="1856"/>
      <c r="H4" s="341" t="s">
        <v>1596</v>
      </c>
      <c r="I4" s="342" t="s">
        <v>1597</v>
      </c>
      <c r="J4" s="342" t="s">
        <v>1598</v>
      </c>
      <c r="K4" s="342" t="s">
        <v>1599</v>
      </c>
      <c r="L4" s="343" t="s">
        <v>1600</v>
      </c>
      <c r="M4" s="344"/>
    </row>
    <row r="5" spans="1:37" ht="18" customHeight="1">
      <c r="A5" s="345">
        <v>1</v>
      </c>
      <c r="B5" s="346" t="s">
        <v>1601</v>
      </c>
      <c r="C5" s="1296">
        <f ca="1">C6+C10+C12</f>
        <v>0</v>
      </c>
      <c r="D5" s="1827" t="s">
        <v>1602</v>
      </c>
      <c r="E5" s="1297"/>
      <c r="F5" s="1298"/>
      <c r="G5" s="1856"/>
      <c r="H5" s="345">
        <v>1</v>
      </c>
      <c r="I5" s="346" t="s">
        <v>1601</v>
      </c>
      <c r="J5" s="1296">
        <f ca="1">J6+J10+J12</f>
        <v>0</v>
      </c>
      <c r="K5" s="1827" t="s">
        <v>1602</v>
      </c>
      <c r="L5" s="1297"/>
      <c r="M5" s="1298"/>
    </row>
    <row r="6" spans="1:37" ht="18" customHeight="1">
      <c r="A6" s="1295" t="s">
        <v>1035</v>
      </c>
      <c r="B6" s="3204" t="s">
        <v>1404</v>
      </c>
      <c r="C6" s="1300">
        <f ca="1">ROUND(F6*F8*F7*(1-F9),0)</f>
        <v>0</v>
      </c>
      <c r="D6" s="165" t="s">
        <v>3027</v>
      </c>
      <c r="E6" s="348" t="s">
        <v>1406</v>
      </c>
      <c r="F6" s="349">
        <f ca="1">INDIRECT("'数据-取费表'!u"&amp;$G$1)</f>
        <v>0</v>
      </c>
      <c r="G6" s="1856"/>
      <c r="H6" s="1295" t="s">
        <v>1035</v>
      </c>
      <c r="I6" s="3204" t="s">
        <v>1404</v>
      </c>
      <c r="J6" s="347">
        <f ca="1">ROUND(M6*M8*M7*(1-M9),0)</f>
        <v>0</v>
      </c>
      <c r="K6" s="1839" t="s">
        <v>3030</v>
      </c>
      <c r="L6" s="348" t="s">
        <v>1406</v>
      </c>
      <c r="M6" s="349">
        <f ca="1">INDIRECT("'数据-取费表'!z"&amp;$G$1)</f>
        <v>0</v>
      </c>
    </row>
    <row r="7" spans="1:37" ht="18" customHeight="1">
      <c r="A7" s="1299"/>
      <c r="B7" s="3205"/>
      <c r="C7" s="1301"/>
      <c r="D7" s="353"/>
      <c r="E7" s="1302" t="s">
        <v>1407</v>
      </c>
      <c r="F7" s="349">
        <f ca="1">IF(INDIRECT("'数据-取费表'!ah"&amp;$G$1)="",INDIRECT("'数据-取费表'!k"&amp;$G$1),INDIRECT("'数据-取费表'!ah"&amp;$G$1))</f>
        <v>0</v>
      </c>
      <c r="G7" s="1856"/>
      <c r="H7" s="350"/>
      <c r="I7" s="3205"/>
      <c r="J7" s="352"/>
      <c r="K7" s="353"/>
      <c r="L7" s="348" t="s">
        <v>1407</v>
      </c>
      <c r="M7" s="349">
        <f ca="1">F7</f>
        <v>0</v>
      </c>
    </row>
    <row r="8" spans="1:37" ht="18" customHeight="1">
      <c r="A8" s="350"/>
      <c r="B8" s="3205"/>
      <c r="C8" s="352"/>
      <c r="D8" s="353"/>
      <c r="E8" s="348" t="s">
        <v>1408</v>
      </c>
      <c r="F8" s="349">
        <f ca="1">INDIRECT("'数据-取费表'!ai"&amp;$G$1)</f>
        <v>0</v>
      </c>
      <c r="G8" s="1856"/>
      <c r="H8" s="350"/>
      <c r="I8" s="3205"/>
      <c r="J8" s="352"/>
      <c r="K8" s="353"/>
      <c r="L8" s="348" t="s">
        <v>1408</v>
      </c>
      <c r="M8" s="349">
        <f ca="1">INDIRECT("'数据-取费表'!ai"&amp;$G$1)</f>
        <v>0</v>
      </c>
    </row>
    <row r="9" spans="1:37" ht="18" customHeight="1">
      <c r="A9" s="350"/>
      <c r="B9" s="3206"/>
      <c r="C9" s="352"/>
      <c r="D9" s="353"/>
      <c r="E9" s="348" t="s">
        <v>1409</v>
      </c>
      <c r="F9" s="358">
        <f ca="1">INDIRECT("'数据-取费表'!w"&amp;$G$1)</f>
        <v>0</v>
      </c>
      <c r="G9" s="1856"/>
      <c r="H9" s="350"/>
      <c r="I9" s="3206"/>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3028</v>
      </c>
      <c r="E10" s="359" t="s">
        <v>1412</v>
      </c>
      <c r="F10" s="1370"/>
      <c r="G10" s="1856"/>
      <c r="H10" s="1295" t="s">
        <v>1039</v>
      </c>
      <c r="I10" s="1828" t="s">
        <v>1410</v>
      </c>
      <c r="J10" s="347">
        <f ca="1">ROUND(IF(M10="押一",M6*M8*M7/12*M11,IF(M10="押二",M6*M8*M7/12*2*M11,IF(M10="押三",M6*M8*M7/12*3*M11,J11*M11))),0)</f>
        <v>0</v>
      </c>
      <c r="K10" s="1840" t="s">
        <v>3029</v>
      </c>
      <c r="L10" s="359" t="s">
        <v>1412</v>
      </c>
      <c r="M10" s="1370"/>
    </row>
    <row r="11" spans="1:37" ht="18" customHeight="1">
      <c r="A11" s="354"/>
      <c r="B11" s="1830" t="s">
        <v>1603</v>
      </c>
      <c r="C11" s="1182"/>
      <c r="D11" s="353"/>
      <c r="E11" s="359" t="s">
        <v>1413</v>
      </c>
      <c r="F11" s="360">
        <f ca="1">'数据-取费表'!B39</f>
        <v>1.4999999999999999E-2</v>
      </c>
      <c r="G11" s="1856"/>
      <c r="H11" s="1303"/>
      <c r="I11" s="1830" t="s">
        <v>1604</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0</v>
      </c>
      <c r="D13" s="1335" t="s">
        <v>1416</v>
      </c>
      <c r="E13" s="1335" t="s">
        <v>1417</v>
      </c>
      <c r="F13" s="1336">
        <f ca="1">INDIRECT("'数据-取费表'!y"&amp;$G$1)</f>
        <v>0</v>
      </c>
      <c r="G13" s="1856"/>
      <c r="H13" s="1333">
        <v>2</v>
      </c>
      <c r="I13" s="1334" t="s">
        <v>1415</v>
      </c>
      <c r="J13" s="1294">
        <f ca="1">ROUND(J14*J15,0)</f>
        <v>0</v>
      </c>
      <c r="K13" s="1341" t="s">
        <v>1416</v>
      </c>
      <c r="L13" s="1857"/>
      <c r="M13" s="1858"/>
    </row>
    <row r="14" spans="1:37" ht="18" customHeight="1">
      <c r="A14" s="1205" t="s">
        <v>1034</v>
      </c>
      <c r="B14" s="348" t="s">
        <v>1418</v>
      </c>
      <c r="C14" s="364">
        <f ca="1">ROUND(INDIRECT("'数据-取费表'!l"&amp;$G$1)*F43+'数据-取费表'!L14*INDIRECT("'数据-取费表'!S"&amp;$G$1),0)</f>
        <v>0</v>
      </c>
      <c r="D14" s="1805" t="s">
        <v>1419</v>
      </c>
      <c r="E14" s="1799"/>
      <c r="F14" s="365"/>
      <c r="G14" s="1856"/>
      <c r="H14" s="1205" t="s">
        <v>1035</v>
      </c>
      <c r="I14" s="348" t="s">
        <v>1420</v>
      </c>
      <c r="J14" s="24">
        <f ca="1">C29</f>
        <v>0</v>
      </c>
      <c r="K14" s="15"/>
      <c r="L14" s="983"/>
      <c r="M14" s="984"/>
    </row>
    <row r="15" spans="1:37" s="1863" customFormat="1" ht="18" customHeight="1" thickBot="1">
      <c r="A15" s="1205" t="s">
        <v>1036</v>
      </c>
      <c r="B15" s="348" t="s">
        <v>1421</v>
      </c>
      <c r="C15" s="24">
        <f ca="1">ROUND(C14*F15,0)</f>
        <v>0</v>
      </c>
      <c r="D15" s="366" t="s">
        <v>1422</v>
      </c>
      <c r="E15" s="366" t="s">
        <v>1423</v>
      </c>
      <c r="F15" s="367">
        <f>'数据-取费表'!B33</f>
        <v>0.03</v>
      </c>
      <c r="G15" s="1859"/>
      <c r="H15" s="1343" t="s">
        <v>1039</v>
      </c>
      <c r="I15" s="1344" t="s">
        <v>1417</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ROUND(INDIRECT("'数据-取费表'!l"&amp;$G$1)*F43*F16,0)</f>
        <v>0</v>
      </c>
      <c r="D16" s="348" t="s">
        <v>1422</v>
      </c>
      <c r="E16" s="348" t="s">
        <v>1423</v>
      </c>
      <c r="F16" s="368">
        <f ca="1">IF(INDIRECT("'数据-取费表'!c"&amp;$G$1)="住宅",'数据-取费表'!B34,0)</f>
        <v>0</v>
      </c>
      <c r="G16" s="1856"/>
      <c r="H16" s="1333" t="s">
        <v>1030</v>
      </c>
      <c r="I16" s="1334" t="s">
        <v>1425</v>
      </c>
      <c r="J16" s="356">
        <f ca="1">ROUND(J17+J22+J23+J24,0)</f>
        <v>0</v>
      </c>
      <c r="K16" s="1341" t="s">
        <v>1426</v>
      </c>
      <c r="L16" s="1342"/>
      <c r="M16" s="1298"/>
    </row>
    <row r="17" spans="1:37" s="1863" customFormat="1" ht="18" customHeight="1">
      <c r="A17" s="1205" t="s">
        <v>1391</v>
      </c>
      <c r="B17" s="348" t="s">
        <v>1427</v>
      </c>
      <c r="C17" s="24">
        <f ca="1">ROUND(F17*(F43+INDIRECT("'数据-取费表'!S"&amp;$G$1)),0)</f>
        <v>0</v>
      </c>
      <c r="D17" s="348" t="s">
        <v>1428</v>
      </c>
      <c r="E17" s="348" t="s">
        <v>1429</v>
      </c>
      <c r="F17" s="26">
        <f>'数据-取费表'!B35</f>
        <v>100</v>
      </c>
      <c r="G17" s="1859"/>
      <c r="H17" s="1205" t="s">
        <v>1035</v>
      </c>
      <c r="I17" s="348" t="s">
        <v>1430</v>
      </c>
      <c r="J17" s="24">
        <f ca="1">ROUND(IF(项目基本情况!B11="自然人",J5*M17,J18+J19+J20),0)</f>
        <v>0</v>
      </c>
      <c r="K17" s="1805" t="s">
        <v>1431</v>
      </c>
      <c r="L17" s="1803" t="s">
        <v>1432</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0</v>
      </c>
      <c r="D18" s="348" t="s">
        <v>1422</v>
      </c>
      <c r="E18" s="348" t="s">
        <v>1423</v>
      </c>
      <c r="F18" s="368">
        <f>'数据-取费表'!B36</f>
        <v>1.4999999999999999E-2</v>
      </c>
      <c r="G18" s="1859"/>
      <c r="H18" s="1205" t="s">
        <v>1034</v>
      </c>
      <c r="I18" s="348" t="s">
        <v>1434</v>
      </c>
      <c r="J18" s="24">
        <f ca="1">ROUND(J5*M18/(1+'数据-取费表'!C42),0)</f>
        <v>0</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0</v>
      </c>
      <c r="D19" s="140" t="s">
        <v>1437</v>
      </c>
      <c r="E19" s="1823"/>
      <c r="F19" s="26"/>
      <c r="G19" s="1856"/>
      <c r="H19" s="1205" t="s">
        <v>1036</v>
      </c>
      <c r="I19" s="348" t="s">
        <v>1438</v>
      </c>
      <c r="J19" s="24">
        <f ca="1">IF(K19="按租金收入计税",ROUND(J5*M19,0),ROUND(C29*M19*0.7,0))</f>
        <v>0</v>
      </c>
      <c r="K19" s="1833" t="s">
        <v>1439</v>
      </c>
      <c r="L19" s="348" t="s">
        <v>1423</v>
      </c>
      <c r="M19" s="368">
        <f>IF(K19="按租金收入计税",'数据-取费表'!B51,'数据-取费表'!B50)</f>
        <v>1.2E-2</v>
      </c>
    </row>
    <row r="20" spans="1:37" s="1863" customFormat="1" ht="18" customHeight="1">
      <c r="A20" s="1205" t="s">
        <v>1039</v>
      </c>
      <c r="B20" s="348" t="s">
        <v>1440</v>
      </c>
      <c r="C20" s="24">
        <f ca="1">ROUND(C19*F20,0)</f>
        <v>0</v>
      </c>
      <c r="D20" s="370" t="s">
        <v>1441</v>
      </c>
      <c r="E20" s="348" t="s">
        <v>1423</v>
      </c>
      <c r="F20" s="368">
        <f>'数据-取费表'!B37</f>
        <v>0.02</v>
      </c>
      <c r="G20" s="1859"/>
      <c r="H20" s="1205" t="s">
        <v>1390</v>
      </c>
      <c r="I20" s="165" t="s">
        <v>1442</v>
      </c>
      <c r="J20" s="25">
        <f ca="1">ROUND(M20*M21,0)</f>
        <v>0</v>
      </c>
      <c r="K20" s="371" t="s">
        <v>1443</v>
      </c>
      <c r="L20" s="348" t="s">
        <v>1444</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ROUND(J14*M22,0)</f>
        <v>0</v>
      </c>
      <c r="K22" s="1803" t="s">
        <v>1451</v>
      </c>
      <c r="L22" s="348" t="s">
        <v>1423</v>
      </c>
      <c r="M22" s="375">
        <f ca="1">INDIRECT("'数据-取费表'!Ak"&amp;$G$1)</f>
        <v>0</v>
      </c>
    </row>
    <row r="23" spans="1:37" s="1863" customFormat="1" ht="18" customHeight="1">
      <c r="A23" s="1205" t="s">
        <v>1034</v>
      </c>
      <c r="B23" s="348" t="s">
        <v>1452</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1453</v>
      </c>
      <c r="F23" s="372">
        <f>'数据-取费表'!B20</f>
        <v>1.5</v>
      </c>
      <c r="G23" s="1859"/>
      <c r="H23" s="1205" t="s">
        <v>1075</v>
      </c>
      <c r="I23" s="348" t="s">
        <v>1454</v>
      </c>
      <c r="J23" s="24">
        <f ca="1">ROUND(J13*M23,0)</f>
        <v>0</v>
      </c>
      <c r="K23" s="1803" t="s">
        <v>1455</v>
      </c>
      <c r="L23" s="348" t="s">
        <v>1456</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6.9999999999999999E-4</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ROUND(J5*M24,0)</f>
        <v>0</v>
      </c>
      <c r="K24" s="1346" t="s">
        <v>1460</v>
      </c>
      <c r="L24" s="1344" t="s">
        <v>1456</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1461</v>
      </c>
      <c r="B25" s="348" t="s">
        <v>1462</v>
      </c>
      <c r="C25" s="24"/>
      <c r="D25" s="140" t="s">
        <v>1463</v>
      </c>
      <c r="E25" s="1823"/>
      <c r="F25" s="26"/>
      <c r="G25" s="1856"/>
      <c r="H25" s="1333" t="s">
        <v>1031</v>
      </c>
      <c r="I25" s="1348" t="s">
        <v>1464</v>
      </c>
      <c r="J25" s="356">
        <f ca="1">J5-J16</f>
        <v>0</v>
      </c>
      <c r="K25" s="1349" t="s">
        <v>1465</v>
      </c>
      <c r="L25" s="1350"/>
      <c r="M25" s="1351"/>
    </row>
    <row r="26" spans="1:37" ht="18" customHeight="1">
      <c r="A26" s="1205" t="s">
        <v>1034</v>
      </c>
      <c r="B26" s="348" t="s">
        <v>1466</v>
      </c>
      <c r="C26" s="24">
        <f ca="1">ROUND((C19+C20)*F26,0)</f>
        <v>0</v>
      </c>
      <c r="D26" s="370" t="s">
        <v>1467</v>
      </c>
      <c r="E26" s="359" t="s">
        <v>1468</v>
      </c>
      <c r="F26" s="358">
        <f ca="1">INDIRECT("'数据-取费表'!q"&amp;$G$1)</f>
        <v>0</v>
      </c>
      <c r="G26" s="1856"/>
      <c r="H26" s="345" t="s">
        <v>1032</v>
      </c>
      <c r="I26" s="346" t="s">
        <v>1469</v>
      </c>
      <c r="J26" s="347">
        <f ca="1">IF(J5&lt;&gt;0,ROUND(J25*(1-((1+M28)/(1+M26))^M27)/(M26-M28),0),0)</f>
        <v>0</v>
      </c>
      <c r="K26" s="371" t="s">
        <v>1470</v>
      </c>
      <c r="L26" s="348" t="s">
        <v>1471</v>
      </c>
      <c r="M26" s="358">
        <f ca="1">INDIRECT("'数据-取费表'!I"&amp;$G$1)</f>
        <v>0</v>
      </c>
    </row>
    <row r="27" spans="1:37" ht="18" customHeight="1">
      <c r="A27" s="1205" t="s">
        <v>1036</v>
      </c>
      <c r="B27" s="348" t="s">
        <v>1472</v>
      </c>
      <c r="C27" s="24">
        <f ca="1">ROUND(F21*F26,4)</f>
        <v>0</v>
      </c>
      <c r="D27" s="370" t="s">
        <v>1473</v>
      </c>
      <c r="E27" s="366"/>
      <c r="F27" s="367"/>
      <c r="G27" s="1856"/>
      <c r="H27" s="350"/>
      <c r="I27" s="351"/>
      <c r="J27" s="352"/>
      <c r="K27" s="379" t="s">
        <v>1474</v>
      </c>
      <c r="L27" s="348" t="s">
        <v>1475</v>
      </c>
      <c r="M27" s="380">
        <f ca="1">INDIRECT("'数据-取费表'!ag"&amp;$G$1)</f>
        <v>0</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0</v>
      </c>
      <c r="D29" s="1346"/>
      <c r="E29" s="1344"/>
      <c r="F29" s="1347"/>
      <c r="G29" s="1859"/>
      <c r="H29" s="381" t="s">
        <v>1033</v>
      </c>
      <c r="I29" s="382" t="s">
        <v>1480</v>
      </c>
      <c r="J29" s="383">
        <f ca="1">ROUND(J26/(1+F40)^F41,0)</f>
        <v>0</v>
      </c>
      <c r="K29" s="384" t="s">
        <v>1481</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0</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ROUND(IF(项目基本情况!B11="自然人",C5*F31,C32+C33+C34),0)</f>
        <v>0</v>
      </c>
      <c r="D31" s="1805" t="s">
        <v>1431</v>
      </c>
      <c r="E31" s="1803" t="s">
        <v>1482</v>
      </c>
      <c r="F31" s="369">
        <f ca="1">IF(项目基本情况!B11="企业","",IF(INDIRECT("'数据-取费表'!c"&amp;$G$1)="住宅",5%,IF(F6*F7*F8/12/(1+'数据-取费表'!C42)&gt;20000,12%,7%)))</f>
        <v>7.0000000000000007E-2</v>
      </c>
      <c r="G31" s="1856"/>
      <c r="H31" s="746"/>
      <c r="I31" s="747"/>
      <c r="J31" s="748"/>
      <c r="K31" s="749"/>
      <c r="L31" s="750"/>
      <c r="M31" s="751"/>
    </row>
    <row r="32" spans="1:37" ht="18" customHeight="1">
      <c r="A32" s="1205" t="s">
        <v>1034</v>
      </c>
      <c r="B32" s="348" t="s">
        <v>1434</v>
      </c>
      <c r="C32" s="24" t="str">
        <f>IF(项目基本情况!B11="自然人","——",ROUND(C5*F32/(1+'数据-取费表'!C42),0))</f>
        <v>——</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t="str">
        <f ca="1">IF(项目基本情况!B11="自然人","——",IF(D33="按租金收入计税",ROUND(C5*F33,0),IF(D33="按房产原值计税",ROUND(C29*F33*0.7,0),INDIRECT("'数据-取费表'!Aj"&amp;$G$1))))</f>
        <v>——</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t="str">
        <f>IF(项目基本情况!B11="自然人","——",ROUND(F34*F35,))</f>
        <v>——</v>
      </c>
      <c r="D34" s="371" t="s">
        <v>1443</v>
      </c>
      <c r="E34" s="348" t="s">
        <v>1444</v>
      </c>
      <c r="F34" s="372">
        <f>'数据-取费表'!B52</f>
        <v>18</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ROUND(C29*F36,0)</f>
        <v>0</v>
      </c>
      <c r="D36" s="1803" t="s">
        <v>1483</v>
      </c>
      <c r="E36" s="348" t="s">
        <v>1423</v>
      </c>
      <c r="F36" s="375">
        <f ca="1">INDIRECT("'数据-取费表'!Ak"&amp;$G$1)</f>
        <v>0</v>
      </c>
      <c r="G36" s="1856"/>
      <c r="H36" s="1864"/>
      <c r="I36" s="1865"/>
      <c r="J36" s="1866"/>
      <c r="K36" s="752"/>
      <c r="L36" s="1864"/>
      <c r="M36" s="1864"/>
    </row>
    <row r="37" spans="1:18" ht="18" customHeight="1">
      <c r="A37" s="1205" t="s">
        <v>1075</v>
      </c>
      <c r="B37" s="348" t="s">
        <v>1454</v>
      </c>
      <c r="C37" s="24">
        <f ca="1">ROUND(C13*F37,0)</f>
        <v>0</v>
      </c>
      <c r="D37" s="1803" t="s">
        <v>1455</v>
      </c>
      <c r="E37" s="348" t="s">
        <v>1456</v>
      </c>
      <c r="F37" s="377">
        <f ca="1">INDIRECT("'数据-取费表'!Al"&amp;$G$1)</f>
        <v>0</v>
      </c>
      <c r="G37" s="1856"/>
      <c r="H37" s="1864"/>
      <c r="I37" s="1865"/>
      <c r="J37" s="1866"/>
      <c r="K37" s="752"/>
      <c r="L37" s="1864"/>
      <c r="M37" s="1864"/>
    </row>
    <row r="38" spans="1:18" ht="18" customHeight="1" thickBot="1">
      <c r="A38" s="1343" t="s">
        <v>1394</v>
      </c>
      <c r="B38" s="1344" t="s">
        <v>1440</v>
      </c>
      <c r="C38" s="1345">
        <f ca="1">ROUND(C5*F38,1)</f>
        <v>0</v>
      </c>
      <c r="D38" s="1346" t="s">
        <v>1460</v>
      </c>
      <c r="E38" s="1344" t="s">
        <v>1456</v>
      </c>
      <c r="F38" s="1340">
        <f ca="1">INDIRECT("'数据-取费表'!Am"&amp;$G$1)</f>
        <v>0</v>
      </c>
      <c r="G38" s="1856"/>
      <c r="H38" s="1864"/>
      <c r="I38" s="1865"/>
      <c r="J38" s="1866"/>
      <c r="K38" s="1870"/>
      <c r="L38" s="1864"/>
      <c r="M38" s="1864"/>
    </row>
    <row r="39" spans="1:18" ht="24.6" customHeight="1" thickTop="1">
      <c r="A39" s="1333" t="s">
        <v>1031</v>
      </c>
      <c r="B39" s="1348" t="s">
        <v>1484</v>
      </c>
      <c r="C39" s="356">
        <f ca="1">C5-C30</f>
        <v>0</v>
      </c>
      <c r="D39" s="1349" t="s">
        <v>1485</v>
      </c>
      <c r="E39" s="1350"/>
      <c r="F39" s="1351"/>
      <c r="G39" s="1856"/>
      <c r="H39" s="1864"/>
      <c r="I39" s="1865"/>
      <c r="J39" s="1866"/>
      <c r="K39" s="1870"/>
      <c r="L39" s="1864"/>
      <c r="M39" s="1864"/>
    </row>
    <row r="40" spans="1:18" ht="18" customHeight="1">
      <c r="A40" s="345" t="s">
        <v>1032</v>
      </c>
      <c r="B40" s="346" t="s">
        <v>1486</v>
      </c>
      <c r="C40" s="347" t="e">
        <f ca="1">ROUND(C39*(1-((1+F42)/(1+F40))^F41)/(F40-F42),0)</f>
        <v>#DIV/0!</v>
      </c>
      <c r="D40" s="371" t="s">
        <v>1470</v>
      </c>
      <c r="E40" s="348" t="s">
        <v>1471</v>
      </c>
      <c r="F40" s="358">
        <f ca="1">INDIRECT("'数据-取费表'!I"&amp;$G$1)</f>
        <v>0</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t="e">
        <f ca="1">ROUND(C40/F43,0)</f>
        <v>#DIV/0!</v>
      </c>
      <c r="D43" s="384" t="s">
        <v>1489</v>
      </c>
      <c r="E43" s="385" t="s">
        <v>1490</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1605</v>
      </c>
      <c r="E45" s="1871"/>
      <c r="F45" s="1871"/>
      <c r="O45" s="1874" t="s">
        <v>1520</v>
      </c>
      <c r="P45" s="1844"/>
      <c r="Q45" s="1844"/>
      <c r="R45" s="1844"/>
    </row>
    <row r="46" spans="1:18" s="1847" customFormat="1" ht="13.5" thickBot="1">
      <c r="A46" s="1875" t="s">
        <v>1521</v>
      </c>
      <c r="C46" s="1876" t="e">
        <f ca="1">ROUND(C45/10000,0)</f>
        <v>#DIV/0!</v>
      </c>
      <c r="D46" s="1877" t="str">
        <f>C2</f>
        <v>万元</v>
      </c>
      <c r="I46" s="1878" t="s">
        <v>1522</v>
      </c>
      <c r="J46" s="1879"/>
      <c r="K46" s="1880"/>
      <c r="L46" s="1881" t="e">
        <f ca="1">IF(M47="住宅",0,IF(L48&gt;J51,L60,J60))</f>
        <v>#DIV/0!</v>
      </c>
      <c r="O46" s="1882" t="s">
        <v>1523</v>
      </c>
      <c r="P46" s="1883" t="s">
        <v>1524</v>
      </c>
      <c r="Q46" s="1884" t="s">
        <v>1525</v>
      </c>
      <c r="R46" s="1884" t="s">
        <v>1526</v>
      </c>
    </row>
    <row r="47" spans="1:18" s="1847" customFormat="1" ht="13.5" thickBot="1">
      <c r="A47" s="1169" t="s">
        <v>1397</v>
      </c>
      <c r="B47" s="1201" t="s">
        <v>1398</v>
      </c>
      <c r="C47" s="1201" t="s">
        <v>1399</v>
      </c>
      <c r="D47" s="1201" t="s">
        <v>1400</v>
      </c>
      <c r="E47" s="1283" t="s">
        <v>1401</v>
      </c>
      <c r="F47" s="1284"/>
      <c r="G47" s="793"/>
      <c r="I47" s="1885" t="s">
        <v>1527</v>
      </c>
      <c r="J47" s="1886"/>
      <c r="K47" s="1887" t="s">
        <v>1528</v>
      </c>
      <c r="L47" s="1888">
        <f ca="1">INDIRECT("'数据-取费表'!d"&amp;$G$1)</f>
        <v>0</v>
      </c>
      <c r="M47" s="1843" t="str">
        <f>IF(ISNUMBER(FIND("住宅",C1)),"住宅","非住宅")</f>
        <v>非住宅</v>
      </c>
      <c r="O47" s="1889" t="s">
        <v>1040</v>
      </c>
      <c r="P47" s="1890" t="s">
        <v>1529</v>
      </c>
      <c r="Q47" s="1891" t="e">
        <f ca="1">C40+J29</f>
        <v>#DIV/0!</v>
      </c>
      <c r="R47" s="1891" t="s">
        <v>1530</v>
      </c>
    </row>
    <row r="48" spans="1:18" s="1847" customFormat="1" ht="28.5" thickBot="1">
      <c r="A48" s="1364" t="s">
        <v>1135</v>
      </c>
      <c r="B48" s="346" t="s">
        <v>1402</v>
      </c>
      <c r="C48" s="1822">
        <f ca="1">C49+C53+C55</f>
        <v>0</v>
      </c>
      <c r="D48" s="1366"/>
      <c r="E48" s="1367"/>
      <c r="F48" s="1185"/>
      <c r="G48" s="793"/>
      <c r="H48" s="794"/>
      <c r="I48" s="1892" t="s">
        <v>1531</v>
      </c>
      <c r="J48" s="1893"/>
      <c r="K48" s="1894" t="s">
        <v>1532</v>
      </c>
      <c r="L48" s="1895">
        <f ca="1">INDIRECT("'数据-取费表'!f"&amp;$G$1)</f>
        <v>0</v>
      </c>
      <c r="O48" s="1889" t="s">
        <v>1041</v>
      </c>
      <c r="P48" s="1890" t="s">
        <v>1533</v>
      </c>
      <c r="Q48" s="1891" t="e">
        <f ca="1">J60</f>
        <v>#DIV/0!</v>
      </c>
      <c r="R48" s="1891" t="s">
        <v>1534</v>
      </c>
    </row>
    <row r="49" spans="1:18" s="1847" customFormat="1" ht="13.5" thickBot="1">
      <c r="A49" s="1198" t="s">
        <v>1136</v>
      </c>
      <c r="B49" s="1834" t="s">
        <v>1491</v>
      </c>
      <c r="C49" s="1368">
        <f ca="1">ROUND(F49*F51*F50*(1-F52),0)</f>
        <v>0</v>
      </c>
      <c r="D49" s="1280" t="s">
        <v>1405</v>
      </c>
      <c r="E49" s="1835" t="s">
        <v>1492</v>
      </c>
      <c r="F49" s="1285"/>
      <c r="G49" s="1896"/>
      <c r="H49" s="794"/>
      <c r="I49" s="1892" t="s">
        <v>1535</v>
      </c>
      <c r="J49" s="1897"/>
      <c r="K49" s="1894" t="s">
        <v>1536</v>
      </c>
      <c r="L49" s="1898"/>
      <c r="O49" s="1899" t="s">
        <v>1042</v>
      </c>
      <c r="P49" s="1890" t="s">
        <v>1537</v>
      </c>
      <c r="Q49" s="1891">
        <f ca="1">C29</f>
        <v>0</v>
      </c>
      <c r="R49" s="1891" t="s">
        <v>1530</v>
      </c>
    </row>
    <row r="50" spans="1:18" s="1847" customFormat="1" ht="13.5" thickBot="1">
      <c r="A50" s="1199"/>
      <c r="B50" s="1202"/>
      <c r="C50" s="1203"/>
      <c r="D50" s="1176"/>
      <c r="E50" s="1281" t="s">
        <v>1407</v>
      </c>
      <c r="F50" s="1282">
        <f ca="1">F7</f>
        <v>0</v>
      </c>
      <c r="H50" s="794"/>
      <c r="I50" s="1892" t="s">
        <v>1538</v>
      </c>
      <c r="J50" s="1900">
        <f>SUMPRODUCT((I63:I65=J47)*(J62:L62=J48)*(J63:L65))</f>
        <v>0</v>
      </c>
      <c r="K50" s="1894" t="s">
        <v>1539</v>
      </c>
      <c r="L50" s="1898"/>
      <c r="M50" s="1901"/>
      <c r="O50" s="1899" t="s">
        <v>1043</v>
      </c>
      <c r="P50" s="1890" t="s">
        <v>1540</v>
      </c>
      <c r="Q50" s="1902" t="e">
        <f ca="1">J58</f>
        <v>#DIV/0!</v>
      </c>
      <c r="R50" s="1891"/>
    </row>
    <row r="51" spans="1:18" s="1847" customFormat="1" ht="13.5" thickBot="1">
      <c r="A51" s="1200"/>
      <c r="B51" s="1202"/>
      <c r="C51" s="1203"/>
      <c r="D51" s="1176"/>
      <c r="E51" s="1204" t="s">
        <v>1408</v>
      </c>
      <c r="F51" s="349">
        <f ca="1">F8</f>
        <v>0</v>
      </c>
      <c r="I51" s="1903" t="s">
        <v>1541</v>
      </c>
      <c r="J51" s="1904">
        <f>IF(J49="",J50,J49+J50-YEAR('数据-取费表'!B2))</f>
        <v>0</v>
      </c>
      <c r="K51" s="1905" t="s">
        <v>1542</v>
      </c>
      <c r="L51" s="1906">
        <f ca="1">ROUND(-PV(INDIRECT("'数据-取费表'!h"&amp;$G$1),L48,(C39-C13*C76),0),0)</f>
        <v>0</v>
      </c>
      <c r="M51" s="1907"/>
      <c r="O51" s="1899" t="s">
        <v>1044</v>
      </c>
      <c r="P51" s="1890" t="s">
        <v>1543</v>
      </c>
      <c r="Q51" s="1902">
        <f>J52</f>
        <v>0</v>
      </c>
      <c r="R51" s="1891"/>
    </row>
    <row r="52" spans="1:18" s="1847" customFormat="1" ht="13.5" thickBot="1">
      <c r="A52" s="1200"/>
      <c r="B52" s="1202"/>
      <c r="C52" s="1203"/>
      <c r="D52" s="1176"/>
      <c r="E52" s="1204" t="s">
        <v>1409</v>
      </c>
      <c r="F52" s="1279"/>
      <c r="I52" s="1908" t="s">
        <v>1544</v>
      </c>
      <c r="J52" s="1909"/>
      <c r="K52" s="1908" t="s">
        <v>1545</v>
      </c>
      <c r="L52" s="1909"/>
      <c r="O52" s="1899" t="s">
        <v>1045</v>
      </c>
      <c r="P52" s="1890" t="s">
        <v>1546</v>
      </c>
      <c r="Q52" s="1891" t="b">
        <f>J53</f>
        <v>0</v>
      </c>
      <c r="R52" s="1891" t="s">
        <v>1547</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1548</v>
      </c>
      <c r="J53" s="1911" t="b">
        <f>IF(M47="住宅",J51,IF(D1="——",MIN(J51,L48),IF(D1="在建（套用方法）",MIN(J51,L48-'数据-取费表'!B24),IF(D1="土地（套用方法）",MIN(J51,L48-'数据-取费表'!B20)))))</f>
        <v>0</v>
      </c>
      <c r="K53" s="3202" t="s">
        <v>1549</v>
      </c>
      <c r="L53" s="3203"/>
      <c r="O53" s="1889" t="s">
        <v>1046</v>
      </c>
      <c r="P53" s="1890" t="s">
        <v>1550</v>
      </c>
      <c r="Q53" s="1891" t="e">
        <f ca="1">Q47+Q48</f>
        <v>#DIV/0!</v>
      </c>
      <c r="R53" s="1891" t="s">
        <v>1047</v>
      </c>
    </row>
    <row r="54" spans="1:18" s="1847" customFormat="1" ht="13.5" thickBot="1">
      <c r="A54" s="1198"/>
      <c r="B54" s="1946" t="s">
        <v>1604</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t="e">
        <f ca="1">ROUND(IF(J47="钢混",J57/J50,1-(1-2%)*(J50-J57)/J50),3)</f>
        <v>#DIV/0!</v>
      </c>
      <c r="K55" s="1917" t="s">
        <v>1553</v>
      </c>
      <c r="L55" s="1918"/>
      <c r="O55" s="1882" t="s">
        <v>1523</v>
      </c>
      <c r="P55" s="1883" t="s">
        <v>1524</v>
      </c>
      <c r="Q55" s="1884" t="s">
        <v>1525</v>
      </c>
      <c r="R55" s="1884" t="s">
        <v>1526</v>
      </c>
    </row>
    <row r="56" spans="1:18" s="1847" customFormat="1" ht="36" customHeight="1" thickTop="1" thickBot="1">
      <c r="A56" s="1180">
        <v>2</v>
      </c>
      <c r="B56" s="1181" t="s">
        <v>1415</v>
      </c>
      <c r="C56" s="277">
        <f ca="1">C13</f>
        <v>0</v>
      </c>
      <c r="D56" s="1919"/>
      <c r="E56" s="1920"/>
      <c r="F56" s="1912"/>
      <c r="I56" s="1921" t="s">
        <v>1555</v>
      </c>
      <c r="J56" s="1922"/>
      <c r="K56" s="1892" t="s">
        <v>1556</v>
      </c>
      <c r="L56" s="1895">
        <f ca="1">IF(L48&lt;J51,"——",L48-J51)</f>
        <v>0</v>
      </c>
      <c r="O56" s="1889" t="s">
        <v>1040</v>
      </c>
      <c r="P56" s="1890" t="s">
        <v>1529</v>
      </c>
      <c r="Q56" s="1891" t="e">
        <f ca="1">C40+J29</f>
        <v>#DIV/0!</v>
      </c>
      <c r="R56" s="1891" t="s">
        <v>1530</v>
      </c>
    </row>
    <row r="57" spans="1:18" s="1847" customFormat="1" ht="24.75" thickBot="1">
      <c r="A57" s="1923"/>
      <c r="B57" s="1173" t="s">
        <v>1479</v>
      </c>
      <c r="C57" s="283">
        <f ca="1">C29</f>
        <v>0</v>
      </c>
      <c r="D57" s="1924"/>
      <c r="E57" s="1925"/>
      <c r="F57" s="1926"/>
      <c r="I57" s="1927" t="s">
        <v>1557</v>
      </c>
      <c r="J57" s="1928">
        <f ca="1">IF(OR(M47="住宅",J51&lt;L48,J56="是"),"——",J51-L48)</f>
        <v>0</v>
      </c>
      <c r="K57" s="1892" t="s">
        <v>1606</v>
      </c>
      <c r="L57" s="1895">
        <f ca="1">IF(L48&lt;J51,"——",IF(L55="比较法",L49,IF(L55="基准地价",L50,L51)))</f>
        <v>0</v>
      </c>
      <c r="O57" s="1889" t="s">
        <v>1041</v>
      </c>
      <c r="P57" s="1890" t="s">
        <v>1607</v>
      </c>
      <c r="Q57" s="1891" t="e">
        <f ca="1">L60</f>
        <v>#DIV/0!</v>
      </c>
      <c r="R57" s="1891" t="s">
        <v>1608</v>
      </c>
    </row>
    <row r="58" spans="1:18" s="1847" customFormat="1" ht="24.75" thickBot="1">
      <c r="A58" s="361" t="s">
        <v>1030</v>
      </c>
      <c r="B58" s="1181" t="s">
        <v>1425</v>
      </c>
      <c r="C58" s="362">
        <f ca="1">ROUND(C59+C64+C65+C66,0)</f>
        <v>0</v>
      </c>
      <c r="D58" s="1183" t="s">
        <v>1426</v>
      </c>
      <c r="E58" s="1184"/>
      <c r="F58" s="1185"/>
      <c r="I58" s="1927" t="s">
        <v>1561</v>
      </c>
      <c r="J58" s="1929" t="e">
        <f ca="1">IF(J55&lt;0.4,0.4,J55)</f>
        <v>#DIV/0!</v>
      </c>
      <c r="K58" s="1905" t="s">
        <v>1609</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ROUND(IF(项目基本情况!B11="自然人",C48*F59,C60+C61+C62),0)</f>
        <v>0</v>
      </c>
      <c r="D59" s="1186" t="s">
        <v>1431</v>
      </c>
      <c r="E59" s="1187" t="s">
        <v>1432</v>
      </c>
      <c r="F59" s="369">
        <f ca="1">IF(项目基本情况!B11="企业","",IF(INDIRECT("'数据-取费表'!c"&amp;$G$1)="住宅",5%,IF(F49*F50*F51/12/(1+'数据-取费表'!C42)&gt;20000,12%,7%)))</f>
        <v>7.0000000000000007E-2</v>
      </c>
      <c r="I59" s="1927" t="s">
        <v>1564</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t="str">
        <f>IF(项目基本情况!B11="自然人","——",ROUND(C48*F60/(1+'数据-取费表'!C42),0))</f>
        <v>——</v>
      </c>
      <c r="D60" s="1187" t="s">
        <v>1435</v>
      </c>
      <c r="E60" s="1173" t="s">
        <v>1423</v>
      </c>
      <c r="F60" s="378">
        <f t="shared" ref="F60:F66" si="0">F32</f>
        <v>5.6000000000000001E-2</v>
      </c>
      <c r="I60" s="1930" t="s">
        <v>1566</v>
      </c>
      <c r="J60" s="1931" t="e">
        <f ca="1">IF(OR(M47="住宅",J51&lt;L48,J56="是"),"0",ROUND(J59/(1+J52)^J53,0))</f>
        <v>#DIV/0!</v>
      </c>
      <c r="K60" s="1932" t="s">
        <v>1567</v>
      </c>
      <c r="L60" s="1931" t="e">
        <f ca="1">IF(OR(M47="住宅",L48&lt;J51),0,ROUND(L57*(L58/L59-1),0))</f>
        <v>#DIV/0!</v>
      </c>
      <c r="O60" s="1899" t="s">
        <v>1044</v>
      </c>
      <c r="P60" s="1890" t="s">
        <v>1568</v>
      </c>
      <c r="Q60" s="1891" t="e">
        <f ca="1">L58</f>
        <v>#DIV/0!</v>
      </c>
      <c r="R60" s="1891" t="s">
        <v>1569</v>
      </c>
    </row>
    <row r="61" spans="1:18" s="1847" customFormat="1" ht="13.5" thickBot="1">
      <c r="A61" s="1205" t="s">
        <v>1493</v>
      </c>
      <c r="B61" s="1173" t="s">
        <v>1494</v>
      </c>
      <c r="C61" s="24" t="str">
        <f ca="1">IF(项目基本情况!B11="自然人","——",IF(D61="按租金收入计税",ROUND(C48*F61,0),IF(D61="按房产原值计税",ROUND(C57*F61*0.7,0),INDIRECT("'数据-取费表'!Aj"&amp;$G$1))))</f>
        <v>——</v>
      </c>
      <c r="D61" s="1833" t="s">
        <v>1439</v>
      </c>
      <c r="E61" s="1173" t="s">
        <v>1495</v>
      </c>
      <c r="F61" s="368">
        <f t="shared" si="0"/>
        <v>1.2E-2</v>
      </c>
      <c r="I61" s="1933"/>
      <c r="J61" s="1933"/>
      <c r="K61" s="1933"/>
      <c r="L61" s="1933"/>
      <c r="O61" s="1899" t="s">
        <v>1045</v>
      </c>
      <c r="P61" s="1890" t="str">
        <f>K59</f>
        <v>建设期及建筑物耐用年限下的土地年期修正系数Kn</v>
      </c>
      <c r="Q61" s="1891" t="e">
        <f ca="1">L59</f>
        <v>#DIV/0!</v>
      </c>
      <c r="R61" s="1891" t="s">
        <v>1570</v>
      </c>
    </row>
    <row r="62" spans="1:18" s="1847" customFormat="1" ht="13.5" thickBot="1">
      <c r="A62" s="1205" t="s">
        <v>1496</v>
      </c>
      <c r="B62" s="1172" t="s">
        <v>1497</v>
      </c>
      <c r="C62" s="25" t="str">
        <f>IF(项目基本情况!B11="自然人","——",ROUND(F62*F63,0))</f>
        <v>——</v>
      </c>
      <c r="D62" s="1188" t="s">
        <v>1498</v>
      </c>
      <c r="E62" s="1173" t="s">
        <v>1499</v>
      </c>
      <c r="F62" s="372">
        <f t="shared" si="0"/>
        <v>18</v>
      </c>
      <c r="I62" s="1934" t="s">
        <v>1571</v>
      </c>
      <c r="J62" s="1935" t="s">
        <v>1572</v>
      </c>
      <c r="K62" s="1935" t="s">
        <v>1573</v>
      </c>
      <c r="L62" s="1935" t="s">
        <v>1574</v>
      </c>
      <c r="M62" s="1936" t="s">
        <v>1575</v>
      </c>
      <c r="O62" s="1889" t="s">
        <v>1046</v>
      </c>
      <c r="P62" s="1890" t="s">
        <v>1576</v>
      </c>
      <c r="Q62" s="1891" t="e">
        <f ca="1">Q56+Q57</f>
        <v>#DIV/0!</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ROUND(C57*F64,0)</f>
        <v>0</v>
      </c>
      <c r="D64" s="1187" t="s">
        <v>1503</v>
      </c>
      <c r="E64" s="1173" t="s">
        <v>1495</v>
      </c>
      <c r="F64" s="375">
        <f t="shared" ca="1" si="0"/>
        <v>0</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ROUND(C56*F65,0)</f>
        <v>0</v>
      </c>
      <c r="D65" s="1187" t="s">
        <v>1455</v>
      </c>
      <c r="E65" s="1173" t="s">
        <v>1456</v>
      </c>
      <c r="F65" s="377">
        <f t="shared" ca="1" si="0"/>
        <v>0</v>
      </c>
      <c r="I65" s="1934" t="s">
        <v>1580</v>
      </c>
      <c r="J65" s="1935">
        <v>40</v>
      </c>
      <c r="K65" s="1935">
        <v>30</v>
      </c>
      <c r="L65" s="1935">
        <v>50</v>
      </c>
      <c r="M65" s="1937">
        <v>0.02</v>
      </c>
      <c r="O65" s="1889" t="s">
        <v>1040</v>
      </c>
      <c r="P65" s="1890" t="s">
        <v>1581</v>
      </c>
      <c r="Q65" s="1891" t="e">
        <f ca="1">C40+J29</f>
        <v>#DIV/0!</v>
      </c>
      <c r="R65" s="1891" t="s">
        <v>1530</v>
      </c>
    </row>
    <row r="66" spans="1:18" s="1847" customFormat="1" ht="16.5" thickBot="1">
      <c r="A66" s="1205" t="s">
        <v>1505</v>
      </c>
      <c r="B66" s="1173" t="s">
        <v>1440</v>
      </c>
      <c r="C66" s="24">
        <f ca="1">ROUND(C48*F66,0)</f>
        <v>0</v>
      </c>
      <c r="D66" s="1187" t="s">
        <v>1506</v>
      </c>
      <c r="E66" s="1173" t="s">
        <v>1423</v>
      </c>
      <c r="F66" s="358">
        <f t="shared" ca="1" si="0"/>
        <v>0</v>
      </c>
      <c r="O66" s="1889" t="s">
        <v>1041</v>
      </c>
      <c r="P66" s="1890" t="s">
        <v>1559</v>
      </c>
      <c r="Q66" s="1891" t="e">
        <f ca="1">L60</f>
        <v>#DIV/0!</v>
      </c>
      <c r="R66" s="1891" t="s">
        <v>1582</v>
      </c>
    </row>
    <row r="67" spans="1:18" s="1847" customFormat="1" ht="16.5" thickBot="1">
      <c r="A67" s="1180" t="s">
        <v>1031</v>
      </c>
      <c r="B67" s="1190" t="s">
        <v>1464</v>
      </c>
      <c r="C67" s="362">
        <f ca="1">C48-C58</f>
        <v>0</v>
      </c>
      <c r="D67" s="1186" t="s">
        <v>1465</v>
      </c>
      <c r="E67" s="1191"/>
      <c r="F67" s="1192"/>
      <c r="O67" s="1899" t="s">
        <v>1042</v>
      </c>
      <c r="P67" s="1890" t="s">
        <v>1563</v>
      </c>
      <c r="Q67" s="1938">
        <f ca="1">L51</f>
        <v>0</v>
      </c>
      <c r="R67" s="1891" t="s">
        <v>1583</v>
      </c>
    </row>
    <row r="68" spans="1:18" s="1847" customFormat="1" ht="16.5" thickBot="1">
      <c r="A68" s="1170" t="s">
        <v>1032</v>
      </c>
      <c r="B68" s="1171" t="s">
        <v>1486</v>
      </c>
      <c r="C68" s="347" t="e">
        <f ca="1">ROUND(C67*(1-((1+F70)/(1+F68))^F69)/(F68-F70),0)</f>
        <v>#DIV/0!</v>
      </c>
      <c r="D68" s="1188" t="s">
        <v>1470</v>
      </c>
      <c r="E68" s="1173" t="s">
        <v>1471</v>
      </c>
      <c r="F68" s="358">
        <f ca="1">F40</f>
        <v>0</v>
      </c>
      <c r="O68" s="1899" t="s">
        <v>1043</v>
      </c>
      <c r="P68" s="1939" t="s">
        <v>1584</v>
      </c>
      <c r="Q68" s="1891">
        <f ca="1">ROUND(Q69-Q70*Q71,0)</f>
        <v>0</v>
      </c>
      <c r="R68" s="1891" t="s">
        <v>1051</v>
      </c>
    </row>
    <row r="69" spans="1:18" s="1847" customFormat="1" ht="13.5" thickBot="1">
      <c r="A69" s="1174"/>
      <c r="B69" s="1175"/>
      <c r="C69" s="352"/>
      <c r="D69" s="1193" t="s">
        <v>1474</v>
      </c>
      <c r="E69" s="1173" t="s">
        <v>1475</v>
      </c>
      <c r="F69" s="380">
        <f ca="1">F41</f>
        <v>0</v>
      </c>
      <c r="O69" s="1899" t="s">
        <v>1048</v>
      </c>
      <c r="P69" s="1939" t="s">
        <v>1585</v>
      </c>
      <c r="Q69" s="1891">
        <f ca="1">C39</f>
        <v>0</v>
      </c>
      <c r="R69" s="1891" t="s">
        <v>1530</v>
      </c>
    </row>
    <row r="70" spans="1:18" s="1847" customFormat="1" ht="13.5" thickBot="1">
      <c r="A70" s="1177"/>
      <c r="B70" s="1178"/>
      <c r="C70" s="356"/>
      <c r="D70" s="1189"/>
      <c r="E70" s="1173" t="s">
        <v>1478</v>
      </c>
      <c r="F70" s="1279">
        <f ca="1">F42</f>
        <v>0</v>
      </c>
      <c r="O70" s="1899" t="s">
        <v>1049</v>
      </c>
      <c r="P70" s="1939" t="s">
        <v>1586</v>
      </c>
      <c r="Q70" s="1891">
        <f ca="1">C13</f>
        <v>0</v>
      </c>
      <c r="R70" s="1891" t="s">
        <v>1530</v>
      </c>
    </row>
    <row r="71" spans="1:18" s="1847" customFormat="1" ht="13.5" thickBot="1">
      <c r="A71" s="1194" t="s">
        <v>1033</v>
      </c>
      <c r="B71" s="1195" t="s">
        <v>1488</v>
      </c>
      <c r="C71" s="383" t="e">
        <f ca="1">ROUND(C68/F71,0)</f>
        <v>#DIV/0!</v>
      </c>
      <c r="D71" s="1196" t="s">
        <v>1489</v>
      </c>
      <c r="E71" s="1197" t="s">
        <v>1490</v>
      </c>
      <c r="F71" s="386">
        <f ca="1">F43</f>
        <v>0</v>
      </c>
      <c r="O71" s="1899" t="s">
        <v>1050</v>
      </c>
      <c r="P71" s="1939" t="s">
        <v>1587</v>
      </c>
      <c r="Q71" s="1902">
        <f ca="1">C76</f>
        <v>0</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建设期及建筑物耐用年限下的土地年期修正系数Kn</v>
      </c>
      <c r="Q74" s="1891" t="e">
        <f ca="1">L59</f>
        <v>#DIV/0!</v>
      </c>
      <c r="R74" s="1891" t="s">
        <v>1570</v>
      </c>
    </row>
    <row r="75" spans="1:18" ht="13.5" thickBot="1">
      <c r="A75" s="1847"/>
      <c r="B75" s="387" t="s">
        <v>1507</v>
      </c>
      <c r="C75" s="388">
        <f ca="1">ROUND(C13*C76,0)</f>
        <v>0</v>
      </c>
      <c r="D75" s="1847"/>
      <c r="E75" s="1847"/>
      <c r="F75" s="1847"/>
      <c r="K75" s="1873"/>
      <c r="L75" s="1847"/>
      <c r="O75" s="1889" t="s">
        <v>1046</v>
      </c>
      <c r="P75" s="1890" t="s">
        <v>1550</v>
      </c>
      <c r="Q75" s="1891" t="e">
        <f ca="1">Q65+Q66</f>
        <v>#DIV/0!</v>
      </c>
      <c r="R75" s="1891" t="s">
        <v>1047</v>
      </c>
    </row>
    <row r="76" spans="1:18">
      <c r="B76" s="389" t="s">
        <v>1508</v>
      </c>
      <c r="C76" s="390">
        <f ca="1">INDIRECT("'数据-取费表'!j"&amp;$G$1)</f>
        <v>0</v>
      </c>
      <c r="I76" s="1847"/>
      <c r="J76" s="1847"/>
      <c r="K76" s="1873"/>
      <c r="L76" s="1847"/>
    </row>
    <row r="77" spans="1:18">
      <c r="B77" s="391" t="s">
        <v>1509</v>
      </c>
      <c r="C77" s="392"/>
      <c r="I77" s="1847"/>
      <c r="J77" s="1847"/>
      <c r="K77" s="1873"/>
      <c r="L77" s="1847"/>
    </row>
    <row r="78" spans="1:18">
      <c r="B78" s="315" t="s">
        <v>1510</v>
      </c>
      <c r="C78" s="393"/>
    </row>
    <row r="79" spans="1:18">
      <c r="B79" s="387" t="s">
        <v>1511</v>
      </c>
      <c r="C79" s="319" t="e">
        <f ca="1">1-C80</f>
        <v>#DIV/0!</v>
      </c>
    </row>
    <row r="80" spans="1:18">
      <c r="B80" s="387" t="s">
        <v>1512</v>
      </c>
      <c r="C80" s="319" t="e">
        <f ca="1">ROUND(C75/C39,3)</f>
        <v>#DIV/0!</v>
      </c>
    </row>
    <row r="81" spans="2:3">
      <c r="B81" s="315" t="s">
        <v>1513</v>
      </c>
      <c r="C81" s="283"/>
    </row>
    <row r="82" spans="2:3">
      <c r="B82" s="318" t="s">
        <v>1514</v>
      </c>
      <c r="C82" s="320" t="e">
        <f ca="1">1-C83</f>
        <v>#DIV/0!</v>
      </c>
    </row>
    <row r="83" spans="2:3">
      <c r="B83" s="318" t="s">
        <v>1515</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7" t="s">
        <v>2524</v>
      </c>
      <c r="B1" s="2568"/>
      <c r="C1" s="2568"/>
      <c r="D1" s="2568"/>
      <c r="E1" s="2569"/>
    </row>
    <row r="2" spans="1:6" ht="15.75">
      <c r="A2" s="2570" t="s">
        <v>2325</v>
      </c>
      <c r="B2" s="2571">
        <f ca="1">SUMIF(B6:B13,"&lt;&gt;#ref!",B6:B13)</f>
        <v>3688</v>
      </c>
      <c r="C2" s="2572" t="s">
        <v>2517</v>
      </c>
      <c r="D2" s="2573" t="s">
        <v>2518</v>
      </c>
      <c r="E2" s="2574">
        <f>SUM(E6:E13)</f>
        <v>898.32</v>
      </c>
    </row>
    <row r="3" spans="1:6" ht="15.75">
      <c r="A3" s="2570" t="s">
        <v>1396</v>
      </c>
      <c r="B3" s="2571">
        <f ca="1">ROUND(B2*10000/E2,0)</f>
        <v>41054</v>
      </c>
      <c r="C3" s="2572" t="s">
        <v>2525</v>
      </c>
      <c r="D3" s="2575"/>
      <c r="E3" s="2576"/>
    </row>
    <row r="4" spans="1:6" ht="15.75">
      <c r="A4" s="2577"/>
      <c r="B4" s="2575"/>
      <c r="C4" s="2575"/>
      <c r="D4" s="2575"/>
      <c r="E4" s="2576"/>
    </row>
    <row r="5" spans="1:6" ht="15">
      <c r="A5" s="2578" t="s">
        <v>2519</v>
      </c>
      <c r="B5" s="3207" t="s">
        <v>2520</v>
      </c>
      <c r="C5" s="3207"/>
      <c r="D5" s="2579"/>
      <c r="E5" s="2580" t="s">
        <v>2521</v>
      </c>
      <c r="F5" s="2581" t="s">
        <v>2522</v>
      </c>
    </row>
    <row r="6" spans="1:6">
      <c r="A6" s="2582" t="str">
        <f>'数据-取费表'!AN6</f>
        <v>收益法</v>
      </c>
      <c r="B6" s="2581">
        <f ca="1">IF(F6="是",'数据-取费表'!AO6,0)</f>
        <v>3688</v>
      </c>
      <c r="C6" s="2572" t="s">
        <v>2517</v>
      </c>
      <c r="D6" s="2575"/>
      <c r="E6" s="2583">
        <f>IF(OR(A6=0,F6="否"),0,'数据-取费表'!K6+'数据-取费表'!S6)</f>
        <v>898.32</v>
      </c>
      <c r="F6" s="2584" t="s">
        <v>2523</v>
      </c>
    </row>
    <row r="7" spans="1:6">
      <c r="A7" s="2582">
        <f>'数据-取费表'!AN7</f>
        <v>0</v>
      </c>
      <c r="B7" s="2581" t="e">
        <f ca="1">IF(F7="是",'数据-取费表'!AO7,0)</f>
        <v>#REF!</v>
      </c>
      <c r="C7" s="2572" t="s">
        <v>2517</v>
      </c>
      <c r="D7" s="2575"/>
      <c r="E7" s="2583">
        <f>IF(OR(A7=0,F7="否"),0,'数据-取费表'!K7+'数据-取费表'!S7)</f>
        <v>0</v>
      </c>
      <c r="F7" s="2584" t="s">
        <v>2523</v>
      </c>
    </row>
    <row r="8" spans="1:6">
      <c r="A8" s="2582">
        <f>'数据-取费表'!AN8</f>
        <v>0</v>
      </c>
      <c r="B8" s="2581" t="e">
        <f ca="1">IF(F8="是",'数据-取费表'!AO8,0)</f>
        <v>#REF!</v>
      </c>
      <c r="C8" s="2572" t="s">
        <v>2517</v>
      </c>
      <c r="D8" s="2575"/>
      <c r="E8" s="2583">
        <f>IF(OR(A8=0,F8="否"),0,'数据-取费表'!K8+'数据-取费表'!S8)</f>
        <v>0</v>
      </c>
      <c r="F8" s="2584" t="s">
        <v>2523</v>
      </c>
    </row>
    <row r="9" spans="1:6">
      <c r="A9" s="2582">
        <f>'数据-取费表'!AN9</f>
        <v>0</v>
      </c>
      <c r="B9" s="2581" t="e">
        <f ca="1">IF(F9="是",'数据-取费表'!AO9,0)</f>
        <v>#REF!</v>
      </c>
      <c r="C9" s="2572" t="s">
        <v>2517</v>
      </c>
      <c r="D9" s="2575"/>
      <c r="E9" s="2583">
        <f>IF(OR(A9=0,F9="否"),0,'数据-取费表'!K9+'数据-取费表'!S9)</f>
        <v>0</v>
      </c>
      <c r="F9" s="2584" t="s">
        <v>2523</v>
      </c>
    </row>
    <row r="10" spans="1:6">
      <c r="A10" s="2582">
        <f>'数据-取费表'!AN10</f>
        <v>0</v>
      </c>
      <c r="B10" s="2581" t="e">
        <f ca="1">IF(F10="是",'数据-取费表'!AO10,0)</f>
        <v>#REF!</v>
      </c>
      <c r="C10" s="2572" t="s">
        <v>2517</v>
      </c>
      <c r="D10" s="2575"/>
      <c r="E10" s="2583">
        <f>IF(OR(A10=0,F10="否"),0,'数据-取费表'!K10+'数据-取费表'!S10)</f>
        <v>0</v>
      </c>
      <c r="F10" s="2584" t="s">
        <v>2523</v>
      </c>
    </row>
    <row r="11" spans="1:6">
      <c r="A11" s="2582">
        <f>'数据-取费表'!AN11</f>
        <v>0</v>
      </c>
      <c r="B11" s="2581" t="e">
        <f ca="1">IF(F11="是",'数据-取费表'!AO11,0)</f>
        <v>#REF!</v>
      </c>
      <c r="C11" s="2572" t="s">
        <v>2517</v>
      </c>
      <c r="D11" s="2575"/>
      <c r="E11" s="2583">
        <f>IF(OR(A11=0,F11="否"),0,'数据-取费表'!K11+'数据-取费表'!S11)</f>
        <v>0</v>
      </c>
      <c r="F11" s="2584" t="s">
        <v>2523</v>
      </c>
    </row>
    <row r="12" spans="1:6">
      <c r="A12" s="2582">
        <f>'数据-取费表'!AN12</f>
        <v>0</v>
      </c>
      <c r="B12" s="2581" t="e">
        <f ca="1">IF(F12="是",'数据-取费表'!AO12,0)</f>
        <v>#REF!</v>
      </c>
      <c r="C12" s="2572" t="s">
        <v>2517</v>
      </c>
      <c r="D12" s="2575"/>
      <c r="E12" s="2583">
        <f>IF(OR(A12=0,F12="否"),0,'数据-取费表'!K12+'数据-取费表'!S12)</f>
        <v>0</v>
      </c>
      <c r="F12" s="2584" t="s">
        <v>2523</v>
      </c>
    </row>
    <row r="13" spans="1:6" ht="15" thickBot="1">
      <c r="A13" s="2585">
        <f>'数据-取费表'!AN13</f>
        <v>0</v>
      </c>
      <c r="B13" s="2581" t="e">
        <f ca="1">IF(F13="是",'数据-取费表'!AO13,0)</f>
        <v>#REF!</v>
      </c>
      <c r="C13" s="2586" t="s">
        <v>2517</v>
      </c>
      <c r="D13" s="2587"/>
      <c r="E13" s="2583">
        <f>IF(OR(A13=0,F13="否"),0,'数据-取费表'!K13+'数据-取费表'!S13)</f>
        <v>0</v>
      </c>
      <c r="F13" s="2584"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4" t="s">
        <v>1076</v>
      </c>
      <c r="B1" s="3225"/>
      <c r="C1" s="3226"/>
      <c r="D1" s="3227">
        <f>SUM(I10,I15,I20,I21,I23)</f>
        <v>0</v>
      </c>
      <c r="E1" s="3227"/>
      <c r="F1" s="3227"/>
      <c r="G1" s="3227"/>
      <c r="H1" s="3227"/>
      <c r="I1" s="3228"/>
    </row>
    <row r="2" spans="1:9">
      <c r="A2" s="3214" t="s">
        <v>1077</v>
      </c>
      <c r="B2" s="3215" t="s">
        <v>1078</v>
      </c>
      <c r="C2" s="3215"/>
      <c r="D2" s="1305" t="s">
        <v>1079</v>
      </c>
      <c r="E2" s="1305" t="s">
        <v>1080</v>
      </c>
      <c r="F2" s="1305" t="s">
        <v>1081</v>
      </c>
      <c r="G2" s="1305" t="s">
        <v>1082</v>
      </c>
      <c r="H2" s="1305" t="s">
        <v>1083</v>
      </c>
      <c r="I2" s="1306" t="s">
        <v>1084</v>
      </c>
    </row>
    <row r="3" spans="1:9">
      <c r="A3" s="3214"/>
      <c r="B3" s="3215" t="s">
        <v>1085</v>
      </c>
      <c r="C3" s="3215"/>
      <c r="D3" s="1307"/>
      <c r="E3" s="1305"/>
      <c r="F3" s="1308"/>
      <c r="G3" s="1308"/>
      <c r="H3" s="1309"/>
      <c r="I3" s="1310">
        <f>ROUND(D3*E3*F3*G3*H3/10000,0)</f>
        <v>0</v>
      </c>
    </row>
    <row r="4" spans="1:9">
      <c r="A4" s="3214"/>
      <c r="B4" s="3215" t="s">
        <v>1086</v>
      </c>
      <c r="C4" s="3215"/>
      <c r="D4" s="1307"/>
      <c r="E4" s="1305"/>
      <c r="F4" s="1308"/>
      <c r="G4" s="1308"/>
      <c r="H4" s="1309"/>
      <c r="I4" s="1310">
        <f t="shared" ref="I4:I9" si="0">ROUND(D4*E4*F4*G4*H4/10000,0)</f>
        <v>0</v>
      </c>
    </row>
    <row r="5" spans="1:9">
      <c r="A5" s="3214"/>
      <c r="B5" s="3215" t="s">
        <v>1087</v>
      </c>
      <c r="C5" s="3215"/>
      <c r="D5" s="1307"/>
      <c r="E5" s="1305"/>
      <c r="F5" s="1308"/>
      <c r="G5" s="1308"/>
      <c r="H5" s="1309"/>
      <c r="I5" s="1310">
        <f t="shared" si="0"/>
        <v>0</v>
      </c>
    </row>
    <row r="6" spans="1:9">
      <c r="A6" s="3214"/>
      <c r="B6" s="3215" t="s">
        <v>1088</v>
      </c>
      <c r="C6" s="3215"/>
      <c r="D6" s="1307"/>
      <c r="E6" s="1305"/>
      <c r="F6" s="1308"/>
      <c r="G6" s="1308"/>
      <c r="H6" s="1309"/>
      <c r="I6" s="1310">
        <f t="shared" si="0"/>
        <v>0</v>
      </c>
    </row>
    <row r="7" spans="1:9">
      <c r="A7" s="3214"/>
      <c r="B7" s="3215" t="s">
        <v>1089</v>
      </c>
      <c r="C7" s="3215"/>
      <c r="D7" s="1307"/>
      <c r="E7" s="1305"/>
      <c r="F7" s="1308"/>
      <c r="G7" s="1308"/>
      <c r="H7" s="1309"/>
      <c r="I7" s="1310">
        <f t="shared" si="0"/>
        <v>0</v>
      </c>
    </row>
    <row r="8" spans="1:9">
      <c r="A8" s="3214"/>
      <c r="B8" s="3215" t="s">
        <v>1090</v>
      </c>
      <c r="C8" s="3215"/>
      <c r="D8" s="1307"/>
      <c r="E8" s="1305"/>
      <c r="F8" s="1308"/>
      <c r="G8" s="1308"/>
      <c r="H8" s="1309"/>
      <c r="I8" s="1310">
        <f t="shared" si="0"/>
        <v>0</v>
      </c>
    </row>
    <row r="9" spans="1:9">
      <c r="A9" s="3214"/>
      <c r="B9" s="3215" t="s">
        <v>1091</v>
      </c>
      <c r="C9" s="3215"/>
      <c r="D9" s="1307"/>
      <c r="E9" s="1305"/>
      <c r="F9" s="1308"/>
      <c r="G9" s="1308"/>
      <c r="H9" s="1309"/>
      <c r="I9" s="1310">
        <f t="shared" si="0"/>
        <v>0</v>
      </c>
    </row>
    <row r="10" spans="1:9">
      <c r="A10" s="3214"/>
      <c r="B10" s="3216" t="s">
        <v>1092</v>
      </c>
      <c r="C10" s="3216"/>
      <c r="D10" s="1311"/>
      <c r="E10" s="1311" t="e">
        <f>ROUND(D1*10000/D10/H9,0)</f>
        <v>#DIV/0!</v>
      </c>
      <c r="F10" s="1312"/>
      <c r="G10" s="1312"/>
      <c r="H10" s="1313"/>
      <c r="I10" s="1314">
        <f>SUM(I3:I9)</f>
        <v>0</v>
      </c>
    </row>
    <row r="11" spans="1:9" ht="14.25">
      <c r="A11" s="3214" t="s">
        <v>1093</v>
      </c>
      <c r="B11" s="3215" t="s">
        <v>1094</v>
      </c>
      <c r="C11" s="3215"/>
      <c r="D11" s="1307" t="s">
        <v>1095</v>
      </c>
      <c r="E11" s="1307" t="s">
        <v>1096</v>
      </c>
      <c r="F11" s="1308" t="s">
        <v>1097</v>
      </c>
      <c r="G11" s="1308" t="s">
        <v>1083</v>
      </c>
      <c r="H11" s="1315" t="s">
        <v>1098</v>
      </c>
      <c r="I11" s="1306" t="s">
        <v>1084</v>
      </c>
    </row>
    <row r="12" spans="1:9">
      <c r="A12" s="3214"/>
      <c r="B12" s="3215" t="s">
        <v>1099</v>
      </c>
      <c r="C12" s="3215"/>
      <c r="D12" s="1307"/>
      <c r="E12" s="1307"/>
      <c r="F12" s="1308"/>
      <c r="G12" s="1309"/>
      <c r="H12" s="1316"/>
      <c r="I12" s="1306">
        <f>ROUND(D12*E12*F12*G12/10000,0)</f>
        <v>0</v>
      </c>
    </row>
    <row r="13" spans="1:9">
      <c r="A13" s="3214"/>
      <c r="B13" s="3215" t="s">
        <v>1100</v>
      </c>
      <c r="C13" s="3215"/>
      <c r="D13" s="1307"/>
      <c r="E13" s="1307"/>
      <c r="F13" s="1308"/>
      <c r="G13" s="1309"/>
      <c r="H13" s="1316"/>
      <c r="I13" s="1306">
        <f>ROUND(D13*E13*F13*G13/10000,0)</f>
        <v>0</v>
      </c>
    </row>
    <row r="14" spans="1:9">
      <c r="A14" s="3214"/>
      <c r="B14" s="3215" t="s">
        <v>1101</v>
      </c>
      <c r="C14" s="3215"/>
      <c r="D14" s="1307"/>
      <c r="E14" s="1307"/>
      <c r="F14" s="1308"/>
      <c r="G14" s="1309"/>
      <c r="H14" s="1316"/>
      <c r="I14" s="1306">
        <f>ROUND(D14*E14*F14*G14/10000,0)</f>
        <v>0</v>
      </c>
    </row>
    <row r="15" spans="1:9">
      <c r="A15" s="3214"/>
      <c r="B15" s="3216" t="s">
        <v>1092</v>
      </c>
      <c r="C15" s="3216"/>
      <c r="D15" s="1311"/>
      <c r="E15" s="1311">
        <f>SUM(E12:E14)</f>
        <v>0</v>
      </c>
      <c r="F15" s="1312"/>
      <c r="G15" s="1309"/>
      <c r="H15" s="1316"/>
      <c r="I15" s="1317">
        <f>SUM(I12:I14)</f>
        <v>0</v>
      </c>
    </row>
    <row r="16" spans="1:9" ht="24">
      <c r="A16" s="3214" t="s">
        <v>1102</v>
      </c>
      <c r="B16" s="3215" t="s">
        <v>1103</v>
      </c>
      <c r="C16" s="3215"/>
      <c r="D16" s="1307" t="s">
        <v>1079</v>
      </c>
      <c r="E16" s="1318" t="s">
        <v>1104</v>
      </c>
      <c r="F16" s="1308" t="s">
        <v>1105</v>
      </c>
      <c r="G16" s="1309" t="s">
        <v>1083</v>
      </c>
      <c r="H16" s="1315" t="s">
        <v>1098</v>
      </c>
      <c r="I16" s="1306" t="s">
        <v>1084</v>
      </c>
    </row>
    <row r="17" spans="1:9" ht="14.25">
      <c r="A17" s="3214"/>
      <c r="B17" s="3215" t="s">
        <v>1106</v>
      </c>
      <c r="C17" s="3215"/>
      <c r="D17" s="1307"/>
      <c r="E17" s="1307"/>
      <c r="F17" s="1308"/>
      <c r="G17" s="1309"/>
      <c r="H17" s="1319"/>
      <c r="I17" s="1320">
        <f>ROUND(D17*E17*F17*G17/10000,0)</f>
        <v>0</v>
      </c>
    </row>
    <row r="18" spans="1:9" ht="14.25">
      <c r="A18" s="3214"/>
      <c r="B18" s="3215" t="s">
        <v>1107</v>
      </c>
      <c r="C18" s="3215"/>
      <c r="D18" s="1307"/>
      <c r="E18" s="1307"/>
      <c r="F18" s="1308"/>
      <c r="G18" s="1309"/>
      <c r="H18" s="1319"/>
      <c r="I18" s="1320">
        <f>ROUND(D18*E18*F18*G18/10000,0)</f>
        <v>0</v>
      </c>
    </row>
    <row r="19" spans="1:9" ht="14.25">
      <c r="A19" s="3214"/>
      <c r="B19" s="3215" t="s">
        <v>1108</v>
      </c>
      <c r="C19" s="3215"/>
      <c r="D19" s="1307"/>
      <c r="E19" s="1307"/>
      <c r="F19" s="1308"/>
      <c r="G19" s="1309"/>
      <c r="H19" s="1319"/>
      <c r="I19" s="1320">
        <f>ROUND(D19*E19*F19*G19/10000,0)</f>
        <v>0</v>
      </c>
    </row>
    <row r="20" spans="1:9">
      <c r="A20" s="3214"/>
      <c r="B20" s="3216" t="s">
        <v>1092</v>
      </c>
      <c r="C20" s="3216"/>
      <c r="D20" s="1311">
        <f>SUM(D17:D19)</f>
        <v>0</v>
      </c>
      <c r="E20" s="1311"/>
      <c r="F20" s="1312"/>
      <c r="G20" s="1309"/>
      <c r="H20" s="1316"/>
      <c r="I20" s="1317">
        <f>SUM(I17:I19)</f>
        <v>0</v>
      </c>
    </row>
    <row r="21" spans="1:9">
      <c r="A21" s="3214" t="s">
        <v>1109</v>
      </c>
      <c r="B21" s="3217"/>
      <c r="C21" s="3217"/>
      <c r="D21" s="3217"/>
      <c r="E21" s="3217"/>
      <c r="F21" s="3217"/>
      <c r="G21" s="3217"/>
      <c r="H21" s="1770">
        <v>0.1</v>
      </c>
      <c r="I21" s="1314">
        <f>ROUND(I10*H21,0)</f>
        <v>0</v>
      </c>
    </row>
    <row r="22" spans="1:9" ht="14.25">
      <c r="A22" s="3218" t="s">
        <v>1110</v>
      </c>
      <c r="B22" s="3219"/>
      <c r="C22" s="3220"/>
      <c r="D22" s="1321" t="s">
        <v>1111</v>
      </c>
      <c r="E22" s="1321" t="s">
        <v>1112</v>
      </c>
      <c r="F22" s="1322" t="s">
        <v>1113</v>
      </c>
      <c r="G22" s="1322" t="s">
        <v>1114</v>
      </c>
      <c r="H22" s="1315" t="s">
        <v>1115</v>
      </c>
      <c r="I22" s="1306" t="s">
        <v>1116</v>
      </c>
    </row>
    <row r="23" spans="1:9" ht="14.25" thickBot="1">
      <c r="A23" s="3221"/>
      <c r="B23" s="3222"/>
      <c r="C23" s="3223"/>
      <c r="D23" s="1323"/>
      <c r="E23" s="1323"/>
      <c r="F23" s="1323"/>
      <c r="G23" s="1324"/>
      <c r="H23" s="1325"/>
      <c r="I23" s="1326">
        <f>ROUND(E23*D23*F23*(1-G23)/10000,0)</f>
        <v>0</v>
      </c>
    </row>
    <row r="26" spans="1:9">
      <c r="A26" s="1327" t="s">
        <v>1117</v>
      </c>
      <c r="B26" s="1327"/>
      <c r="C26" s="1327"/>
      <c r="D26" s="1327"/>
      <c r="E26" s="3211">
        <f>C27-C30-C31-C32</f>
        <v>0</v>
      </c>
      <c r="F26" s="3211"/>
      <c r="G26" s="3211"/>
      <c r="H26" s="1742" t="s">
        <v>1341</v>
      </c>
    </row>
    <row r="27" spans="1:9">
      <c r="A27" s="1328">
        <v>1</v>
      </c>
      <c r="B27" s="1329" t="s">
        <v>1118</v>
      </c>
      <c r="C27" s="1329">
        <f>C28+C29</f>
        <v>0</v>
      </c>
      <c r="D27" s="1329"/>
      <c r="E27" s="3212"/>
      <c r="F27" s="3212"/>
      <c r="G27" s="3212"/>
    </row>
    <row r="28" spans="1:9">
      <c r="A28" s="1330" t="s">
        <v>1119</v>
      </c>
      <c r="B28" s="1329" t="s">
        <v>1120</v>
      </c>
      <c r="C28" s="1329"/>
      <c r="D28" s="1329"/>
      <c r="E28" s="3212"/>
      <c r="F28" s="3212"/>
      <c r="G28" s="3212"/>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213"/>
      <c r="F32" s="3213"/>
      <c r="G32" s="3213"/>
    </row>
    <row r="33" spans="1:7" hidden="1">
      <c r="A33" s="3208" t="s">
        <v>1129</v>
      </c>
      <c r="B33" s="3209"/>
      <c r="C33" s="3209"/>
      <c r="D33" s="3210"/>
      <c r="E33" s="3211"/>
      <c r="F33" s="3211"/>
      <c r="G33" s="3211"/>
    </row>
    <row r="34" spans="1:7" hidden="1">
      <c r="A34" s="1332">
        <v>1</v>
      </c>
      <c r="B34" s="1329" t="s">
        <v>1130</v>
      </c>
      <c r="C34" s="1329"/>
      <c r="D34" s="1329"/>
      <c r="E34" s="3212"/>
      <c r="F34" s="3212"/>
      <c r="G34" s="3212"/>
    </row>
    <row r="35" spans="1:7" hidden="1">
      <c r="A35" s="1332">
        <v>2</v>
      </c>
      <c r="B35" s="1329" t="s">
        <v>1131</v>
      </c>
      <c r="C35" s="1329"/>
      <c r="D35" s="1329"/>
      <c r="E35" s="3212"/>
      <c r="F35" s="3212"/>
      <c r="G35" s="3212"/>
    </row>
    <row r="36" spans="1:7" hidden="1">
      <c r="A36" s="1332">
        <v>3</v>
      </c>
      <c r="B36" s="1329" t="s">
        <v>1132</v>
      </c>
      <c r="C36" s="1329"/>
      <c r="D36" s="1329"/>
      <c r="E36" s="3212"/>
      <c r="F36" s="3212"/>
      <c r="G36" s="3212"/>
    </row>
    <row r="37" spans="1:7" hidden="1">
      <c r="A37" s="1332">
        <v>4</v>
      </c>
      <c r="B37" s="1329" t="s">
        <v>1133</v>
      </c>
      <c r="C37" s="1329"/>
      <c r="D37" s="1329"/>
      <c r="E37" s="3212"/>
      <c r="F37" s="3212"/>
      <c r="G37" s="3212"/>
    </row>
    <row r="38" spans="1:7" hidden="1">
      <c r="A38" s="3208" t="s">
        <v>1134</v>
      </c>
      <c r="B38" s="3209"/>
      <c r="C38" s="3209"/>
      <c r="D38" s="3210"/>
      <c r="E38" s="3211"/>
      <c r="F38" s="3211"/>
      <c r="G38" s="32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588" t="s">
        <v>2527</v>
      </c>
      <c r="C1" s="1639" t="s">
        <v>2528</v>
      </c>
      <c r="D1" s="1626"/>
      <c r="E1" s="2589"/>
      <c r="F1" s="2590" t="s">
        <v>2529</v>
      </c>
      <c r="G1" s="1636" t="s">
        <v>2530</v>
      </c>
      <c r="H1" s="1635"/>
      <c r="I1" s="1635"/>
      <c r="J1" s="1635"/>
      <c r="K1" s="1637"/>
      <c r="L1" s="1638"/>
      <c r="M1" s="1639"/>
      <c r="N1" s="1639"/>
      <c r="O1" s="1639"/>
      <c r="P1" s="2591"/>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2"/>
      <c r="D2" s="1369" t="e">
        <f ca="1">SUMIF(INDIRECT("'"&amp;F2&amp;"'"&amp;"!A:A"),"承租人权益价值",INDIRECT("'"&amp;F2&amp;"'"&amp;"!c:c"))</f>
        <v>#REF!</v>
      </c>
      <c r="E2" s="2593" t="s">
        <v>2531</v>
      </c>
      <c r="F2" s="2594"/>
      <c r="G2" s="1128"/>
      <c r="H2" s="1128"/>
      <c r="I2" s="1128"/>
      <c r="J2" s="1128"/>
      <c r="K2" s="2595"/>
      <c r="L2" s="2596"/>
      <c r="M2" s="2597"/>
      <c r="N2" s="2597"/>
      <c r="O2" s="2597"/>
      <c r="P2" s="2598"/>
      <c r="Q2" s="2599"/>
      <c r="R2" s="2599"/>
      <c r="S2" s="2599"/>
      <c r="T2" s="2599"/>
      <c r="U2" s="2599"/>
      <c r="V2" s="2599"/>
      <c r="W2" s="2599"/>
      <c r="X2" s="2599"/>
      <c r="Y2" s="2599"/>
      <c r="Z2" s="2599"/>
      <c r="AA2" s="2599"/>
      <c r="AB2" s="2599"/>
      <c r="AC2" s="2600"/>
    </row>
    <row r="3" spans="1:29" s="394" customFormat="1" ht="28.5" customHeight="1" thickBot="1">
      <c r="A3" s="248" t="s">
        <v>1396</v>
      </c>
      <c r="B3" s="400" t="e">
        <f ca="1">IF(C2="——",C49,ROUND(B2*10000/D3,0))</f>
        <v>#DIV/0!</v>
      </c>
      <c r="C3" s="401" t="s">
        <v>2532</v>
      </c>
      <c r="D3" s="400">
        <f>IF(D1="",'数据-汇总表'!E3,SUMIF('数据-汇总表'!$C19:$C33,D1,'数据-汇总表'!$E19:$E33))</f>
        <v>898.32</v>
      </c>
      <c r="E3" s="1128"/>
      <c r="F3" s="2601"/>
      <c r="G3" s="1128"/>
      <c r="H3" s="1128"/>
      <c r="I3" s="1128"/>
      <c r="J3" s="1128"/>
      <c r="K3" s="2595"/>
      <c r="L3" s="2596"/>
      <c r="M3" s="2597"/>
      <c r="N3" s="2597"/>
      <c r="O3" s="2597"/>
      <c r="P3" s="2598"/>
      <c r="Q3" s="2599"/>
      <c r="R3" s="2599"/>
      <c r="S3" s="2599"/>
      <c r="T3" s="2599"/>
      <c r="U3" s="2599"/>
      <c r="V3" s="2599"/>
      <c r="W3" s="2599"/>
      <c r="X3" s="2599"/>
      <c r="Y3" s="2599"/>
      <c r="Z3" s="2599"/>
      <c r="AA3" s="2599"/>
      <c r="AB3" s="2599"/>
      <c r="AC3" s="1286"/>
    </row>
    <row r="4" spans="1:29" ht="15">
      <c r="A4" s="402" t="s">
        <v>2533</v>
      </c>
      <c r="B4" s="403"/>
      <c r="C4" s="3168" t="s">
        <v>2534</v>
      </c>
      <c r="D4" s="3169"/>
      <c r="E4" s="3170" t="s">
        <v>2535</v>
      </c>
      <c r="F4" s="3171"/>
      <c r="G4" s="3168" t="s">
        <v>2536</v>
      </c>
      <c r="H4" s="3169"/>
      <c r="I4" s="3168" t="s">
        <v>2537</v>
      </c>
      <c r="J4" s="3169"/>
      <c r="K4" s="2602" t="s">
        <v>2538</v>
      </c>
      <c r="L4" s="1134"/>
      <c r="M4" s="1135"/>
      <c r="N4" s="1135"/>
      <c r="O4" s="1135"/>
      <c r="P4" s="3233" t="s">
        <v>2539</v>
      </c>
      <c r="Q4" s="3234"/>
      <c r="R4" s="3237" t="s">
        <v>2535</v>
      </c>
      <c r="S4" s="3238"/>
      <c r="T4" s="3237" t="s">
        <v>2536</v>
      </c>
      <c r="U4" s="3238"/>
      <c r="V4" s="3185" t="s">
        <v>2537</v>
      </c>
      <c r="W4" s="3185"/>
      <c r="X4" s="1818"/>
      <c r="Y4" s="3237" t="s">
        <v>2539</v>
      </c>
      <c r="Z4" s="3238"/>
      <c r="AA4" s="3232" t="s">
        <v>2535</v>
      </c>
      <c r="AB4" s="3232" t="s">
        <v>2536</v>
      </c>
      <c r="AC4" s="3232" t="s">
        <v>2537</v>
      </c>
    </row>
    <row r="5" spans="1:29" ht="15">
      <c r="A5" s="405"/>
      <c r="B5" s="406"/>
      <c r="C5" s="3194" t="s">
        <v>2540</v>
      </c>
      <c r="D5" s="3189"/>
      <c r="E5" s="3239" t="s">
        <v>2541</v>
      </c>
      <c r="F5" s="3201"/>
      <c r="G5" s="3194" t="s">
        <v>2542</v>
      </c>
      <c r="H5" s="3189"/>
      <c r="I5" s="3194" t="s">
        <v>2543</v>
      </c>
      <c r="J5" s="3189"/>
      <c r="K5" s="2603"/>
      <c r="L5" s="1134"/>
      <c r="M5" s="1135"/>
      <c r="N5" s="1135"/>
      <c r="O5" s="1135"/>
      <c r="P5" s="3235"/>
      <c r="Q5" s="3175"/>
      <c r="R5" s="3180"/>
      <c r="S5" s="3181"/>
      <c r="T5" s="3180"/>
      <c r="U5" s="3181"/>
      <c r="V5" s="3185"/>
      <c r="W5" s="3185"/>
      <c r="X5" s="1818"/>
      <c r="Y5" s="3180"/>
      <c r="Z5" s="3181"/>
      <c r="AA5" s="3198"/>
      <c r="AB5" s="3198"/>
      <c r="AC5" s="3198"/>
    </row>
    <row r="6" spans="1:29" ht="15.75" thickBot="1">
      <c r="A6" s="407"/>
      <c r="B6" s="408"/>
      <c r="C6" s="3186" t="s">
        <v>2544</v>
      </c>
      <c r="D6" s="3187"/>
      <c r="E6" s="3195" t="s">
        <v>2544</v>
      </c>
      <c r="F6" s="3196"/>
      <c r="G6" s="3186" t="s">
        <v>2544</v>
      </c>
      <c r="H6" s="3187"/>
      <c r="I6" s="3186" t="s">
        <v>2544</v>
      </c>
      <c r="J6" s="3187"/>
      <c r="K6" s="2603" t="s">
        <v>2545</v>
      </c>
      <c r="L6" s="1134"/>
      <c r="M6" s="1135"/>
      <c r="N6" s="1135"/>
      <c r="O6" s="1135"/>
      <c r="P6" s="3236"/>
      <c r="Q6" s="3177"/>
      <c r="R6" s="3180"/>
      <c r="S6" s="3181"/>
      <c r="T6" s="3182"/>
      <c r="U6" s="3183"/>
      <c r="V6" s="3185"/>
      <c r="W6" s="3185"/>
      <c r="X6" s="1818"/>
      <c r="Y6" s="3182"/>
      <c r="Z6" s="3183"/>
      <c r="AA6" s="3199"/>
      <c r="AB6" s="3199"/>
      <c r="AC6" s="3199"/>
    </row>
    <row r="7" spans="1:29" s="117" customFormat="1" ht="15.75" thickBot="1">
      <c r="A7" s="409" t="s">
        <v>2546</v>
      </c>
      <c r="B7" s="410"/>
      <c r="C7" s="411">
        <f>'数据-取费表'!B2</f>
        <v>43053</v>
      </c>
      <c r="D7" s="412">
        <v>100</v>
      </c>
      <c r="E7" s="413"/>
      <c r="F7" s="414">
        <f>SUMIF(58:58,YEAR(E7)&amp;"-"&amp;MONTH(E7),59:59)</f>
        <v>0</v>
      </c>
      <c r="G7" s="413"/>
      <c r="H7" s="412">
        <f>SUMIF(58:58,YEAR(G7)&amp;"-"&amp;MONTH(G7),59:59)</f>
        <v>0</v>
      </c>
      <c r="I7" s="413"/>
      <c r="J7" s="412">
        <f>SUMIF(58:58,YEAR(I7)&amp;"-"&amp;MONTH(I7),59:59)</f>
        <v>0</v>
      </c>
      <c r="K7" s="2604"/>
      <c r="L7" s="1136"/>
      <c r="M7" s="1137"/>
      <c r="N7" s="1137"/>
      <c r="O7" s="1137"/>
      <c r="P7" s="3192" t="s">
        <v>2547</v>
      </c>
      <c r="Q7" s="3193"/>
      <c r="R7" s="771" t="s">
        <v>23</v>
      </c>
      <c r="S7" s="772">
        <f t="shared" ref="S7:S15" si="0">F7</f>
        <v>0</v>
      </c>
      <c r="T7" s="771" t="s">
        <v>23</v>
      </c>
      <c r="U7" s="772">
        <f t="shared" ref="U7:U15" si="1">H7</f>
        <v>0</v>
      </c>
      <c r="V7" s="771" t="s">
        <v>23</v>
      </c>
      <c r="W7" s="772">
        <f t="shared" ref="W7:W15" si="2">J7</f>
        <v>0</v>
      </c>
      <c r="X7" s="773"/>
      <c r="Y7" s="3192" t="s">
        <v>2547</v>
      </c>
      <c r="Z7" s="3191"/>
      <c r="AA7" s="774" t="e">
        <f>D7/F7</f>
        <v>#DIV/0!</v>
      </c>
      <c r="AB7" s="774" t="e">
        <f>D7/H7</f>
        <v>#DIV/0!</v>
      </c>
      <c r="AC7" s="774" t="e">
        <f>D7/J7</f>
        <v>#DIV/0!</v>
      </c>
    </row>
    <row r="8" spans="1:29" s="117" customFormat="1" ht="15.75" thickBot="1">
      <c r="A8" s="409" t="s">
        <v>2548</v>
      </c>
      <c r="B8" s="410"/>
      <c r="C8" s="415" t="s">
        <v>2549</v>
      </c>
      <c r="D8" s="412">
        <v>100</v>
      </c>
      <c r="E8" s="2605"/>
      <c r="F8" s="414">
        <f>SUMIF(61:61,E8,62:62)-SUMIF(61:61,C8,62:62)+100</f>
        <v>0</v>
      </c>
      <c r="G8" s="415"/>
      <c r="H8" s="412">
        <f>SUMIF(61:61,G8,62:62)-SUMIF(61:61,C8,62:62)+100</f>
        <v>0</v>
      </c>
      <c r="I8" s="2605"/>
      <c r="J8" s="412">
        <f>SUMIF(61:61,I8,62:62)-SUMIF(61:61,C8,62:62)+100</f>
        <v>0</v>
      </c>
      <c r="K8" s="2604"/>
      <c r="L8" s="1136"/>
      <c r="M8" s="1137"/>
      <c r="N8" s="1137"/>
      <c r="O8" s="1137"/>
      <c r="P8" s="3192" t="s">
        <v>2550</v>
      </c>
      <c r="Q8" s="3191"/>
      <c r="R8" s="771" t="s">
        <v>23</v>
      </c>
      <c r="S8" s="772">
        <f t="shared" si="0"/>
        <v>0</v>
      </c>
      <c r="T8" s="771" t="s">
        <v>23</v>
      </c>
      <c r="U8" s="772">
        <f t="shared" si="1"/>
        <v>0</v>
      </c>
      <c r="V8" s="771" t="s">
        <v>23</v>
      </c>
      <c r="W8" s="772">
        <f t="shared" si="2"/>
        <v>0</v>
      </c>
      <c r="X8" s="773"/>
      <c r="Y8" s="3192" t="s">
        <v>2550</v>
      </c>
      <c r="Z8" s="3191"/>
      <c r="AA8" s="774" t="e">
        <f t="shared" ref="AA8:AA19" si="3">D8/F8</f>
        <v>#DIV/0!</v>
      </c>
      <c r="AB8" s="774" t="e">
        <f t="shared" ref="AB8:AB19" si="4">D8/H8</f>
        <v>#DIV/0!</v>
      </c>
      <c r="AC8" s="774" t="e">
        <f t="shared" ref="AC8:AC19" si="5">D8/J8</f>
        <v>#DIV/0!</v>
      </c>
    </row>
    <row r="9" spans="1:29" s="117" customFormat="1">
      <c r="A9" s="416" t="s">
        <v>2551</v>
      </c>
      <c r="B9" s="71" t="s">
        <v>2552</v>
      </c>
      <c r="C9" s="417"/>
      <c r="D9" s="135">
        <v>100</v>
      </c>
      <c r="E9" s="418"/>
      <c r="F9" s="419">
        <f>SUMIF(63:63,E9,64:64)-SUMIF(63:63,C9,64:64)+100</f>
        <v>100</v>
      </c>
      <c r="G9" s="420"/>
      <c r="H9" s="135">
        <f>SUMIF(63:63,G9,64:64)-SUMIF(63:63,C9,64:64)+100</f>
        <v>100</v>
      </c>
      <c r="I9" s="420"/>
      <c r="J9" s="135">
        <f>SUMIF(63:63,I9,64:64)-SUMIF(63:63,C9,64:64)+100</f>
        <v>100</v>
      </c>
      <c r="K9" s="2604"/>
      <c r="L9" s="1136"/>
      <c r="M9" s="1137"/>
      <c r="N9" s="1137"/>
      <c r="O9" s="1137"/>
      <c r="P9" s="3150" t="s">
        <v>2553</v>
      </c>
      <c r="Q9" s="1800" t="str">
        <f t="shared" ref="Q9:Q15" si="6">B9</f>
        <v>用途</v>
      </c>
      <c r="R9" s="771" t="s">
        <v>17</v>
      </c>
      <c r="S9" s="772">
        <f t="shared" si="0"/>
        <v>100</v>
      </c>
      <c r="T9" s="771" t="s">
        <v>17</v>
      </c>
      <c r="U9" s="772">
        <f t="shared" si="1"/>
        <v>100</v>
      </c>
      <c r="V9" s="771" t="s">
        <v>17</v>
      </c>
      <c r="W9" s="772">
        <f t="shared" si="2"/>
        <v>100</v>
      </c>
      <c r="X9" s="773"/>
      <c r="Y9" s="3005"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150"/>
      <c r="Q10" s="1800" t="str">
        <f t="shared" si="6"/>
        <v>土地使用年限（年）</v>
      </c>
      <c r="R10" s="771" t="s">
        <v>17</v>
      </c>
      <c r="S10" s="772">
        <f t="shared" si="0"/>
        <v>100</v>
      </c>
      <c r="T10" s="771" t="s">
        <v>17</v>
      </c>
      <c r="U10" s="772">
        <f t="shared" si="1"/>
        <v>100</v>
      </c>
      <c r="V10" s="771" t="s">
        <v>17</v>
      </c>
      <c r="W10" s="772">
        <f t="shared" si="2"/>
        <v>100</v>
      </c>
      <c r="X10" s="773"/>
      <c r="Y10" s="3005"/>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150"/>
      <c r="Q11" s="1800" t="str">
        <f t="shared" si="6"/>
        <v>容积率</v>
      </c>
      <c r="R11" s="771" t="s">
        <v>21</v>
      </c>
      <c r="S11" s="772" t="e">
        <f t="shared" si="0"/>
        <v>#N/A</v>
      </c>
      <c r="T11" s="771" t="s">
        <v>21</v>
      </c>
      <c r="U11" s="772" t="e">
        <f t="shared" si="1"/>
        <v>#N/A</v>
      </c>
      <c r="V11" s="771" t="s">
        <v>21</v>
      </c>
      <c r="W11" s="772" t="e">
        <f t="shared" si="2"/>
        <v>#N/A</v>
      </c>
      <c r="X11" s="773"/>
      <c r="Y11" s="3005"/>
      <c r="Z11" s="55" t="str">
        <f t="shared" si="7"/>
        <v>容积率</v>
      </c>
      <c r="AA11" s="774" t="e">
        <f t="shared" si="3"/>
        <v>#N/A</v>
      </c>
      <c r="AB11" s="774" t="e">
        <f t="shared" si="4"/>
        <v>#N/A</v>
      </c>
      <c r="AC11" s="774" t="e">
        <f t="shared" si="5"/>
        <v>#N/A</v>
      </c>
    </row>
    <row r="12" spans="1:29" s="117" customFormat="1" ht="15">
      <c r="A12" s="432"/>
      <c r="B12" s="2606">
        <v>111</v>
      </c>
      <c r="C12" s="433"/>
      <c r="D12" s="434">
        <v>100</v>
      </c>
      <c r="E12" s="433"/>
      <c r="F12" s="426">
        <f>SUMIF(70:70,E12,71:71)-SUMIF(70:70,C12,71:71)+100</f>
        <v>100</v>
      </c>
      <c r="G12" s="433"/>
      <c r="H12" s="136">
        <f>SUMIF(70:70,G12,71:71)-SUMIF(70:70,C12,71:71)+100</f>
        <v>100</v>
      </c>
      <c r="I12" s="433"/>
      <c r="J12" s="136">
        <f>SUMIF(70:70,I12,71:71)-SUMIF(70:70,C12,71:71)+100</f>
        <v>100</v>
      </c>
      <c r="K12" s="2607"/>
      <c r="L12" s="1136"/>
      <c r="M12" s="1137"/>
      <c r="N12" s="1137"/>
      <c r="O12" s="1137"/>
      <c r="P12" s="3150"/>
      <c r="Q12" s="1800">
        <f t="shared" si="6"/>
        <v>111</v>
      </c>
      <c r="R12" s="771" t="s">
        <v>21</v>
      </c>
      <c r="S12" s="772">
        <f t="shared" si="0"/>
        <v>100</v>
      </c>
      <c r="T12" s="771" t="s">
        <v>21</v>
      </c>
      <c r="U12" s="772">
        <f t="shared" si="1"/>
        <v>100</v>
      </c>
      <c r="V12" s="771" t="s">
        <v>21</v>
      </c>
      <c r="W12" s="772">
        <f t="shared" si="2"/>
        <v>100</v>
      </c>
      <c r="X12" s="773"/>
      <c r="Y12" s="3005"/>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2607"/>
      <c r="L13" s="1144"/>
      <c r="M13" s="1135"/>
      <c r="N13" s="1135"/>
      <c r="O13" s="1135"/>
      <c r="P13" s="3150"/>
      <c r="Q13" s="1800">
        <f t="shared" si="6"/>
        <v>111</v>
      </c>
      <c r="R13" s="771" t="s">
        <v>21</v>
      </c>
      <c r="S13" s="772">
        <f t="shared" si="0"/>
        <v>100</v>
      </c>
      <c r="T13" s="771" t="s">
        <v>21</v>
      </c>
      <c r="U13" s="772">
        <f t="shared" si="1"/>
        <v>100</v>
      </c>
      <c r="V13" s="771" t="s">
        <v>21</v>
      </c>
      <c r="W13" s="772">
        <f t="shared" si="2"/>
        <v>100</v>
      </c>
      <c r="X13" s="773"/>
      <c r="Y13" s="3005"/>
      <c r="Z13" s="55">
        <f t="shared" si="7"/>
        <v>111</v>
      </c>
      <c r="AA13" s="774">
        <f t="shared" si="3"/>
        <v>1</v>
      </c>
      <c r="AB13" s="774">
        <f t="shared" si="4"/>
        <v>1</v>
      </c>
      <c r="AC13" s="774">
        <f t="shared" si="5"/>
        <v>1</v>
      </c>
    </row>
    <row r="14" spans="1:29" ht="15.75" thickBot="1">
      <c r="A14" s="437"/>
      <c r="B14" s="2608">
        <v>111</v>
      </c>
      <c r="C14" s="438"/>
      <c r="D14" s="439">
        <v>100</v>
      </c>
      <c r="E14" s="438"/>
      <c r="F14" s="440">
        <f>SUMIF(74:74,E14,75:75)-SUMIF(74:74,C14,75:75)+100</f>
        <v>100</v>
      </c>
      <c r="G14" s="438"/>
      <c r="H14" s="439">
        <f>SUMIF(74:74,G14,75:75)-SUMIF(74:74,C14,75:75)+100</f>
        <v>100</v>
      </c>
      <c r="I14" s="438"/>
      <c r="J14" s="439">
        <f>SUMIF(74:74,I14,75:75)-SUMIF(74:74,C14,75:75)+100</f>
        <v>100</v>
      </c>
      <c r="K14" s="2607"/>
      <c r="L14" s="1144"/>
      <c r="M14" s="1135"/>
      <c r="N14" s="1135"/>
      <c r="O14" s="1135"/>
      <c r="P14" s="3150"/>
      <c r="Q14" s="1800">
        <f t="shared" si="6"/>
        <v>111</v>
      </c>
      <c r="R14" s="771" t="s">
        <v>21</v>
      </c>
      <c r="S14" s="772">
        <f t="shared" si="0"/>
        <v>100</v>
      </c>
      <c r="T14" s="771" t="s">
        <v>21</v>
      </c>
      <c r="U14" s="772">
        <f t="shared" si="1"/>
        <v>100</v>
      </c>
      <c r="V14" s="771" t="s">
        <v>21</v>
      </c>
      <c r="W14" s="772">
        <f t="shared" si="2"/>
        <v>100</v>
      </c>
      <c r="X14" s="773"/>
      <c r="Y14" s="3005"/>
      <c r="Z14" s="55">
        <f t="shared" si="7"/>
        <v>111</v>
      </c>
      <c r="AA14" s="774">
        <f t="shared" si="3"/>
        <v>1</v>
      </c>
      <c r="AB14" s="774">
        <f t="shared" si="4"/>
        <v>1</v>
      </c>
      <c r="AC14" s="774">
        <f t="shared" si="5"/>
        <v>1</v>
      </c>
    </row>
    <row r="15" spans="1:29" ht="99.75">
      <c r="A15" s="441" t="s">
        <v>2557</v>
      </c>
      <c r="B15" s="69" t="s">
        <v>2084</v>
      </c>
      <c r="C15" s="2609"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156" t="s">
        <v>2558</v>
      </c>
      <c r="Q15" s="1815" t="str">
        <f t="shared" si="6"/>
        <v>居住社区成熟度</v>
      </c>
      <c r="R15" s="775" t="s">
        <v>21</v>
      </c>
      <c r="S15" s="776">
        <f t="shared" si="0"/>
        <v>100</v>
      </c>
      <c r="T15" s="775" t="s">
        <v>21</v>
      </c>
      <c r="U15" s="776">
        <f t="shared" si="1"/>
        <v>100</v>
      </c>
      <c r="V15" s="775" t="s">
        <v>21</v>
      </c>
      <c r="W15" s="776">
        <f t="shared" si="2"/>
        <v>100</v>
      </c>
      <c r="X15" s="1818"/>
      <c r="Y15" s="3158" t="s">
        <v>2558</v>
      </c>
      <c r="Z15" s="1819" t="str">
        <f t="shared" si="7"/>
        <v>居住社区成熟度</v>
      </c>
      <c r="AA15" s="1816">
        <f t="shared" si="3"/>
        <v>1</v>
      </c>
      <c r="AB15" s="1816">
        <f t="shared" si="4"/>
        <v>1</v>
      </c>
      <c r="AC15" s="1816">
        <f t="shared" si="5"/>
        <v>1</v>
      </c>
    </row>
    <row r="16" spans="1:29" ht="15">
      <c r="A16" s="429"/>
      <c r="B16" s="447"/>
      <c r="C16" s="448"/>
      <c r="D16" s="449"/>
      <c r="E16" s="2610"/>
      <c r="F16" s="449"/>
      <c r="G16" s="2611"/>
      <c r="H16" s="451"/>
      <c r="I16" s="2611"/>
      <c r="J16" s="449"/>
      <c r="K16" s="2612"/>
      <c r="L16" s="1144"/>
      <c r="M16" s="1135"/>
      <c r="N16" s="1135"/>
      <c r="O16" s="1135"/>
      <c r="P16" s="3157"/>
      <c r="Q16" s="1815"/>
      <c r="R16" s="775"/>
      <c r="S16" s="776"/>
      <c r="T16" s="775"/>
      <c r="U16" s="776"/>
      <c r="V16" s="775"/>
      <c r="W16" s="776"/>
      <c r="X16" s="1818"/>
      <c r="Y16" s="3159"/>
      <c r="Z16" s="1819"/>
      <c r="AA16" s="1816">
        <v>1</v>
      </c>
      <c r="AB16" s="1816">
        <v>1</v>
      </c>
      <c r="AC16" s="1816">
        <v>1</v>
      </c>
    </row>
    <row r="17" spans="1:29" ht="71.25">
      <c r="A17" s="429"/>
      <c r="B17" s="452" t="s">
        <v>2095</v>
      </c>
      <c r="C17" s="2613" t="str">
        <f>估价对象房地状况!C6</f>
        <v>估价对象周边道路通达、公共交通通达、停车便捷，综合评价交通便捷度较好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157"/>
      <c r="Q17" s="1815" t="str">
        <f>B17</f>
        <v>交通便捷度</v>
      </c>
      <c r="R17" s="775" t="s">
        <v>21</v>
      </c>
      <c r="S17" s="776">
        <f>F17</f>
        <v>100</v>
      </c>
      <c r="T17" s="775" t="s">
        <v>21</v>
      </c>
      <c r="U17" s="776">
        <f>H17</f>
        <v>100</v>
      </c>
      <c r="V17" s="775" t="s">
        <v>21</v>
      </c>
      <c r="W17" s="776">
        <f>J17</f>
        <v>100</v>
      </c>
      <c r="X17" s="1818"/>
      <c r="Y17" s="3159"/>
      <c r="Z17" s="1819" t="str">
        <f>Q17</f>
        <v>交通便捷度</v>
      </c>
      <c r="AA17" s="1816">
        <f t="shared" si="3"/>
        <v>1</v>
      </c>
      <c r="AB17" s="1816">
        <f t="shared" si="4"/>
        <v>1</v>
      </c>
      <c r="AC17" s="1816">
        <f t="shared" si="5"/>
        <v>1</v>
      </c>
    </row>
    <row r="18" spans="1:29" ht="15">
      <c r="A18" s="429"/>
      <c r="B18" s="457"/>
      <c r="C18" s="2614"/>
      <c r="D18" s="451"/>
      <c r="E18" s="2615"/>
      <c r="F18" s="451"/>
      <c r="G18" s="2616"/>
      <c r="H18" s="449"/>
      <c r="I18" s="2616"/>
      <c r="J18" s="449"/>
      <c r="K18" s="2612"/>
      <c r="L18" s="1144"/>
      <c r="M18" s="1135"/>
      <c r="N18" s="1135"/>
      <c r="O18" s="1135"/>
      <c r="P18" s="3157"/>
      <c r="Q18" s="1815"/>
      <c r="R18" s="775"/>
      <c r="S18" s="776"/>
      <c r="T18" s="775"/>
      <c r="U18" s="776"/>
      <c r="V18" s="775"/>
      <c r="W18" s="776"/>
      <c r="X18" s="1818"/>
      <c r="Y18" s="3159"/>
      <c r="Z18" s="1819"/>
      <c r="AA18" s="1816">
        <v>1</v>
      </c>
      <c r="AB18" s="1816">
        <v>1</v>
      </c>
      <c r="AC18" s="1816">
        <v>1</v>
      </c>
    </row>
    <row r="19" spans="1:29" ht="42.75">
      <c r="A19" s="429"/>
      <c r="B19" s="452" t="s">
        <v>2093</v>
      </c>
      <c r="C19" s="2613" t="str">
        <f>估价对象房地状况!C7</f>
        <v>估价对象所在区域公共配套设施齐备</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157"/>
      <c r="Q19" s="1815" t="str">
        <f>B19</f>
        <v>公共配套设施</v>
      </c>
      <c r="R19" s="775" t="s">
        <v>21</v>
      </c>
      <c r="S19" s="776">
        <f>F19</f>
        <v>100</v>
      </c>
      <c r="T19" s="775" t="s">
        <v>21</v>
      </c>
      <c r="U19" s="776">
        <f>H19</f>
        <v>100</v>
      </c>
      <c r="V19" s="775" t="s">
        <v>21</v>
      </c>
      <c r="W19" s="776">
        <f>J19</f>
        <v>100</v>
      </c>
      <c r="X19" s="1818"/>
      <c r="Y19" s="3159"/>
      <c r="Z19" s="1819" t="str">
        <f>Q19</f>
        <v>公共配套设施</v>
      </c>
      <c r="AA19" s="1816">
        <f t="shared" si="3"/>
        <v>1</v>
      </c>
      <c r="AB19" s="1816">
        <f t="shared" si="4"/>
        <v>1</v>
      </c>
      <c r="AC19" s="1816">
        <f t="shared" si="5"/>
        <v>1</v>
      </c>
    </row>
    <row r="20" spans="1:29" ht="15">
      <c r="A20" s="429"/>
      <c r="B20" s="457"/>
      <c r="C20" s="448"/>
      <c r="D20" s="449"/>
      <c r="E20" s="2610"/>
      <c r="F20" s="449"/>
      <c r="G20" s="2611"/>
      <c r="H20" s="449"/>
      <c r="I20" s="2611"/>
      <c r="J20" s="449"/>
      <c r="K20" s="2612"/>
      <c r="L20" s="1144"/>
      <c r="M20" s="1135"/>
      <c r="N20" s="1135"/>
      <c r="O20" s="1135"/>
      <c r="P20" s="3157"/>
      <c r="Q20" s="1815"/>
      <c r="R20" s="775"/>
      <c r="S20" s="776"/>
      <c r="T20" s="775"/>
      <c r="U20" s="776"/>
      <c r="V20" s="775"/>
      <c r="W20" s="776"/>
      <c r="X20" s="1818"/>
      <c r="Y20" s="3159"/>
      <c r="Z20" s="1819"/>
      <c r="AA20" s="1816">
        <v>1</v>
      </c>
      <c r="AB20" s="1816">
        <v>1</v>
      </c>
      <c r="AC20" s="1816">
        <v>1</v>
      </c>
    </row>
    <row r="21" spans="1:29" ht="42.75">
      <c r="A21" s="429"/>
      <c r="B21" s="1388" t="s">
        <v>2096</v>
      </c>
      <c r="C21" s="2613" t="str">
        <f>估价对象房地状况!C8</f>
        <v>估价对象所在区域基础设施水平达七通</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157"/>
      <c r="Q21" s="1815" t="str">
        <f>B21</f>
        <v>基础设施水平</v>
      </c>
      <c r="R21" s="775" t="s">
        <v>17</v>
      </c>
      <c r="S21" s="776">
        <f>F21</f>
        <v>100</v>
      </c>
      <c r="T21" s="775" t="s">
        <v>17</v>
      </c>
      <c r="U21" s="776">
        <f>H21</f>
        <v>100</v>
      </c>
      <c r="V21" s="775" t="s">
        <v>17</v>
      </c>
      <c r="W21" s="776">
        <f>J21</f>
        <v>100</v>
      </c>
      <c r="X21" s="1818"/>
      <c r="Y21" s="3159"/>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49"/>
      <c r="G22" s="2617"/>
      <c r="H22" s="449"/>
      <c r="I22" s="448"/>
      <c r="J22" s="449"/>
      <c r="K22" s="2618"/>
      <c r="L22" s="1144"/>
      <c r="M22" s="1135"/>
      <c r="N22" s="1135"/>
      <c r="O22" s="1135"/>
      <c r="P22" s="3157"/>
      <c r="Q22" s="1815"/>
      <c r="R22" s="775"/>
      <c r="S22" s="776"/>
      <c r="T22" s="775"/>
      <c r="U22" s="776"/>
      <c r="V22" s="775"/>
      <c r="W22" s="776"/>
      <c r="X22" s="1818"/>
      <c r="Y22" s="3159"/>
      <c r="Z22" s="1819"/>
      <c r="AA22" s="1816">
        <v>1</v>
      </c>
      <c r="AB22" s="1816">
        <v>1</v>
      </c>
      <c r="AC22" s="1816">
        <v>1</v>
      </c>
    </row>
    <row r="23" spans="1:29" ht="57">
      <c r="A23" s="429"/>
      <c r="B23" s="452" t="s">
        <v>2100</v>
      </c>
      <c r="C23" s="2613" t="str">
        <f>估价对象房地状况!C9</f>
        <v>区域自然环境较好；人文环境较好；综合评价环境状况较好</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157"/>
      <c r="Q23" s="1815" t="str">
        <f>B23</f>
        <v>自然及人文环境</v>
      </c>
      <c r="R23" s="775" t="s">
        <v>21</v>
      </c>
      <c r="S23" s="776">
        <f>F23</f>
        <v>100</v>
      </c>
      <c r="T23" s="775" t="s">
        <v>21</v>
      </c>
      <c r="U23" s="776">
        <f>H23</f>
        <v>100</v>
      </c>
      <c r="V23" s="775" t="s">
        <v>21</v>
      </c>
      <c r="W23" s="776">
        <f>J23</f>
        <v>100</v>
      </c>
      <c r="X23" s="1818"/>
      <c r="Y23" s="3159"/>
      <c r="Z23" s="1819" t="str">
        <f>Q23</f>
        <v>自然及人文环境</v>
      </c>
      <c r="AA23" s="1816">
        <f>D23/F23</f>
        <v>1</v>
      </c>
      <c r="AB23" s="1816">
        <f>D23/H23</f>
        <v>1</v>
      </c>
      <c r="AC23" s="1816">
        <f>D23/J23</f>
        <v>1</v>
      </c>
    </row>
    <row r="24" spans="1:29" ht="15">
      <c r="A24" s="429"/>
      <c r="B24" s="457"/>
      <c r="C24" s="448"/>
      <c r="D24" s="449"/>
      <c r="E24" s="2610"/>
      <c r="F24" s="449"/>
      <c r="G24" s="2611"/>
      <c r="H24" s="449"/>
      <c r="I24" s="2611"/>
      <c r="J24" s="449"/>
      <c r="K24" s="2612"/>
      <c r="L24" s="1144"/>
      <c r="M24" s="1135"/>
      <c r="N24" s="1135"/>
      <c r="O24" s="1135"/>
      <c r="P24" s="3157"/>
      <c r="Q24" s="1815"/>
      <c r="R24" s="775"/>
      <c r="S24" s="776"/>
      <c r="T24" s="775"/>
      <c r="U24" s="776"/>
      <c r="V24" s="775"/>
      <c r="W24" s="776"/>
      <c r="X24" s="1818"/>
      <c r="Y24" s="3159"/>
      <c r="Z24" s="1819"/>
      <c r="AA24" s="1816">
        <v>1</v>
      </c>
      <c r="AB24" s="1816">
        <v>1</v>
      </c>
      <c r="AC24" s="1816">
        <v>1</v>
      </c>
    </row>
    <row r="25" spans="1:29" ht="15">
      <c r="A25" s="429"/>
      <c r="B25" s="423" t="s">
        <v>2559</v>
      </c>
      <c r="C25" s="461"/>
      <c r="D25" s="436">
        <v>100</v>
      </c>
      <c r="E25" s="2619"/>
      <c r="F25" s="436">
        <f>SUMIF(86:86,E25,87:87)-SUMIF(86:86,C25,87:87)+100</f>
        <v>100</v>
      </c>
      <c r="G25" s="2620"/>
      <c r="H25" s="436">
        <f>SUMIF(86:86,G25,87:87)-SUMIF(86:86,C25,87:87)+100</f>
        <v>100</v>
      </c>
      <c r="I25" s="2620"/>
      <c r="J25" s="436">
        <f>SUMIF(86:86,I25,87:87)-SUMIF(86:86,C25,87:87)+100</f>
        <v>100</v>
      </c>
      <c r="K25" s="427"/>
      <c r="L25" s="1144"/>
      <c r="M25" s="1135"/>
      <c r="N25" s="1135"/>
      <c r="O25" s="1135"/>
      <c r="P25" s="3157"/>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159"/>
      <c r="Z25" s="1819" t="str">
        <f>Q25</f>
        <v>楼层-1</v>
      </c>
      <c r="AA25" s="1816">
        <f t="shared" ref="AA25:AA46" si="15">D25/F25</f>
        <v>1</v>
      </c>
      <c r="AB25" s="1816">
        <f t="shared" ref="AB25:AB46" si="16">D25/H25</f>
        <v>1</v>
      </c>
      <c r="AC25" s="1816">
        <f t="shared" ref="AC25:AC46" si="17">D25/J25</f>
        <v>1</v>
      </c>
    </row>
    <row r="26" spans="1:29" ht="15">
      <c r="A26" s="429"/>
      <c r="B26" s="423" t="s">
        <v>2560</v>
      </c>
      <c r="C26" s="461"/>
      <c r="D26" s="436">
        <v>100</v>
      </c>
      <c r="E26" s="2619"/>
      <c r="F26" s="436">
        <f>SUMIF(88:88,E26,89:89)-SUMIF(88:88,C26,89:89)+100</f>
        <v>100</v>
      </c>
      <c r="G26" s="2620"/>
      <c r="H26" s="436">
        <f>SUMIF(88:88,G26,89:89)-SUMIF(88:88,C26,89:89)+100</f>
        <v>100</v>
      </c>
      <c r="I26" s="2620"/>
      <c r="J26" s="436">
        <f>SUMIF(88:88,I26,89:89)-SUMIF(88:88,C26,89:89)+100</f>
        <v>100</v>
      </c>
      <c r="K26" s="427"/>
      <c r="L26" s="1144"/>
      <c r="M26" s="1135"/>
      <c r="N26" s="1135"/>
      <c r="O26" s="1135"/>
      <c r="P26" s="3157"/>
      <c r="Q26" s="1815" t="str">
        <f t="shared" si="11"/>
        <v>朝向</v>
      </c>
      <c r="R26" s="775" t="s">
        <v>21</v>
      </c>
      <c r="S26" s="776">
        <f t="shared" si="12"/>
        <v>100</v>
      </c>
      <c r="T26" s="775" t="s">
        <v>21</v>
      </c>
      <c r="U26" s="776">
        <f t="shared" si="13"/>
        <v>100</v>
      </c>
      <c r="V26" s="775" t="s">
        <v>21</v>
      </c>
      <c r="W26" s="776">
        <f t="shared" si="14"/>
        <v>100</v>
      </c>
      <c r="X26" s="1818"/>
      <c r="Y26" s="3159"/>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7"/>
      <c r="L27" s="1136"/>
      <c r="M27" s="1137"/>
      <c r="N27" s="1137"/>
      <c r="O27" s="1137"/>
      <c r="P27" s="3157"/>
      <c r="Q27" s="1800">
        <f t="shared" si="11"/>
        <v>111</v>
      </c>
      <c r="R27" s="771" t="s">
        <v>21</v>
      </c>
      <c r="S27" s="772">
        <f t="shared" si="12"/>
        <v>100</v>
      </c>
      <c r="T27" s="771" t="s">
        <v>21</v>
      </c>
      <c r="U27" s="772">
        <f t="shared" si="13"/>
        <v>100</v>
      </c>
      <c r="V27" s="771" t="s">
        <v>21</v>
      </c>
      <c r="W27" s="772">
        <f t="shared" si="14"/>
        <v>100</v>
      </c>
      <c r="X27" s="773"/>
      <c r="Y27" s="3159"/>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1"/>
      <c r="H28" s="436">
        <f>SUMIF(92:92,G28,93:93)-SUMIF(92:92,C28,93:93)+100</f>
        <v>100</v>
      </c>
      <c r="I28" s="435"/>
      <c r="J28" s="436">
        <f>SUMIF(92:92,I28,93:93)-SUMIF(92:92,C28,93:93)+100</f>
        <v>100</v>
      </c>
      <c r="K28" s="2607"/>
      <c r="L28" s="1144"/>
      <c r="M28" s="1135"/>
      <c r="N28" s="1135"/>
      <c r="O28" s="1135"/>
      <c r="P28" s="3157"/>
      <c r="Q28" s="1815">
        <f t="shared" si="11"/>
        <v>111</v>
      </c>
      <c r="R28" s="775" t="s">
        <v>21</v>
      </c>
      <c r="S28" s="776">
        <f t="shared" si="12"/>
        <v>100</v>
      </c>
      <c r="T28" s="775" t="s">
        <v>21</v>
      </c>
      <c r="U28" s="776">
        <f t="shared" si="13"/>
        <v>100</v>
      </c>
      <c r="V28" s="775" t="s">
        <v>21</v>
      </c>
      <c r="W28" s="776">
        <f t="shared" si="14"/>
        <v>100</v>
      </c>
      <c r="X28" s="1818"/>
      <c r="Y28" s="3159"/>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1"/>
      <c r="H29" s="436">
        <f>SUMIF(94:94,G29,95:95)-SUMIF(94:94,C29,95:95)+100</f>
        <v>100</v>
      </c>
      <c r="I29" s="435"/>
      <c r="J29" s="436">
        <f>SUMIF(94:94,I29,95:95)-SUMIF(94:94,C29,95:95)+100</f>
        <v>100</v>
      </c>
      <c r="K29" s="2607"/>
      <c r="L29" s="1144"/>
      <c r="M29" s="1135"/>
      <c r="N29" s="1135"/>
      <c r="O29" s="1135"/>
      <c r="P29" s="3157"/>
      <c r="Q29" s="1815">
        <f t="shared" si="11"/>
        <v>111</v>
      </c>
      <c r="R29" s="775" t="s">
        <v>21</v>
      </c>
      <c r="S29" s="776">
        <f t="shared" si="12"/>
        <v>100</v>
      </c>
      <c r="T29" s="775" t="s">
        <v>21</v>
      </c>
      <c r="U29" s="776">
        <f t="shared" si="13"/>
        <v>100</v>
      </c>
      <c r="V29" s="775" t="s">
        <v>21</v>
      </c>
      <c r="W29" s="776">
        <f t="shared" si="14"/>
        <v>100</v>
      </c>
      <c r="X29" s="1818"/>
      <c r="Y29" s="3159"/>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1"/>
      <c r="H30" s="436">
        <f>SUMIF(96:96,G30,97:97)-SUMIF(96:96,C30,97:97)+100</f>
        <v>100</v>
      </c>
      <c r="I30" s="435"/>
      <c r="J30" s="436">
        <f>SUMIF(96:96,I30,97:97)-SUMIF(96:96,C30,97:97)+100</f>
        <v>100</v>
      </c>
      <c r="K30" s="2607"/>
      <c r="L30" s="1144"/>
      <c r="M30" s="1135"/>
      <c r="N30" s="1135"/>
      <c r="O30" s="1135"/>
      <c r="P30" s="3157"/>
      <c r="Q30" s="1815">
        <f t="shared" si="11"/>
        <v>111</v>
      </c>
      <c r="R30" s="775" t="s">
        <v>21</v>
      </c>
      <c r="S30" s="776">
        <f t="shared" si="12"/>
        <v>100</v>
      </c>
      <c r="T30" s="775" t="s">
        <v>21</v>
      </c>
      <c r="U30" s="776">
        <f t="shared" si="13"/>
        <v>100</v>
      </c>
      <c r="V30" s="775" t="s">
        <v>21</v>
      </c>
      <c r="W30" s="776">
        <f t="shared" si="14"/>
        <v>100</v>
      </c>
      <c r="X30" s="1818"/>
      <c r="Y30" s="3159"/>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2"/>
      <c r="H31" s="439">
        <f>SUMIF(98:98,G31,99:99)-SUMIF(98:98,C31,99:99)+100</f>
        <v>100</v>
      </c>
      <c r="I31" s="438"/>
      <c r="J31" s="439">
        <f>SUMIF(98:98,I31,99:99)-SUMIF(98:98,C31,99:99)+100</f>
        <v>100</v>
      </c>
      <c r="K31" s="2607"/>
      <c r="L31" s="1144"/>
      <c r="M31" s="1135"/>
      <c r="N31" s="1135"/>
      <c r="O31" s="1135"/>
      <c r="P31" s="3157"/>
      <c r="Q31" s="1815">
        <f t="shared" si="11"/>
        <v>111</v>
      </c>
      <c r="R31" s="775" t="s">
        <v>21</v>
      </c>
      <c r="S31" s="776">
        <f t="shared" si="12"/>
        <v>100</v>
      </c>
      <c r="T31" s="775" t="s">
        <v>21</v>
      </c>
      <c r="U31" s="776">
        <f t="shared" si="13"/>
        <v>100</v>
      </c>
      <c r="V31" s="775" t="s">
        <v>21</v>
      </c>
      <c r="W31" s="776">
        <f t="shared" si="14"/>
        <v>100</v>
      </c>
      <c r="X31" s="1818"/>
      <c r="Y31" s="3159"/>
      <c r="Z31" s="1819">
        <f t="shared" si="18"/>
        <v>111</v>
      </c>
      <c r="AA31" s="1816">
        <f t="shared" si="15"/>
        <v>1</v>
      </c>
      <c r="AB31" s="1816">
        <f t="shared" si="16"/>
        <v>1</v>
      </c>
      <c r="AC31" s="1816">
        <f t="shared" si="17"/>
        <v>1</v>
      </c>
    </row>
    <row r="32" spans="1:29" ht="15">
      <c r="A32" s="441" t="s">
        <v>2561</v>
      </c>
      <c r="B32" s="71" t="s">
        <v>2562</v>
      </c>
      <c r="C32" s="2623"/>
      <c r="D32" s="468">
        <v>100</v>
      </c>
      <c r="E32" s="2624"/>
      <c r="F32" s="462">
        <f>SUMIF(100:100,E32,101:101)-SUMIF(100:100,C32,101:101)+100</f>
        <v>100</v>
      </c>
      <c r="G32" s="2623"/>
      <c r="H32" s="468">
        <f>SUMIF(100:100,G32,101:101)-SUMIF(100:100,C32,101:101)+100</f>
        <v>100</v>
      </c>
      <c r="I32" s="2624"/>
      <c r="J32" s="436">
        <f>SUMIF(100:100,I32,101:101)-SUMIF(100:100,C32,101:101)+100</f>
        <v>100</v>
      </c>
      <c r="K32" s="427"/>
      <c r="L32" s="1144"/>
      <c r="M32" s="1135"/>
      <c r="N32" s="1135"/>
      <c r="O32" s="1135"/>
      <c r="P32" s="3160" t="s">
        <v>2563</v>
      </c>
      <c r="Q32" s="1815" t="str">
        <f t="shared" si="11"/>
        <v>建筑类型</v>
      </c>
      <c r="R32" s="775" t="s">
        <v>21</v>
      </c>
      <c r="S32" s="776">
        <f t="shared" si="12"/>
        <v>100</v>
      </c>
      <c r="T32" s="775" t="s">
        <v>21</v>
      </c>
      <c r="U32" s="776">
        <f t="shared" si="13"/>
        <v>100</v>
      </c>
      <c r="V32" s="775" t="s">
        <v>21</v>
      </c>
      <c r="W32" s="776">
        <f t="shared" si="14"/>
        <v>100</v>
      </c>
      <c r="X32" s="1818"/>
      <c r="Y32" s="3163" t="s">
        <v>2563</v>
      </c>
      <c r="Z32" s="1819" t="str">
        <f t="shared" si="18"/>
        <v>建筑类型</v>
      </c>
      <c r="AA32" s="1816">
        <f t="shared" si="15"/>
        <v>1</v>
      </c>
      <c r="AB32" s="1816">
        <f t="shared" si="16"/>
        <v>1</v>
      </c>
      <c r="AC32" s="1816">
        <f t="shared" si="17"/>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7"/>
      <c r="L33" s="1142"/>
      <c r="M33" s="1145"/>
      <c r="N33" s="1145"/>
      <c r="O33" s="1145"/>
      <c r="P33" s="3161"/>
      <c r="Q33" s="777" t="str">
        <f t="shared" si="11"/>
        <v>项目建筑规模</v>
      </c>
      <c r="R33" s="778" t="s">
        <v>21</v>
      </c>
      <c r="S33" s="779" t="e">
        <f t="shared" si="12"/>
        <v>#N/A</v>
      </c>
      <c r="T33" s="778" t="s">
        <v>21</v>
      </c>
      <c r="U33" s="779" t="e">
        <f t="shared" si="13"/>
        <v>#N/A</v>
      </c>
      <c r="V33" s="778" t="s">
        <v>21</v>
      </c>
      <c r="W33" s="779" t="e">
        <f t="shared" si="14"/>
        <v>#N/A</v>
      </c>
      <c r="X33" s="780"/>
      <c r="Y33" s="3163"/>
      <c r="Z33" s="781" t="str">
        <f t="shared" si="18"/>
        <v>项目建筑规模</v>
      </c>
      <c r="AA33" s="1816" t="e">
        <f t="shared" si="15"/>
        <v>#N/A</v>
      </c>
      <c r="AB33" s="1816" t="e">
        <f t="shared" si="16"/>
        <v>#N/A</v>
      </c>
      <c r="AC33" s="1816" t="e">
        <f t="shared" si="17"/>
        <v>#N/A</v>
      </c>
    </row>
    <row r="34" spans="1:29" ht="15">
      <c r="A34" s="473"/>
      <c r="B34" s="423" t="s">
        <v>2565</v>
      </c>
      <c r="C34" s="2625"/>
      <c r="D34" s="436">
        <v>100</v>
      </c>
      <c r="E34" s="2626"/>
      <c r="F34" s="462">
        <f>SUMIF(105:105,E34,106:106)-SUMIF(105:105,C34,106:106)+100</f>
        <v>100</v>
      </c>
      <c r="G34" s="2625"/>
      <c r="H34" s="436">
        <f>SUMIF(105:105,G34,106:106)-SUMIF(105:105,C34,106:106)+100</f>
        <v>100</v>
      </c>
      <c r="I34" s="2626"/>
      <c r="J34" s="436">
        <f>SUMIF(105:105,I34,106:106)-SUMIF(105:105,C34,106:106)+100</f>
        <v>100</v>
      </c>
      <c r="K34" s="427"/>
      <c r="L34" s="1144"/>
      <c r="M34" s="1135"/>
      <c r="N34" s="1135"/>
      <c r="O34" s="1135"/>
      <c r="P34" s="3161"/>
      <c r="Q34" s="1815" t="str">
        <f t="shared" si="11"/>
        <v>建筑结构</v>
      </c>
      <c r="R34" s="775" t="s">
        <v>21</v>
      </c>
      <c r="S34" s="776">
        <f t="shared" si="12"/>
        <v>100</v>
      </c>
      <c r="T34" s="775" t="s">
        <v>21</v>
      </c>
      <c r="U34" s="776">
        <f t="shared" si="13"/>
        <v>100</v>
      </c>
      <c r="V34" s="775" t="s">
        <v>21</v>
      </c>
      <c r="W34" s="776">
        <f t="shared" si="14"/>
        <v>100</v>
      </c>
      <c r="X34" s="1818"/>
      <c r="Y34" s="3163"/>
      <c r="Z34" s="1819" t="str">
        <f t="shared" si="18"/>
        <v>建筑结构</v>
      </c>
      <c r="AA34" s="1816">
        <f t="shared" si="15"/>
        <v>1</v>
      </c>
      <c r="AB34" s="1816">
        <f t="shared" si="16"/>
        <v>1</v>
      </c>
      <c r="AC34" s="1816">
        <f t="shared" si="17"/>
        <v>1</v>
      </c>
    </row>
    <row r="35" spans="1:29" ht="15">
      <c r="A35" s="473"/>
      <c r="B35" s="423" t="s">
        <v>2566</v>
      </c>
      <c r="C35" s="2619"/>
      <c r="D35" s="436">
        <v>100</v>
      </c>
      <c r="E35" s="2620"/>
      <c r="F35" s="462">
        <f>SUMIF(107:107,E35,108:108)-SUMIF(107:107,C35,108:108)+100</f>
        <v>100</v>
      </c>
      <c r="G35" s="2619"/>
      <c r="H35" s="436">
        <f>SUMIF(107:107,G35,108:108)-SUMIF(107:107,C35,108:108)+100</f>
        <v>100</v>
      </c>
      <c r="I35" s="2620"/>
      <c r="J35" s="436">
        <f>SUMIF(107:107,I35,108:108)-SUMIF(107:107,C35,108:108)+100</f>
        <v>100</v>
      </c>
      <c r="K35" s="427"/>
      <c r="L35" s="1144"/>
      <c r="M35" s="1135"/>
      <c r="N35" s="1135"/>
      <c r="O35" s="1135"/>
      <c r="P35" s="3161"/>
      <c r="Q35" s="1815" t="str">
        <f t="shared" si="11"/>
        <v>建筑品质</v>
      </c>
      <c r="R35" s="775" t="s">
        <v>21</v>
      </c>
      <c r="S35" s="776">
        <f t="shared" si="12"/>
        <v>100</v>
      </c>
      <c r="T35" s="775" t="s">
        <v>21</v>
      </c>
      <c r="U35" s="776">
        <f t="shared" si="13"/>
        <v>100</v>
      </c>
      <c r="V35" s="775" t="s">
        <v>21</v>
      </c>
      <c r="W35" s="776">
        <f t="shared" si="14"/>
        <v>100</v>
      </c>
      <c r="X35" s="1818"/>
      <c r="Y35" s="3163"/>
      <c r="Z35" s="1819" t="str">
        <f t="shared" si="18"/>
        <v>建筑品质</v>
      </c>
      <c r="AA35" s="1816">
        <f t="shared" si="15"/>
        <v>1</v>
      </c>
      <c r="AB35" s="1816">
        <f t="shared" si="16"/>
        <v>1</v>
      </c>
      <c r="AC35" s="1816">
        <f t="shared" si="17"/>
        <v>1</v>
      </c>
    </row>
    <row r="36" spans="1:29" ht="15">
      <c r="A36" s="473"/>
      <c r="B36" s="423" t="s">
        <v>2567</v>
      </c>
      <c r="C36" s="2619"/>
      <c r="D36" s="436">
        <v>100</v>
      </c>
      <c r="E36" s="2620"/>
      <c r="F36" s="462">
        <f>SUMIF(109:109,E36,110:110)-SUMIF(109:109,C36,110:110)+100</f>
        <v>100</v>
      </c>
      <c r="G36" s="2619"/>
      <c r="H36" s="436">
        <f>SUMIF(109:109,G36,110:110)-SUMIF(109:109,C36,110:110)+100</f>
        <v>100</v>
      </c>
      <c r="I36" s="2620"/>
      <c r="J36" s="436">
        <f>SUMIF(109:109,I36,110:110)-SUMIF(109:109,C36,110:110)+100</f>
        <v>100</v>
      </c>
      <c r="K36" s="427"/>
      <c r="L36" s="1144"/>
      <c r="M36" s="1135"/>
      <c r="N36" s="1135"/>
      <c r="O36" s="1135"/>
      <c r="P36" s="3161"/>
      <c r="Q36" s="1815" t="str">
        <f t="shared" si="11"/>
        <v>公共部分装修</v>
      </c>
      <c r="R36" s="775" t="s">
        <v>21</v>
      </c>
      <c r="S36" s="776">
        <f t="shared" si="12"/>
        <v>100</v>
      </c>
      <c r="T36" s="775" t="s">
        <v>21</v>
      </c>
      <c r="U36" s="776">
        <f t="shared" si="13"/>
        <v>100</v>
      </c>
      <c r="V36" s="775" t="s">
        <v>21</v>
      </c>
      <c r="W36" s="776">
        <f t="shared" si="14"/>
        <v>100</v>
      </c>
      <c r="X36" s="1818"/>
      <c r="Y36" s="3163"/>
      <c r="Z36" s="1819" t="str">
        <f t="shared" si="18"/>
        <v>公共部分装修</v>
      </c>
      <c r="AA36" s="1816">
        <f t="shared" si="15"/>
        <v>1</v>
      </c>
      <c r="AB36" s="1816">
        <f t="shared" si="16"/>
        <v>1</v>
      </c>
      <c r="AC36" s="1816">
        <f t="shared" si="17"/>
        <v>1</v>
      </c>
    </row>
    <row r="37" spans="1:29" s="117" customFormat="1" ht="15">
      <c r="A37" s="474"/>
      <c r="B37" s="423" t="s">
        <v>2568</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161"/>
      <c r="Q37" s="1800" t="str">
        <f t="shared" si="11"/>
        <v>成新度</v>
      </c>
      <c r="R37" s="771" t="s">
        <v>21</v>
      </c>
      <c r="S37" s="772" t="e">
        <f t="shared" si="12"/>
        <v>#N/A</v>
      </c>
      <c r="T37" s="771" t="s">
        <v>21</v>
      </c>
      <c r="U37" s="772" t="e">
        <f t="shared" si="13"/>
        <v>#N/A</v>
      </c>
      <c r="V37" s="771" t="s">
        <v>21</v>
      </c>
      <c r="W37" s="772" t="e">
        <f t="shared" si="14"/>
        <v>#N/A</v>
      </c>
      <c r="X37" s="773"/>
      <c r="Y37" s="3163"/>
      <c r="Z37" s="55" t="str">
        <f t="shared" si="18"/>
        <v>成新度</v>
      </c>
      <c r="AA37" s="774" t="e">
        <f t="shared" si="15"/>
        <v>#N/A</v>
      </c>
      <c r="AB37" s="774" t="e">
        <f t="shared" si="16"/>
        <v>#N/A</v>
      </c>
      <c r="AC37" s="774" t="e">
        <f t="shared" si="17"/>
        <v>#N/A</v>
      </c>
    </row>
    <row r="38" spans="1:29" ht="15">
      <c r="A38" s="473"/>
      <c r="B38" s="423" t="s">
        <v>2569</v>
      </c>
      <c r="C38" s="2619"/>
      <c r="D38" s="436">
        <v>100</v>
      </c>
      <c r="E38" s="2620"/>
      <c r="F38" s="462">
        <f>SUMIF(114:114,E38,115:115)-SUMIF(114:114,C38,115:115)+100</f>
        <v>100</v>
      </c>
      <c r="G38" s="2619"/>
      <c r="H38" s="436">
        <f>SUMIF(114:114,G38,115:115)-SUMIF(114:114,C38,115:115)+100</f>
        <v>100</v>
      </c>
      <c r="I38" s="2620"/>
      <c r="J38" s="436">
        <f>SUMIF(114:114,I38,115:115)-SUMIF(114:114,C38,115:115)+100</f>
        <v>100</v>
      </c>
      <c r="K38" s="427"/>
      <c r="L38" s="1144"/>
      <c r="M38" s="1135"/>
      <c r="N38" s="1135"/>
      <c r="O38" s="1135"/>
      <c r="P38" s="3161" t="s">
        <v>2563</v>
      </c>
      <c r="Q38" s="1815" t="str">
        <f t="shared" si="11"/>
        <v>物业管理</v>
      </c>
      <c r="R38" s="775" t="s">
        <v>21</v>
      </c>
      <c r="S38" s="776">
        <f t="shared" si="12"/>
        <v>100</v>
      </c>
      <c r="T38" s="775" t="s">
        <v>21</v>
      </c>
      <c r="U38" s="776">
        <f t="shared" si="13"/>
        <v>100</v>
      </c>
      <c r="V38" s="775" t="s">
        <v>21</v>
      </c>
      <c r="W38" s="776">
        <f t="shared" si="14"/>
        <v>100</v>
      </c>
      <c r="X38" s="1818"/>
      <c r="Y38" s="3163" t="s">
        <v>2563</v>
      </c>
      <c r="Z38" s="1819" t="str">
        <f t="shared" si="18"/>
        <v>物业管理</v>
      </c>
      <c r="AA38" s="1816">
        <f t="shared" si="15"/>
        <v>1</v>
      </c>
      <c r="AB38" s="1816">
        <f t="shared" si="16"/>
        <v>1</v>
      </c>
      <c r="AC38" s="1816">
        <f t="shared" si="17"/>
        <v>1</v>
      </c>
    </row>
    <row r="39" spans="1:29" ht="15">
      <c r="A39" s="473"/>
      <c r="B39" s="423" t="s">
        <v>2570</v>
      </c>
      <c r="C39" s="2619"/>
      <c r="D39" s="436">
        <v>100</v>
      </c>
      <c r="E39" s="2620"/>
      <c r="F39" s="462">
        <f>SUMIF(116:116,E39,117:117)-SUMIF(116:116,C39,117:117)+100</f>
        <v>100</v>
      </c>
      <c r="G39" s="2619"/>
      <c r="H39" s="436">
        <f>SUMIF(116:116,G39,117:117)-SUMIF(116:116,C39,117:117)+100</f>
        <v>100</v>
      </c>
      <c r="I39" s="2620"/>
      <c r="J39" s="436">
        <f>SUMIF(116:116,I39,117:117)-SUMIF(116:116,C39,117:117)+100</f>
        <v>100</v>
      </c>
      <c r="K39" s="427"/>
      <c r="L39" s="1144"/>
      <c r="M39" s="1135"/>
      <c r="N39" s="1135"/>
      <c r="O39" s="1135"/>
      <c r="P39" s="3161"/>
      <c r="Q39" s="1815" t="str">
        <f t="shared" si="11"/>
        <v>市政基础设施</v>
      </c>
      <c r="R39" s="775" t="s">
        <v>21</v>
      </c>
      <c r="S39" s="776">
        <f t="shared" si="12"/>
        <v>100</v>
      </c>
      <c r="T39" s="775" t="s">
        <v>21</v>
      </c>
      <c r="U39" s="776">
        <f t="shared" si="13"/>
        <v>100</v>
      </c>
      <c r="V39" s="775" t="s">
        <v>21</v>
      </c>
      <c r="W39" s="776">
        <f t="shared" si="14"/>
        <v>100</v>
      </c>
      <c r="X39" s="1818"/>
      <c r="Y39" s="3163"/>
      <c r="Z39" s="1819" t="str">
        <f t="shared" si="18"/>
        <v>市政基础设施</v>
      </c>
      <c r="AA39" s="1816">
        <f t="shared" si="15"/>
        <v>1</v>
      </c>
      <c r="AB39" s="1816">
        <f t="shared" si="16"/>
        <v>1</v>
      </c>
      <c r="AC39" s="1816">
        <f t="shared" si="17"/>
        <v>1</v>
      </c>
    </row>
    <row r="40" spans="1:29" ht="15">
      <c r="A40" s="473"/>
      <c r="B40" s="423" t="s">
        <v>2571</v>
      </c>
      <c r="C40" s="2619"/>
      <c r="D40" s="436">
        <v>100</v>
      </c>
      <c r="E40" s="2620"/>
      <c r="F40" s="462">
        <f>SUMIF(118:118,E40,119:119)-SUMIF(118:118,C40,119:119)+100</f>
        <v>100</v>
      </c>
      <c r="G40" s="2619"/>
      <c r="H40" s="436">
        <f>SUMIF(118:118,G40,119:119)-SUMIF(118:118,C40,119:119)+100</f>
        <v>100</v>
      </c>
      <c r="I40" s="2620"/>
      <c r="J40" s="436">
        <f>SUMIF(118:118,I40,119:119)-SUMIF(118:118,C40,119:119)+100</f>
        <v>100</v>
      </c>
      <c r="K40" s="427"/>
      <c r="L40" s="1144"/>
      <c r="M40" s="1135"/>
      <c r="N40" s="1135"/>
      <c r="O40" s="1135"/>
      <c r="P40" s="3161"/>
      <c r="Q40" s="1815" t="str">
        <f t="shared" si="11"/>
        <v>房型</v>
      </c>
      <c r="R40" s="775" t="s">
        <v>21</v>
      </c>
      <c r="S40" s="776">
        <f t="shared" si="12"/>
        <v>100</v>
      </c>
      <c r="T40" s="775" t="s">
        <v>21</v>
      </c>
      <c r="U40" s="776">
        <f t="shared" si="13"/>
        <v>100</v>
      </c>
      <c r="V40" s="775" t="s">
        <v>21</v>
      </c>
      <c r="W40" s="776">
        <f t="shared" si="14"/>
        <v>100</v>
      </c>
      <c r="X40" s="1818"/>
      <c r="Y40" s="3163"/>
      <c r="Z40" s="1819" t="str">
        <f t="shared" si="18"/>
        <v>房型</v>
      </c>
      <c r="AA40" s="1816">
        <f t="shared" si="15"/>
        <v>1</v>
      </c>
      <c r="AB40" s="1816">
        <f t="shared" si="16"/>
        <v>1</v>
      </c>
      <c r="AC40" s="1816">
        <f t="shared" si="17"/>
        <v>1</v>
      </c>
    </row>
    <row r="41" spans="1:29" s="472" customFormat="1" ht="28.5">
      <c r="A41" s="469"/>
      <c r="B41" s="423" t="s">
        <v>2572</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7"/>
      <c r="L41" s="1142"/>
      <c r="M41" s="1145"/>
      <c r="N41" s="1145"/>
      <c r="O41" s="1145"/>
      <c r="P41" s="3161"/>
      <c r="Q41" s="777" t="str">
        <f t="shared" si="11"/>
        <v>单套/主力户型建筑面积</v>
      </c>
      <c r="R41" s="778" t="s">
        <v>21</v>
      </c>
      <c r="S41" s="779">
        <f t="shared" si="12"/>
        <v>100</v>
      </c>
      <c r="T41" s="778" t="s">
        <v>21</v>
      </c>
      <c r="U41" s="779">
        <f t="shared" si="13"/>
        <v>100</v>
      </c>
      <c r="V41" s="778" t="s">
        <v>21</v>
      </c>
      <c r="W41" s="779">
        <f t="shared" si="14"/>
        <v>100</v>
      </c>
      <c r="X41" s="780"/>
      <c r="Y41" s="3163"/>
      <c r="Z41" s="781" t="str">
        <f t="shared" si="18"/>
        <v>单套/主力户型建筑面积</v>
      </c>
      <c r="AA41" s="1816">
        <f t="shared" si="15"/>
        <v>1</v>
      </c>
      <c r="AB41" s="1816">
        <f t="shared" si="16"/>
        <v>1</v>
      </c>
      <c r="AC41" s="1816">
        <f t="shared" si="17"/>
        <v>1</v>
      </c>
    </row>
    <row r="42" spans="1:29" ht="15">
      <c r="A42" s="473"/>
      <c r="B42" s="423" t="s">
        <v>2573</v>
      </c>
      <c r="C42" s="2619"/>
      <c r="D42" s="436">
        <v>100</v>
      </c>
      <c r="E42" s="2620"/>
      <c r="F42" s="462">
        <f>SUMIF(122:122,E42,123:123)-SUMIF(122:122,C42,123:123)+100</f>
        <v>100</v>
      </c>
      <c r="G42" s="2619"/>
      <c r="H42" s="436">
        <f>SUMIF(122:122,G42,123:123)-SUMIF(122:122,C42,123:123)+100</f>
        <v>100</v>
      </c>
      <c r="I42" s="2620"/>
      <c r="J42" s="436">
        <f>SUMIF(122:122,I42,123:123)-SUMIF(122:122,C42,123:123)+100</f>
        <v>100</v>
      </c>
      <c r="K42" s="427"/>
      <c r="L42" s="1144"/>
      <c r="M42" s="1135"/>
      <c r="N42" s="1135"/>
      <c r="O42" s="1135"/>
      <c r="P42" s="3161"/>
      <c r="Q42" s="1815" t="str">
        <f t="shared" si="11"/>
        <v>内部装修</v>
      </c>
      <c r="R42" s="775" t="s">
        <v>21</v>
      </c>
      <c r="S42" s="776">
        <f t="shared" si="12"/>
        <v>100</v>
      </c>
      <c r="T42" s="775" t="s">
        <v>21</v>
      </c>
      <c r="U42" s="776">
        <f t="shared" si="13"/>
        <v>100</v>
      </c>
      <c r="V42" s="775" t="s">
        <v>21</v>
      </c>
      <c r="W42" s="776">
        <f t="shared" si="14"/>
        <v>100</v>
      </c>
      <c r="X42" s="1818"/>
      <c r="Y42" s="3163"/>
      <c r="Z42" s="1819" t="str">
        <f t="shared" si="18"/>
        <v>内部装修</v>
      </c>
      <c r="AA42" s="1816">
        <f t="shared" si="15"/>
        <v>1</v>
      </c>
      <c r="AB42" s="1816">
        <f t="shared" si="16"/>
        <v>1</v>
      </c>
      <c r="AC42" s="1816">
        <f t="shared" si="17"/>
        <v>1</v>
      </c>
    </row>
    <row r="43" spans="1:29" ht="15">
      <c r="A43" s="473"/>
      <c r="B43" s="423" t="s">
        <v>2574</v>
      </c>
      <c r="C43" s="2619"/>
      <c r="D43" s="436">
        <v>100</v>
      </c>
      <c r="E43" s="2620"/>
      <c r="F43" s="462">
        <f>SUMIF(124:124,E43,125:125)-SUMIF(124:124,C43,125:125)+100</f>
        <v>100</v>
      </c>
      <c r="G43" s="2619"/>
      <c r="H43" s="436">
        <f>SUMIF(124:124,G43,125:125)-SUMIF(124:124,C43,125:125)+100</f>
        <v>100</v>
      </c>
      <c r="I43" s="2620"/>
      <c r="J43" s="436">
        <f>SUMIF(124:124,I43,125:125)-SUMIF(124:124,C43,125:125)+100</f>
        <v>100</v>
      </c>
      <c r="K43" s="427"/>
      <c r="L43" s="1144"/>
      <c r="M43" s="1135"/>
      <c r="N43" s="1135"/>
      <c r="O43" s="1135"/>
      <c r="P43" s="3161"/>
      <c r="Q43" s="1815" t="str">
        <f t="shared" si="11"/>
        <v>内部装修维护情况</v>
      </c>
      <c r="R43" s="775" t="s">
        <v>21</v>
      </c>
      <c r="S43" s="776">
        <f t="shared" si="12"/>
        <v>100</v>
      </c>
      <c r="T43" s="775" t="s">
        <v>21</v>
      </c>
      <c r="U43" s="776">
        <f t="shared" si="13"/>
        <v>100</v>
      </c>
      <c r="V43" s="775" t="s">
        <v>21</v>
      </c>
      <c r="W43" s="776">
        <f t="shared" si="14"/>
        <v>100</v>
      </c>
      <c r="X43" s="1818"/>
      <c r="Y43" s="3163"/>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7"/>
      <c r="L44" s="1136"/>
      <c r="M44" s="1137"/>
      <c r="N44" s="1137"/>
      <c r="O44" s="1137"/>
      <c r="P44" s="3161"/>
      <c r="Q44" s="1800">
        <f t="shared" si="11"/>
        <v>111</v>
      </c>
      <c r="R44" s="771" t="s">
        <v>21</v>
      </c>
      <c r="S44" s="772">
        <f t="shared" si="12"/>
        <v>100</v>
      </c>
      <c r="T44" s="771" t="s">
        <v>21</v>
      </c>
      <c r="U44" s="772">
        <f t="shared" si="13"/>
        <v>100</v>
      </c>
      <c r="V44" s="771" t="s">
        <v>21</v>
      </c>
      <c r="W44" s="772">
        <f t="shared" si="14"/>
        <v>100</v>
      </c>
      <c r="X44" s="773"/>
      <c r="Y44" s="3163"/>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7"/>
      <c r="L45" s="1144"/>
      <c r="M45" s="1135"/>
      <c r="N45" s="1135"/>
      <c r="O45" s="1135"/>
      <c r="P45" s="3161"/>
      <c r="Q45" s="1815">
        <f t="shared" si="11"/>
        <v>111</v>
      </c>
      <c r="R45" s="775" t="s">
        <v>21</v>
      </c>
      <c r="S45" s="776">
        <f t="shared" si="12"/>
        <v>100</v>
      </c>
      <c r="T45" s="775" t="s">
        <v>21</v>
      </c>
      <c r="U45" s="776">
        <f t="shared" si="13"/>
        <v>100</v>
      </c>
      <c r="V45" s="775" t="s">
        <v>21</v>
      </c>
      <c r="W45" s="776">
        <f t="shared" si="14"/>
        <v>100</v>
      </c>
      <c r="X45" s="1818"/>
      <c r="Y45" s="3163"/>
      <c r="Z45" s="1819">
        <f t="shared" si="18"/>
        <v>111</v>
      </c>
      <c r="AA45" s="1816">
        <f t="shared" si="15"/>
        <v>1</v>
      </c>
      <c r="AB45" s="1816">
        <f t="shared" si="16"/>
        <v>1</v>
      </c>
      <c r="AC45" s="1816">
        <f t="shared" si="17"/>
        <v>1</v>
      </c>
    </row>
    <row r="46" spans="1:29" ht="15.75" thickBot="1">
      <c r="A46" s="479"/>
      <c r="B46" s="2608">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7"/>
      <c r="L46" s="1144"/>
      <c r="M46" s="1135"/>
      <c r="N46" s="1135"/>
      <c r="O46" s="1135"/>
      <c r="P46" s="3162"/>
      <c r="Q46" s="1815">
        <f t="shared" si="11"/>
        <v>111</v>
      </c>
      <c r="R46" s="775" t="s">
        <v>20</v>
      </c>
      <c r="S46" s="776">
        <f t="shared" si="12"/>
        <v>100</v>
      </c>
      <c r="T46" s="775" t="s">
        <v>20</v>
      </c>
      <c r="U46" s="776">
        <f t="shared" si="13"/>
        <v>100</v>
      </c>
      <c r="V46" s="775" t="s">
        <v>20</v>
      </c>
      <c r="W46" s="776">
        <f t="shared" si="14"/>
        <v>100</v>
      </c>
      <c r="X46" s="1818"/>
      <c r="Y46" s="3164"/>
      <c r="Z46" s="1819">
        <f t="shared" si="18"/>
        <v>111</v>
      </c>
      <c r="AA46" s="1816">
        <f t="shared" si="15"/>
        <v>1</v>
      </c>
      <c r="AB46" s="1816">
        <f t="shared" si="16"/>
        <v>1</v>
      </c>
      <c r="AC46" s="1816">
        <f t="shared" si="17"/>
        <v>1</v>
      </c>
    </row>
    <row r="47" spans="1:29" ht="15">
      <c r="A47" s="480" t="s">
        <v>2575</v>
      </c>
      <c r="B47" s="481"/>
      <c r="C47" s="1411" t="s">
        <v>19</v>
      </c>
      <c r="D47" s="1412"/>
      <c r="E47" s="1413"/>
      <c r="F47" s="1414"/>
      <c r="G47" s="1415"/>
      <c r="H47" s="1416"/>
      <c r="I47" s="1413"/>
      <c r="J47" s="1416"/>
      <c r="K47" s="2627"/>
      <c r="L47" s="1147"/>
      <c r="M47" s="1148"/>
      <c r="N47" s="1135"/>
      <c r="O47" s="1148"/>
      <c r="P47" s="3151" t="str">
        <f>A47</f>
        <v>成交单价（元/平方米）</v>
      </c>
      <c r="Q47" s="3151"/>
      <c r="R47" s="3152">
        <f>E47</f>
        <v>0</v>
      </c>
      <c r="S47" s="3152"/>
      <c r="T47" s="3152">
        <f>G47</f>
        <v>0</v>
      </c>
      <c r="U47" s="3152"/>
      <c r="V47" s="3152">
        <f>I47</f>
        <v>0</v>
      </c>
      <c r="W47" s="3152"/>
      <c r="X47" s="760"/>
      <c r="Y47" s="782"/>
      <c r="Z47" s="760"/>
      <c r="AA47" s="760"/>
      <c r="AB47" s="760"/>
      <c r="AC47" s="760"/>
    </row>
    <row r="48" spans="1:29" ht="15.75" thickBot="1">
      <c r="A48" s="487" t="s">
        <v>2576</v>
      </c>
      <c r="B48" s="488"/>
      <c r="C48" s="1417" t="e">
        <f>R49</f>
        <v>#DIV/0!</v>
      </c>
      <c r="D48" s="1418"/>
      <c r="E48" s="1419" t="e">
        <f>R48</f>
        <v>#DIV/0!</v>
      </c>
      <c r="F48" s="1419"/>
      <c r="G48" s="1417" t="e">
        <f>T48</f>
        <v>#DIV/0!</v>
      </c>
      <c r="H48" s="1418"/>
      <c r="I48" s="1419" t="e">
        <f>V48</f>
        <v>#DIV/0!</v>
      </c>
      <c r="J48" s="1418"/>
      <c r="K48" s="2628"/>
      <c r="L48" s="1147"/>
      <c r="M48" s="1148"/>
      <c r="N48" s="1148"/>
      <c r="O48" s="1148"/>
      <c r="P48" s="3151" t="str">
        <f>A48</f>
        <v>比较价值（元/平方米）</v>
      </c>
      <c r="Q48" s="3151"/>
      <c r="R48" s="3152" t="e">
        <f>IF(F1="售价",ROUND(PRODUCT(R47,AA7:AA46),0),ROUND(PRODUCT(R47,AA7:AA46),1))</f>
        <v>#DIV/0!</v>
      </c>
      <c r="S48" s="3152"/>
      <c r="T48" s="3152" t="e">
        <f>IF(F1="售价",ROUND(PRODUCT(T47,AB7:AB46),0),ROUND(PRODUCT(T47,AB7:AB46),1))</f>
        <v>#DIV/0!</v>
      </c>
      <c r="U48" s="3152"/>
      <c r="V48" s="3152" t="e">
        <f>IF(F1="售价",ROUND(PRODUCT(V47,AC7:AC46),0),ROUND(PRODUCT(V47,AC7:AC46),1))</f>
        <v>#DIV/0!</v>
      </c>
      <c r="W48" s="3152"/>
      <c r="X48" s="760"/>
      <c r="Y48" s="760"/>
      <c r="Z48" s="760"/>
      <c r="AA48" s="760"/>
      <c r="AB48" s="760"/>
      <c r="AC48" s="760"/>
    </row>
    <row r="49" spans="1:29" ht="15.75" thickBot="1">
      <c r="A49" s="493" t="s">
        <v>2577</v>
      </c>
      <c r="B49" s="494"/>
      <c r="C49" s="1420" t="e">
        <f>R49</f>
        <v>#DIV/0!</v>
      </c>
      <c r="D49" s="1421"/>
      <c r="E49" s="1421"/>
      <c r="F49" s="1421"/>
      <c r="G49" s="1421"/>
      <c r="H49" s="1421"/>
      <c r="I49" s="1421"/>
      <c r="J49" s="1421"/>
      <c r="K49" s="2629"/>
      <c r="L49" s="1147"/>
      <c r="M49" s="1148"/>
      <c r="N49" s="1148"/>
      <c r="O49" s="1148"/>
      <c r="P49" s="3229" t="str">
        <f>A49</f>
        <v>估价对象XX用房的比较价值（楼面单价，元/平方米）</v>
      </c>
      <c r="Q49" s="3230"/>
      <c r="R49" s="3231" t="e">
        <f>IF(F1="售价",ROUND(AVERAGE(R48:V48),0),ROUND(AVERAGE(R48:V48),1))</f>
        <v>#DIV/0!</v>
      </c>
      <c r="S49" s="3231"/>
      <c r="T49" s="3231"/>
      <c r="U49" s="3231"/>
      <c r="V49" s="3231"/>
      <c r="W49" s="323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2578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2579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1"/>
    </row>
    <row r="55" spans="1:29" s="503" customFormat="1">
      <c r="A55" s="1149"/>
      <c r="B55" s="1150"/>
      <c r="C55" s="1154"/>
      <c r="D55" s="1149"/>
      <c r="E55" s="1149"/>
      <c r="F55" s="1149"/>
      <c r="G55" s="1149"/>
      <c r="H55" s="1149"/>
      <c r="I55" s="1149"/>
      <c r="J55" s="1149"/>
      <c r="K55" s="1152"/>
      <c r="L55" s="1153"/>
      <c r="M55" s="1149"/>
      <c r="N55" s="1149"/>
      <c r="O55" s="1149"/>
      <c r="P55" s="2631"/>
    </row>
    <row r="56" spans="1:29">
      <c r="A56" s="1148"/>
      <c r="B56" s="1150"/>
      <c r="C56" s="1154"/>
      <c r="D56" s="1148"/>
      <c r="E56" s="1148"/>
      <c r="F56" s="1148"/>
      <c r="G56" s="1148"/>
      <c r="H56" s="1148"/>
      <c r="I56" s="1148"/>
      <c r="J56" s="1148"/>
      <c r="K56" s="1109"/>
      <c r="L56" s="1110"/>
      <c r="M56" s="1148"/>
      <c r="N56" s="1148"/>
      <c r="O56" s="1148"/>
    </row>
    <row r="57" spans="1:29" ht="21.75" thickBot="1">
      <c r="A57" s="764" t="s">
        <v>2581</v>
      </c>
      <c r="B57" s="760"/>
      <c r="C57" s="765"/>
      <c r="D57" s="765"/>
      <c r="E57" s="765"/>
      <c r="F57" s="766"/>
      <c r="G57" s="766"/>
      <c r="H57" s="765"/>
      <c r="I57" s="765"/>
      <c r="J57" s="765"/>
      <c r="K57" s="1164"/>
      <c r="L57" s="1165"/>
      <c r="M57" s="1163"/>
      <c r="N57" s="1163"/>
      <c r="O57" s="1163"/>
      <c r="P57" s="2632"/>
      <c r="Q57" s="505"/>
    </row>
    <row r="58" spans="1:29" s="509" customFormat="1" ht="15">
      <c r="A58" s="506" t="s">
        <v>2582</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3"/>
      <c r="C59" s="1578">
        <v>100</v>
      </c>
      <c r="D59" s="512"/>
      <c r="E59" s="513"/>
      <c r="F59" s="513"/>
      <c r="G59" s="513"/>
      <c r="H59" s="513"/>
      <c r="I59" s="513"/>
      <c r="J59" s="513"/>
      <c r="K59" s="513"/>
      <c r="L59" s="513"/>
      <c r="M59" s="514"/>
      <c r="N59" s="513"/>
      <c r="O59" s="514"/>
      <c r="P59" s="2634"/>
    </row>
    <row r="60" spans="1:29" s="117" customFormat="1" ht="15.75" thickBot="1">
      <c r="A60" s="516" t="s">
        <v>2583</v>
      </c>
      <c r="B60" s="517"/>
      <c r="C60" s="518"/>
      <c r="D60" s="519"/>
      <c r="E60" s="519"/>
      <c r="F60" s="519"/>
      <c r="G60" s="519"/>
      <c r="H60" s="519"/>
      <c r="I60" s="519"/>
      <c r="J60" s="519"/>
      <c r="K60" s="519"/>
      <c r="L60" s="519"/>
      <c r="M60" s="520"/>
      <c r="N60" s="519"/>
      <c r="O60" s="520"/>
      <c r="P60" s="2634"/>
      <c r="Q60" s="505"/>
    </row>
    <row r="61" spans="1:29" s="117" customFormat="1" ht="15">
      <c r="A61" s="522" t="s">
        <v>2584</v>
      </c>
      <c r="B61" s="511"/>
      <c r="C61" s="523" t="s">
        <v>2585</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2586</v>
      </c>
      <c r="B63" s="529" t="s">
        <v>2552</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6"/>
      <c r="O65" s="1156"/>
      <c r="P65" s="2636"/>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6"/>
      <c r="Q66" s="505"/>
    </row>
    <row r="67" spans="1:17" ht="15.75" thickTop="1">
      <c r="A67" s="535"/>
      <c r="B67" s="547" t="s">
        <v>2556</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61"/>
      <c r="E73" s="561"/>
      <c r="F73" s="561"/>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2096</v>
      </c>
      <c r="C82" s="540" t="s">
        <v>2602</v>
      </c>
      <c r="D82" s="540" t="s">
        <v>2603</v>
      </c>
      <c r="E82" s="540" t="s">
        <v>2604</v>
      </c>
      <c r="F82" s="540" t="s">
        <v>2605</v>
      </c>
      <c r="G82" s="540" t="s">
        <v>2606</v>
      </c>
      <c r="H82" s="540"/>
      <c r="I82" s="540"/>
      <c r="J82" s="540"/>
      <c r="K82" s="540"/>
      <c r="L82" s="540"/>
      <c r="M82" s="1386"/>
      <c r="N82" s="1157"/>
      <c r="O82" s="1157"/>
      <c r="P82" s="2636"/>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6"/>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2608</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6"/>
      <c r="Q87" s="505"/>
    </row>
    <row r="88" spans="1:17" s="117" customFormat="1" ht="15.75" thickTop="1">
      <c r="A88" s="580"/>
      <c r="B88" s="539" t="s">
        <v>2609</v>
      </c>
      <c r="C88" s="555"/>
      <c r="D88" s="555"/>
      <c r="E88" s="555"/>
      <c r="F88" s="2641"/>
      <c r="G88" s="555"/>
      <c r="H88" s="555"/>
      <c r="I88" s="555"/>
      <c r="J88" s="555"/>
      <c r="K88" s="555"/>
      <c r="L88" s="555"/>
      <c r="M88" s="582"/>
      <c r="N88" s="1155"/>
      <c r="O88" s="1155"/>
      <c r="P88" s="2636"/>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6"/>
      <c r="Q89" s="505"/>
    </row>
    <row r="90" spans="1:17" s="472" customFormat="1" ht="15.75" thickTop="1">
      <c r="A90" s="554"/>
      <c r="B90" s="539">
        <f>B27</f>
        <v>111</v>
      </c>
      <c r="C90" s="555"/>
      <c r="D90" s="555"/>
      <c r="E90" s="555"/>
      <c r="F90" s="555"/>
      <c r="G90" s="555"/>
      <c r="H90" s="556"/>
      <c r="I90" s="556"/>
      <c r="J90" s="556"/>
      <c r="K90" s="556"/>
      <c r="L90" s="557"/>
      <c r="M90" s="558"/>
      <c r="N90" s="1158"/>
      <c r="O90" s="1158"/>
      <c r="P90" s="2637"/>
      <c r="Q90" s="560"/>
    </row>
    <row r="91" spans="1:17" s="472" customFormat="1" ht="15.75" thickBot="1">
      <c r="A91" s="554"/>
      <c r="B91" s="544"/>
      <c r="C91" s="561"/>
      <c r="D91" s="561"/>
      <c r="E91" s="561"/>
      <c r="F91" s="561"/>
      <c r="G91" s="561"/>
      <c r="H91" s="563"/>
      <c r="I91" s="563"/>
      <c r="J91" s="563"/>
      <c r="K91" s="563"/>
      <c r="L91" s="563"/>
      <c r="M91" s="564"/>
      <c r="N91" s="1158"/>
      <c r="O91" s="1158"/>
      <c r="P91" s="2637"/>
      <c r="Q91" s="560"/>
    </row>
    <row r="92" spans="1:17" ht="15.75" thickTop="1">
      <c r="A92" s="535"/>
      <c r="B92" s="539">
        <f>B28</f>
        <v>111</v>
      </c>
      <c r="C92" s="555"/>
      <c r="D92" s="555"/>
      <c r="E92" s="555"/>
      <c r="F92" s="555"/>
      <c r="G92" s="584"/>
      <c r="H92" s="584"/>
      <c r="I92" s="584"/>
      <c r="J92" s="584"/>
      <c r="K92" s="585"/>
      <c r="L92" s="586"/>
      <c r="M92" s="587"/>
      <c r="N92" s="1156"/>
      <c r="O92" s="1156"/>
      <c r="P92" s="2636"/>
      <c r="Q92" s="505"/>
    </row>
    <row r="93" spans="1:17" ht="15.75" thickBot="1">
      <c r="A93" s="535"/>
      <c r="B93" s="544"/>
      <c r="C93" s="561"/>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61"/>
      <c r="E95" s="561"/>
      <c r="F95" s="561"/>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71"/>
      <c r="D97" s="571"/>
      <c r="E97" s="571"/>
      <c r="F97" s="571"/>
      <c r="G97" s="537"/>
      <c r="H97" s="537"/>
      <c r="I97" s="537"/>
      <c r="J97" s="537"/>
      <c r="K97" s="537"/>
      <c r="L97" s="537"/>
      <c r="M97" s="538"/>
      <c r="N97" s="1157"/>
      <c r="O97" s="1157"/>
      <c r="P97" s="2636"/>
      <c r="Q97" s="505"/>
    </row>
    <row r="98" spans="1:17" ht="15.75" thickTop="1">
      <c r="A98" s="535"/>
      <c r="B98" s="547">
        <f>B31</f>
        <v>111</v>
      </c>
      <c r="C98" s="588"/>
      <c r="D98" s="588"/>
      <c r="E98" s="588"/>
      <c r="F98" s="588"/>
      <c r="G98" s="588"/>
      <c r="H98" s="588"/>
      <c r="I98" s="588"/>
      <c r="J98" s="588"/>
      <c r="K98" s="589"/>
      <c r="L98" s="590"/>
      <c r="M98" s="591"/>
      <c r="N98" s="1156"/>
      <c r="O98" s="1156"/>
      <c r="P98" s="2636"/>
      <c r="Q98" s="505"/>
    </row>
    <row r="99" spans="1:17" ht="15.75" thickBot="1">
      <c r="A99" s="2642"/>
      <c r="B99" s="570"/>
      <c r="C99" s="592"/>
      <c r="D99" s="592"/>
      <c r="E99" s="592"/>
      <c r="F99" s="592"/>
      <c r="G99" s="592"/>
      <c r="H99" s="592"/>
      <c r="I99" s="592"/>
      <c r="J99" s="592"/>
      <c r="K99" s="592"/>
      <c r="L99" s="592"/>
      <c r="M99" s="593"/>
      <c r="N99" s="1157"/>
      <c r="O99" s="1157"/>
      <c r="P99" s="2636"/>
      <c r="Q99" s="505"/>
    </row>
    <row r="100" spans="1:17">
      <c r="A100" s="528" t="s">
        <v>2561</v>
      </c>
      <c r="B100" s="529" t="s">
        <v>2610</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6"/>
      <c r="Q101" s="505"/>
    </row>
    <row r="102" spans="1:17" ht="15.75" thickTop="1">
      <c r="A102" s="535"/>
      <c r="B102" s="539" t="s">
        <v>2611</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7"/>
      <c r="Q104" s="560"/>
    </row>
    <row r="105" spans="1:17" ht="15" thickTop="1">
      <c r="A105" s="600"/>
      <c r="B105" s="539" t="s">
        <v>2612</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6"/>
      <c r="Q106" s="505"/>
    </row>
    <row r="107" spans="1:17" ht="15" thickTop="1">
      <c r="A107" s="600"/>
      <c r="B107" s="539" t="s">
        <v>2613</v>
      </c>
      <c r="C107" s="584"/>
      <c r="D107" s="584"/>
      <c r="E107" s="584"/>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6"/>
      <c r="Q108" s="505"/>
    </row>
    <row r="109" spans="1:17" ht="15" thickTop="1">
      <c r="A109" s="600"/>
      <c r="B109" s="539" t="s">
        <v>2614</v>
      </c>
      <c r="C109" s="555"/>
      <c r="D109" s="555"/>
      <c r="E109" s="555"/>
      <c r="F109" s="584"/>
      <c r="G109" s="584"/>
      <c r="H109" s="584"/>
      <c r="I109" s="584"/>
      <c r="J109" s="584"/>
      <c r="K109" s="585"/>
      <c r="L109" s="586"/>
      <c r="M109" s="587"/>
      <c r="N109" s="1156"/>
      <c r="O109" s="1156"/>
      <c r="P109" s="2636"/>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6"/>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7"/>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7"/>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7"/>
      <c r="Q113" s="560"/>
    </row>
    <row r="114" spans="1:17" ht="15" thickTop="1">
      <c r="A114" s="600"/>
      <c r="B114" s="539" t="s">
        <v>2615</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6"/>
      <c r="Q115" s="505"/>
    </row>
    <row r="116" spans="1:17" ht="15" thickTop="1">
      <c r="A116" s="600"/>
      <c r="B116" s="539" t="s">
        <v>2616</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2617</v>
      </c>
      <c r="C118" s="584"/>
      <c r="D118" s="584"/>
      <c r="E118" s="584"/>
      <c r="F118" s="584"/>
      <c r="G118" s="584"/>
      <c r="H118" s="584"/>
      <c r="I118" s="584"/>
      <c r="J118" s="584"/>
      <c r="K118" s="585"/>
      <c r="L118" s="586"/>
      <c r="M118" s="587"/>
      <c r="N118" s="1156"/>
      <c r="O118" s="1156"/>
      <c r="P118" s="2636"/>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6"/>
      <c r="Q119" s="505"/>
    </row>
    <row r="120" spans="1:17" s="472" customFormat="1" ht="28.5" thickTop="1">
      <c r="A120" s="594"/>
      <c r="B120" s="539" t="s">
        <v>2572</v>
      </c>
      <c r="C120" s="555"/>
      <c r="D120" s="555"/>
      <c r="E120" s="555"/>
      <c r="F120" s="555"/>
      <c r="G120" s="555"/>
      <c r="H120" s="555"/>
      <c r="I120" s="555"/>
      <c r="J120" s="555"/>
      <c r="K120" s="555"/>
      <c r="L120" s="581"/>
      <c r="M120" s="582"/>
      <c r="N120" s="1158"/>
      <c r="O120" s="1158"/>
      <c r="P120" s="2637"/>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7"/>
      <c r="Q121" s="560"/>
    </row>
    <row r="122" spans="1:17" ht="15" thickTop="1">
      <c r="A122" s="600"/>
      <c r="B122" s="539" t="s">
        <v>2618</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6"/>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61"/>
      <c r="E129" s="561"/>
      <c r="F129" s="561"/>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row r="136" spans="1:17" ht="15" thickBot="1">
      <c r="B136" s="2643" t="s">
        <v>2620</v>
      </c>
    </row>
    <row r="137" spans="1:17" ht="15">
      <c r="B137" s="2644" t="s">
        <v>2621</v>
      </c>
      <c r="C137" s="2645"/>
      <c r="D137" s="2645"/>
      <c r="E137" s="2645"/>
      <c r="F137" s="2645"/>
      <c r="G137" s="2646"/>
      <c r="H137" s="2647"/>
      <c r="I137" s="2648" t="s">
        <v>2622</v>
      </c>
      <c r="J137" s="2645"/>
      <c r="K137" s="2649"/>
    </row>
    <row r="138" spans="1:17" ht="15">
      <c r="B138" s="2650"/>
      <c r="C138" s="146" t="s">
        <v>2623</v>
      </c>
      <c r="D138" s="146" t="s">
        <v>2624</v>
      </c>
      <c r="E138" s="2651" t="s">
        <v>2625</v>
      </c>
      <c r="F138" s="2652" t="s">
        <v>2626</v>
      </c>
      <c r="G138" s="146" t="s">
        <v>2624</v>
      </c>
      <c r="H138" s="147" t="s">
        <v>2625</v>
      </c>
      <c r="I138" s="2653"/>
      <c r="J138" s="146" t="s">
        <v>2627</v>
      </c>
      <c r="K138" s="147" t="s">
        <v>2628</v>
      </c>
    </row>
    <row r="139" spans="1:17" ht="15">
      <c r="B139" s="1088">
        <v>6</v>
      </c>
      <c r="C139" s="1089">
        <v>96</v>
      </c>
      <c r="D139" s="2654" t="s">
        <v>2629</v>
      </c>
      <c r="E139" s="1090">
        <v>100</v>
      </c>
      <c r="F139" s="1091">
        <v>102.5</v>
      </c>
      <c r="G139" s="2654" t="s">
        <v>2629</v>
      </c>
      <c r="H139" s="1092">
        <v>105</v>
      </c>
      <c r="I139" s="2655" t="s">
        <v>2630</v>
      </c>
      <c r="J139" s="1089">
        <v>20</v>
      </c>
      <c r="K139" s="1093">
        <f>C145/(J139-2)</f>
        <v>4.0555555555555553E-3</v>
      </c>
    </row>
    <row r="140" spans="1:17" ht="15">
      <c r="B140" s="1094">
        <v>5</v>
      </c>
      <c r="C140" s="1095">
        <v>100</v>
      </c>
      <c r="D140" s="1095"/>
      <c r="E140" s="1096"/>
      <c r="F140" s="1097">
        <v>102</v>
      </c>
      <c r="G140" s="1095"/>
      <c r="H140" s="1098"/>
      <c r="I140" s="2656" t="s">
        <v>2631</v>
      </c>
      <c r="J140" s="316">
        <f>ROUNDUP((J139-1)/2,0)</f>
        <v>10</v>
      </c>
      <c r="K140" s="1099">
        <v>100</v>
      </c>
    </row>
    <row r="141" spans="1:17" ht="15">
      <c r="B141" s="1094">
        <v>4</v>
      </c>
      <c r="C141" s="1095">
        <v>102</v>
      </c>
      <c r="D141" s="1095"/>
      <c r="E141" s="1096"/>
      <c r="F141" s="1097">
        <v>101.5</v>
      </c>
      <c r="G141" s="1095"/>
      <c r="H141" s="1098"/>
      <c r="I141" s="2656" t="s">
        <v>2632</v>
      </c>
      <c r="J141" s="316">
        <v>1</v>
      </c>
      <c r="K141" s="1100">
        <f>ROUND(100+(J141-J140)*K139*100,1)</f>
        <v>96.4</v>
      </c>
    </row>
    <row r="142" spans="1:17" ht="15">
      <c r="B142" s="1094">
        <v>3</v>
      </c>
      <c r="C142" s="1095">
        <v>103</v>
      </c>
      <c r="D142" s="1095"/>
      <c r="E142" s="1096"/>
      <c r="F142" s="1097">
        <v>101</v>
      </c>
      <c r="G142" s="1095"/>
      <c r="H142" s="1098"/>
      <c r="I142" s="2656" t="s">
        <v>2633</v>
      </c>
      <c r="J142" s="316">
        <f>J139</f>
        <v>20</v>
      </c>
      <c r="K142" s="1101">
        <v>95</v>
      </c>
    </row>
    <row r="143" spans="1:17" ht="15">
      <c r="B143" s="1094">
        <v>2</v>
      </c>
      <c r="C143" s="1095">
        <v>100</v>
      </c>
      <c r="D143" s="1095"/>
      <c r="E143" s="1096"/>
      <c r="F143" s="1097">
        <v>100.5</v>
      </c>
      <c r="G143" s="1095"/>
      <c r="H143" s="1098"/>
      <c r="I143" s="2656" t="s">
        <v>2634</v>
      </c>
      <c r="J143" s="1095">
        <v>15</v>
      </c>
      <c r="K143" s="1100">
        <f>ROUND(100+(J143-J140)*K139*100,1)</f>
        <v>102</v>
      </c>
    </row>
    <row r="144" spans="1:17" ht="15">
      <c r="B144" s="1094">
        <v>1</v>
      </c>
      <c r="C144" s="1095">
        <v>98</v>
      </c>
      <c r="D144" s="2657" t="s">
        <v>2635</v>
      </c>
      <c r="E144" s="1096">
        <v>102</v>
      </c>
      <c r="F144" s="1102">
        <v>100</v>
      </c>
      <c r="G144" s="2657" t="s">
        <v>2635</v>
      </c>
      <c r="H144" s="1098">
        <v>105</v>
      </c>
      <c r="I144" s="2656" t="s">
        <v>2634</v>
      </c>
      <c r="J144" s="1095">
        <v>18</v>
      </c>
      <c r="K144" s="1100">
        <f>ROUND(100+(J144-J140)*K139*100,1)</f>
        <v>103.2</v>
      </c>
    </row>
    <row r="145" spans="2:11" ht="15.75" thickBot="1">
      <c r="B145" s="2658" t="s">
        <v>2636</v>
      </c>
      <c r="C145" s="1103">
        <f>ROUND(MAX(C139:C144)/MIN(C139:C144)-1,3)</f>
        <v>7.2999999999999995E-2</v>
      </c>
      <c r="D145" s="1104"/>
      <c r="E145" s="1104"/>
      <c r="F145" s="2659" t="s">
        <v>2637</v>
      </c>
      <c r="G145" s="2660"/>
      <c r="H145" s="2661"/>
      <c r="I145" s="2662" t="s">
        <v>2634</v>
      </c>
      <c r="J145" s="1105">
        <v>8</v>
      </c>
      <c r="K145" s="1106">
        <f>ROUND(100+(J145-J140)*K139*100,1)</f>
        <v>99.2</v>
      </c>
    </row>
    <row r="147" spans="2:11">
      <c r="B147" s="2643" t="s">
        <v>2638</v>
      </c>
    </row>
    <row r="148" spans="2:11">
      <c r="B148" s="2643"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588" t="s">
        <v>2640</v>
      </c>
      <c r="C1" s="1639" t="s">
        <v>2528</v>
      </c>
      <c r="D1" s="1626"/>
      <c r="E1" s="2663"/>
      <c r="F1" s="2590"/>
      <c r="G1" s="1636" t="s">
        <v>2641</v>
      </c>
      <c r="H1" s="1635"/>
      <c r="I1" s="1635"/>
      <c r="J1" s="1635"/>
      <c r="K1" s="1637"/>
      <c r="L1" s="1638"/>
      <c r="M1" s="1639"/>
      <c r="N1" s="1639"/>
      <c r="O1" s="1639"/>
      <c r="P1" s="2664"/>
      <c r="Q1" s="2665"/>
      <c r="R1" s="2665"/>
      <c r="S1" s="2665"/>
      <c r="T1" s="2665"/>
      <c r="U1" s="2665"/>
      <c r="V1" s="2665"/>
      <c r="W1" s="2665"/>
      <c r="X1" s="2665"/>
      <c r="Y1" s="2665"/>
      <c r="Z1" s="2665"/>
      <c r="AA1" s="2665"/>
      <c r="AB1" s="2665"/>
      <c r="AC1" s="2666"/>
    </row>
    <row r="2" spans="1:29" s="399" customFormat="1" ht="28.5" customHeight="1" thickTop="1">
      <c r="A2" s="1622" t="s">
        <v>2325</v>
      </c>
      <c r="B2" s="1422" t="e">
        <f ca="1">IF(C2="——",ROUND(C49*D3/10000,0),ROUND(C49*D3/10000,0)-D2)</f>
        <v>#DIV/0!</v>
      </c>
      <c r="C2" s="2592"/>
      <c r="D2" s="1369" t="e">
        <f ca="1">SUMIF(INDIRECT("'"&amp;F2&amp;"'"&amp;"!A:A"),"承租人权益价值",INDIRECT("'"&amp;F2&amp;"'"&amp;"!c:c"))</f>
        <v>#REF!</v>
      </c>
      <c r="E2" s="2593" t="s">
        <v>2326</v>
      </c>
      <c r="F2" s="2594"/>
      <c r="G2" s="1129"/>
      <c r="H2" s="1129"/>
      <c r="I2" s="1129"/>
      <c r="J2" s="1129"/>
      <c r="K2" s="1129"/>
      <c r="L2" s="1132"/>
      <c r="M2" s="1133"/>
      <c r="N2" s="1133"/>
      <c r="O2" s="1133"/>
      <c r="P2" s="2667"/>
      <c r="Q2" s="1133"/>
      <c r="R2" s="1133"/>
      <c r="S2" s="1133"/>
      <c r="T2" s="1133"/>
      <c r="U2" s="1133"/>
      <c r="V2" s="1133"/>
      <c r="W2" s="1133"/>
      <c r="X2" s="1133"/>
      <c r="Y2" s="1133"/>
      <c r="Z2" s="1133"/>
      <c r="AA2" s="1133"/>
      <c r="AB2" s="1133"/>
      <c r="AC2" s="2668"/>
    </row>
    <row r="3" spans="1:29" s="399" customFormat="1" ht="28.5" customHeight="1" thickBot="1">
      <c r="A3" s="248" t="s">
        <v>2327</v>
      </c>
      <c r="B3" s="610" t="e">
        <f ca="1">IF(C2="——",C49,ROUND(B2*10000/D3,0))</f>
        <v>#DIV/0!</v>
      </c>
      <c r="C3" s="401" t="s">
        <v>2642</v>
      </c>
      <c r="D3" s="400">
        <f>IF(D1="",'数据-汇总表'!E3,SUMIF('数据-汇总表'!$C19:$C33,D1,'数据-汇总表'!$E19:$E33))</f>
        <v>898.32</v>
      </c>
      <c r="E3" s="2669"/>
      <c r="F3" s="1130"/>
      <c r="G3" s="1129"/>
      <c r="H3" s="1129"/>
      <c r="I3" s="1129"/>
      <c r="J3" s="1129"/>
      <c r="K3" s="1131"/>
      <c r="L3" s="1132"/>
      <c r="M3" s="1133"/>
      <c r="N3" s="1133"/>
      <c r="O3" s="1133"/>
      <c r="P3" s="2667"/>
      <c r="Q3" s="1133"/>
      <c r="R3" s="1133"/>
      <c r="S3" s="1133"/>
      <c r="T3" s="1133"/>
      <c r="U3" s="1133"/>
      <c r="V3" s="1133"/>
      <c r="W3" s="1133"/>
      <c r="X3" s="1133"/>
      <c r="Y3" s="1133"/>
      <c r="Z3" s="1133"/>
      <c r="AA3" s="1133"/>
      <c r="AB3" s="1133"/>
      <c r="AC3" s="2669"/>
    </row>
    <row r="4" spans="1:29" ht="15">
      <c r="A4" s="402" t="s">
        <v>2643</v>
      </c>
      <c r="B4" s="403"/>
      <c r="C4" s="3168" t="s">
        <v>2644</v>
      </c>
      <c r="D4" s="3169"/>
      <c r="E4" s="3170" t="s">
        <v>2645</v>
      </c>
      <c r="F4" s="3171"/>
      <c r="G4" s="3168" t="s">
        <v>2646</v>
      </c>
      <c r="H4" s="3169"/>
      <c r="I4" s="3168" t="s">
        <v>2647</v>
      </c>
      <c r="J4" s="3169"/>
      <c r="K4" s="611" t="s">
        <v>2648</v>
      </c>
      <c r="L4" s="1134"/>
      <c r="M4" s="1135"/>
      <c r="N4" s="1135"/>
      <c r="O4" s="1135"/>
      <c r="P4" s="3233" t="s">
        <v>2649</v>
      </c>
      <c r="Q4" s="3234"/>
      <c r="R4" s="3237" t="s">
        <v>2645</v>
      </c>
      <c r="S4" s="3238"/>
      <c r="T4" s="3237" t="s">
        <v>2646</v>
      </c>
      <c r="U4" s="3238"/>
      <c r="V4" s="3185" t="s">
        <v>2647</v>
      </c>
      <c r="W4" s="3185"/>
      <c r="X4" s="1818"/>
      <c r="Y4" s="3237" t="s">
        <v>2649</v>
      </c>
      <c r="Z4" s="3238"/>
      <c r="AA4" s="3232" t="s">
        <v>2645</v>
      </c>
      <c r="AB4" s="3185" t="s">
        <v>2646</v>
      </c>
      <c r="AC4" s="3232" t="s">
        <v>2647</v>
      </c>
    </row>
    <row r="5" spans="1:29" ht="15">
      <c r="A5" s="405"/>
      <c r="B5" s="406"/>
      <c r="C5" s="3194" t="s">
        <v>2540</v>
      </c>
      <c r="D5" s="3189"/>
      <c r="E5" s="3239" t="s">
        <v>2541</v>
      </c>
      <c r="F5" s="3201"/>
      <c r="G5" s="3194" t="s">
        <v>2542</v>
      </c>
      <c r="H5" s="3189"/>
      <c r="I5" s="3194" t="s">
        <v>2543</v>
      </c>
      <c r="J5" s="3189"/>
      <c r="K5" s="611"/>
      <c r="L5" s="1134"/>
      <c r="M5" s="1135"/>
      <c r="N5" s="1135"/>
      <c r="O5" s="1135"/>
      <c r="P5" s="3235"/>
      <c r="Q5" s="3175"/>
      <c r="R5" s="3180"/>
      <c r="S5" s="3181"/>
      <c r="T5" s="3180"/>
      <c r="U5" s="3181"/>
      <c r="V5" s="3185"/>
      <c r="W5" s="3185"/>
      <c r="X5" s="1818"/>
      <c r="Y5" s="3180"/>
      <c r="Z5" s="3181"/>
      <c r="AA5" s="3198"/>
      <c r="AB5" s="3185"/>
      <c r="AC5" s="3198"/>
    </row>
    <row r="6" spans="1:29" ht="15.75" thickBot="1">
      <c r="A6" s="407"/>
      <c r="B6" s="408"/>
      <c r="C6" s="3186" t="s">
        <v>2544</v>
      </c>
      <c r="D6" s="3187"/>
      <c r="E6" s="3195" t="s">
        <v>2544</v>
      </c>
      <c r="F6" s="3196"/>
      <c r="G6" s="3186" t="s">
        <v>2544</v>
      </c>
      <c r="H6" s="3187"/>
      <c r="I6" s="3186" t="s">
        <v>2544</v>
      </c>
      <c r="J6" s="3187"/>
      <c r="K6" s="611" t="s">
        <v>2545</v>
      </c>
      <c r="L6" s="1134"/>
      <c r="M6" s="1135"/>
      <c r="N6" s="1135"/>
      <c r="O6" s="1135"/>
      <c r="P6" s="3236"/>
      <c r="Q6" s="3177"/>
      <c r="R6" s="3180"/>
      <c r="S6" s="3181"/>
      <c r="T6" s="3182"/>
      <c r="U6" s="3183"/>
      <c r="V6" s="3185"/>
      <c r="W6" s="3185"/>
      <c r="X6" s="1818"/>
      <c r="Y6" s="3182"/>
      <c r="Z6" s="3183"/>
      <c r="AA6" s="3199"/>
      <c r="AB6" s="3185"/>
      <c r="AC6" s="3199"/>
    </row>
    <row r="7" spans="1:29" s="117" customFormat="1" ht="15.75" thickBot="1">
      <c r="A7" s="409" t="s">
        <v>2546</v>
      </c>
      <c r="B7" s="410"/>
      <c r="C7" s="411">
        <f>'数据-取费表'!B2</f>
        <v>43053</v>
      </c>
      <c r="D7" s="412">
        <v>100</v>
      </c>
      <c r="E7" s="413"/>
      <c r="F7" s="414">
        <f>SUMIF(58:58,YEAR(E7)&amp;"-"&amp;MONTH(E7),59:59)</f>
        <v>0</v>
      </c>
      <c r="G7" s="413"/>
      <c r="H7" s="412">
        <f>SUMIF(58:58,YEAR(G7)&amp;"-"&amp;MONTH(G7),59:59)</f>
        <v>0</v>
      </c>
      <c r="I7" s="413"/>
      <c r="J7" s="412">
        <f>SUMIF(58:58,YEAR(I7)&amp;"-"&amp;MONTH(I7),59:59)</f>
        <v>0</v>
      </c>
      <c r="K7" s="612"/>
      <c r="L7" s="1136"/>
      <c r="M7" s="1137"/>
      <c r="N7" s="1137"/>
      <c r="O7" s="1137"/>
      <c r="P7" s="3192" t="s">
        <v>2547</v>
      </c>
      <c r="Q7" s="3193"/>
      <c r="R7" s="771" t="s">
        <v>17</v>
      </c>
      <c r="S7" s="772">
        <f t="shared" ref="S7:S15" si="0">F7</f>
        <v>0</v>
      </c>
      <c r="T7" s="771" t="s">
        <v>17</v>
      </c>
      <c r="U7" s="772">
        <f t="shared" ref="U7:U15" si="1">H7</f>
        <v>0</v>
      </c>
      <c r="V7" s="771" t="s">
        <v>17</v>
      </c>
      <c r="W7" s="772">
        <f t="shared" ref="W7:W15" si="2">J7</f>
        <v>0</v>
      </c>
      <c r="X7" s="773"/>
      <c r="Y7" s="3192" t="s">
        <v>2547</v>
      </c>
      <c r="Z7" s="3191"/>
      <c r="AA7" s="774" t="e">
        <f>D7/F7</f>
        <v>#DIV/0!</v>
      </c>
      <c r="AB7" s="774" t="e">
        <f>D7/H7</f>
        <v>#DIV/0!</v>
      </c>
      <c r="AC7" s="774" t="e">
        <f>D7/J7</f>
        <v>#DIV/0!</v>
      </c>
    </row>
    <row r="8" spans="1:29" s="117" customFormat="1" ht="15.75" thickBot="1">
      <c r="A8" s="409" t="s">
        <v>2548</v>
      </c>
      <c r="B8" s="410"/>
      <c r="C8" s="415" t="s">
        <v>2650</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192" t="s">
        <v>2550</v>
      </c>
      <c r="Q8" s="3191"/>
      <c r="R8" s="771" t="s">
        <v>17</v>
      </c>
      <c r="S8" s="772">
        <f t="shared" si="0"/>
        <v>0</v>
      </c>
      <c r="T8" s="771" t="s">
        <v>17</v>
      </c>
      <c r="U8" s="772">
        <f t="shared" si="1"/>
        <v>0</v>
      </c>
      <c r="V8" s="771" t="s">
        <v>17</v>
      </c>
      <c r="W8" s="772">
        <f t="shared" si="2"/>
        <v>0</v>
      </c>
      <c r="X8" s="773"/>
      <c r="Y8" s="3192" t="s">
        <v>2550</v>
      </c>
      <c r="Z8" s="3191"/>
      <c r="AA8" s="774" t="e">
        <f t="shared" ref="AA8:AA46" si="3">D8/F8</f>
        <v>#DIV/0!</v>
      </c>
      <c r="AB8" s="774" t="e">
        <f t="shared" ref="AB8:AB46" si="4">D8/H8</f>
        <v>#DIV/0!</v>
      </c>
      <c r="AC8" s="774" t="e">
        <f t="shared" ref="AC8:AC46" si="5">D8/J8</f>
        <v>#DIV/0!</v>
      </c>
    </row>
    <row r="9" spans="1:29" s="117" customFormat="1">
      <c r="A9" s="416" t="s">
        <v>2551</v>
      </c>
      <c r="B9" s="71" t="s">
        <v>2552</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150" t="s">
        <v>2553</v>
      </c>
      <c r="Q9" s="1800" t="str">
        <f t="shared" ref="Q9:Q15" si="6">B9</f>
        <v>用途</v>
      </c>
      <c r="R9" s="771" t="s">
        <v>17</v>
      </c>
      <c r="S9" s="772">
        <f t="shared" si="0"/>
        <v>100</v>
      </c>
      <c r="T9" s="771" t="s">
        <v>17</v>
      </c>
      <c r="U9" s="772">
        <f t="shared" si="1"/>
        <v>100</v>
      </c>
      <c r="V9" s="771" t="s">
        <v>17</v>
      </c>
      <c r="W9" s="772">
        <f t="shared" si="2"/>
        <v>100</v>
      </c>
      <c r="X9" s="773"/>
      <c r="Y9" s="3005"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150"/>
      <c r="Q10" s="1800" t="str">
        <f t="shared" si="6"/>
        <v>土地使用年限（年）</v>
      </c>
      <c r="R10" s="771" t="s">
        <v>17</v>
      </c>
      <c r="S10" s="772">
        <f t="shared" si="0"/>
        <v>100</v>
      </c>
      <c r="T10" s="771" t="s">
        <v>17</v>
      </c>
      <c r="U10" s="772">
        <f t="shared" si="1"/>
        <v>100</v>
      </c>
      <c r="V10" s="771" t="s">
        <v>17</v>
      </c>
      <c r="W10" s="772">
        <f t="shared" si="2"/>
        <v>100</v>
      </c>
      <c r="X10" s="773"/>
      <c r="Y10" s="3005"/>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150"/>
      <c r="Q11" s="1800" t="str">
        <f t="shared" si="6"/>
        <v>容积率</v>
      </c>
      <c r="R11" s="771" t="s">
        <v>17</v>
      </c>
      <c r="S11" s="772" t="e">
        <f t="shared" si="0"/>
        <v>#N/A</v>
      </c>
      <c r="T11" s="771" t="s">
        <v>17</v>
      </c>
      <c r="U11" s="772" t="e">
        <f t="shared" si="1"/>
        <v>#N/A</v>
      </c>
      <c r="V11" s="771" t="s">
        <v>17</v>
      </c>
      <c r="W11" s="772" t="e">
        <f t="shared" si="2"/>
        <v>#N/A</v>
      </c>
      <c r="X11" s="773"/>
      <c r="Y11" s="3005"/>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150"/>
      <c r="Q12" s="1800">
        <f t="shared" si="6"/>
        <v>111</v>
      </c>
      <c r="R12" s="771" t="s">
        <v>17</v>
      </c>
      <c r="S12" s="772">
        <f t="shared" si="0"/>
        <v>100</v>
      </c>
      <c r="T12" s="771" t="s">
        <v>17</v>
      </c>
      <c r="U12" s="772">
        <f t="shared" si="1"/>
        <v>100</v>
      </c>
      <c r="V12" s="771" t="s">
        <v>17</v>
      </c>
      <c r="W12" s="772">
        <f t="shared" si="2"/>
        <v>100</v>
      </c>
      <c r="X12" s="773"/>
      <c r="Y12" s="3005"/>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150"/>
      <c r="Q13" s="1800">
        <f t="shared" si="6"/>
        <v>111</v>
      </c>
      <c r="R13" s="771" t="s">
        <v>17</v>
      </c>
      <c r="S13" s="772">
        <f t="shared" si="0"/>
        <v>100</v>
      </c>
      <c r="T13" s="771" t="s">
        <v>17</v>
      </c>
      <c r="U13" s="772">
        <f t="shared" si="1"/>
        <v>100</v>
      </c>
      <c r="V13" s="771" t="s">
        <v>17</v>
      </c>
      <c r="W13" s="772">
        <f t="shared" si="2"/>
        <v>100</v>
      </c>
      <c r="X13" s="773"/>
      <c r="Y13" s="3005"/>
      <c r="Z13" s="55">
        <f t="shared" si="7"/>
        <v>111</v>
      </c>
      <c r="AA13" s="774">
        <f t="shared" si="3"/>
        <v>1</v>
      </c>
      <c r="AB13" s="774">
        <f t="shared" si="4"/>
        <v>1</v>
      </c>
      <c r="AC13" s="774">
        <f t="shared" si="5"/>
        <v>1</v>
      </c>
    </row>
    <row r="14" spans="1:29" ht="15.75" thickBot="1">
      <c r="A14" s="437"/>
      <c r="B14" s="2608">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150"/>
      <c r="Q14" s="1800">
        <f t="shared" si="6"/>
        <v>111</v>
      </c>
      <c r="R14" s="771" t="s">
        <v>17</v>
      </c>
      <c r="S14" s="772">
        <f t="shared" si="0"/>
        <v>100</v>
      </c>
      <c r="T14" s="771" t="s">
        <v>17</v>
      </c>
      <c r="U14" s="772">
        <f t="shared" si="1"/>
        <v>100</v>
      </c>
      <c r="V14" s="771" t="s">
        <v>17</v>
      </c>
      <c r="W14" s="772">
        <f t="shared" si="2"/>
        <v>100</v>
      </c>
      <c r="X14" s="773"/>
      <c r="Y14" s="3005"/>
      <c r="Z14" s="55">
        <f t="shared" si="7"/>
        <v>111</v>
      </c>
      <c r="AA14" s="774">
        <f t="shared" si="3"/>
        <v>1</v>
      </c>
      <c r="AB14" s="774">
        <f t="shared" si="4"/>
        <v>1</v>
      </c>
      <c r="AC14" s="774">
        <f t="shared" si="5"/>
        <v>1</v>
      </c>
    </row>
    <row r="15" spans="1:29" ht="71.25">
      <c r="A15" s="441" t="s">
        <v>2557</v>
      </c>
      <c r="B15" s="69" t="s">
        <v>2651</v>
      </c>
      <c r="C15" s="2609"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156" t="s">
        <v>2558</v>
      </c>
      <c r="Q15" s="1815" t="str">
        <f t="shared" si="6"/>
        <v>商业繁华度</v>
      </c>
      <c r="R15" s="775" t="s">
        <v>17</v>
      </c>
      <c r="S15" s="776">
        <f t="shared" si="0"/>
        <v>100</v>
      </c>
      <c r="T15" s="775" t="s">
        <v>17</v>
      </c>
      <c r="U15" s="776">
        <f t="shared" si="1"/>
        <v>100</v>
      </c>
      <c r="V15" s="775" t="s">
        <v>17</v>
      </c>
      <c r="W15" s="776">
        <f t="shared" si="2"/>
        <v>100</v>
      </c>
      <c r="X15" s="1818"/>
      <c r="Y15" s="3158" t="s">
        <v>2558</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157"/>
      <c r="Q16" s="1815"/>
      <c r="R16" s="775"/>
      <c r="S16" s="776"/>
      <c r="T16" s="775"/>
      <c r="U16" s="776"/>
      <c r="V16" s="775"/>
      <c r="W16" s="776"/>
      <c r="X16" s="1818"/>
      <c r="Y16" s="3159"/>
      <c r="Z16" s="1819"/>
      <c r="AA16" s="1816">
        <v>1</v>
      </c>
      <c r="AB16" s="1816">
        <v>1</v>
      </c>
      <c r="AC16" s="1816">
        <v>1</v>
      </c>
    </row>
    <row r="17" spans="1:29" ht="71.25">
      <c r="A17" s="429"/>
      <c r="B17" s="452" t="s">
        <v>2095</v>
      </c>
      <c r="C17" s="2613" t="str">
        <f>估价对象房地状况!C6</f>
        <v>估价对象周边道路通达、公共交通通达、停车便捷，综合评价交通便捷度较好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157"/>
      <c r="Q17" s="1815" t="str">
        <f>B17</f>
        <v>交通便捷度</v>
      </c>
      <c r="R17" s="775" t="s">
        <v>17</v>
      </c>
      <c r="S17" s="776">
        <f>F17</f>
        <v>100</v>
      </c>
      <c r="T17" s="775" t="s">
        <v>17</v>
      </c>
      <c r="U17" s="776">
        <f>H17</f>
        <v>100</v>
      </c>
      <c r="V17" s="775" t="s">
        <v>17</v>
      </c>
      <c r="W17" s="776">
        <f>J17</f>
        <v>100</v>
      </c>
      <c r="X17" s="1818"/>
      <c r="Y17" s="3159"/>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35"/>
      <c r="P18" s="3157"/>
      <c r="Q18" s="1815"/>
      <c r="R18" s="775"/>
      <c r="S18" s="776"/>
      <c r="T18" s="775"/>
      <c r="U18" s="776"/>
      <c r="V18" s="775"/>
      <c r="W18" s="776"/>
      <c r="X18" s="1818"/>
      <c r="Y18" s="3159"/>
      <c r="Z18" s="1819"/>
      <c r="AA18" s="1816">
        <v>1</v>
      </c>
      <c r="AB18" s="1816">
        <v>1</v>
      </c>
      <c r="AC18" s="1816">
        <v>1</v>
      </c>
    </row>
    <row r="19" spans="1:29" ht="42.75">
      <c r="A19" s="429"/>
      <c r="B19" s="452" t="s">
        <v>2652</v>
      </c>
      <c r="C19" s="2613" t="str">
        <f>估价对象房地状况!C7</f>
        <v>估价对象所在区域公共配套设施齐备</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157"/>
      <c r="Q19" s="1815" t="str">
        <f>B19</f>
        <v>公共配套设施</v>
      </c>
      <c r="R19" s="775" t="s">
        <v>17</v>
      </c>
      <c r="S19" s="776">
        <f>F19</f>
        <v>100</v>
      </c>
      <c r="T19" s="775" t="s">
        <v>17</v>
      </c>
      <c r="U19" s="776">
        <f>H19</f>
        <v>100</v>
      </c>
      <c r="V19" s="775" t="s">
        <v>17</v>
      </c>
      <c r="W19" s="776">
        <f>J19</f>
        <v>100</v>
      </c>
      <c r="X19" s="1818"/>
      <c r="Y19" s="3159"/>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35"/>
      <c r="P20" s="3157"/>
      <c r="Q20" s="1815"/>
      <c r="R20" s="775"/>
      <c r="S20" s="776"/>
      <c r="T20" s="775"/>
      <c r="U20" s="776"/>
      <c r="V20" s="775"/>
      <c r="W20" s="776"/>
      <c r="X20" s="1818"/>
      <c r="Y20" s="3159"/>
      <c r="Z20" s="1819"/>
      <c r="AA20" s="1816">
        <v>1</v>
      </c>
      <c r="AB20" s="1816">
        <v>1</v>
      </c>
      <c r="AC20" s="1816">
        <v>1</v>
      </c>
    </row>
    <row r="21" spans="1:29" ht="42.75">
      <c r="A21" s="429"/>
      <c r="B21" s="1388" t="s">
        <v>2653</v>
      </c>
      <c r="C21" s="2613" t="str">
        <f>估价对象房地状况!C8</f>
        <v>估价对象所在区域基础设施水平达七通</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157"/>
      <c r="Q21" s="1815" t="str">
        <f>B21</f>
        <v>基础设施水平</v>
      </c>
      <c r="R21" s="775" t="s">
        <v>17</v>
      </c>
      <c r="S21" s="776">
        <f>F21</f>
        <v>100</v>
      </c>
      <c r="T21" s="775" t="s">
        <v>17</v>
      </c>
      <c r="U21" s="776">
        <f>H21</f>
        <v>100</v>
      </c>
      <c r="V21" s="775" t="s">
        <v>17</v>
      </c>
      <c r="W21" s="776">
        <f>J21</f>
        <v>100</v>
      </c>
      <c r="X21" s="1818"/>
      <c r="Y21" s="3159"/>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35"/>
      <c r="P22" s="3157"/>
      <c r="Q22" s="1815"/>
      <c r="R22" s="775"/>
      <c r="S22" s="776"/>
      <c r="T22" s="775"/>
      <c r="U22" s="776"/>
      <c r="V22" s="775"/>
      <c r="W22" s="776"/>
      <c r="X22" s="1818"/>
      <c r="Y22" s="3159"/>
      <c r="Z22" s="1819"/>
      <c r="AA22" s="1816">
        <v>1</v>
      </c>
      <c r="AB22" s="1816">
        <v>1</v>
      </c>
      <c r="AC22" s="1816">
        <v>1</v>
      </c>
    </row>
    <row r="23" spans="1:29" ht="57">
      <c r="A23" s="429"/>
      <c r="B23" s="452" t="s">
        <v>2100</v>
      </c>
      <c r="C23" s="2670" t="str">
        <f>估价对象房地状况!C9</f>
        <v>区域自然环境较好；人文环境较好；综合评价环境状况较好</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157"/>
      <c r="Q23" s="1815" t="str">
        <f>B23</f>
        <v>自然及人文环境</v>
      </c>
      <c r="R23" s="775" t="s">
        <v>17</v>
      </c>
      <c r="S23" s="776">
        <f>F23</f>
        <v>100</v>
      </c>
      <c r="T23" s="775" t="s">
        <v>17</v>
      </c>
      <c r="U23" s="776">
        <f>H23</f>
        <v>100</v>
      </c>
      <c r="V23" s="775" t="s">
        <v>17</v>
      </c>
      <c r="W23" s="776">
        <f>J23</f>
        <v>100</v>
      </c>
      <c r="X23" s="1818"/>
      <c r="Y23" s="3159"/>
      <c r="Z23" s="1819" t="str">
        <f>Q23</f>
        <v>自然及人文环境</v>
      </c>
      <c r="AA23" s="1816">
        <f t="shared" si="3"/>
        <v>1</v>
      </c>
      <c r="AB23" s="1816">
        <f t="shared" si="4"/>
        <v>1</v>
      </c>
      <c r="AC23" s="1816">
        <f t="shared" si="5"/>
        <v>1</v>
      </c>
    </row>
    <row r="24" spans="1:29" ht="15">
      <c r="A24" s="429"/>
      <c r="B24" s="457"/>
      <c r="C24" s="448"/>
      <c r="D24" s="449"/>
      <c r="E24" s="2611"/>
      <c r="F24" s="450"/>
      <c r="G24" s="2610"/>
      <c r="H24" s="449"/>
      <c r="I24" s="2611"/>
      <c r="J24" s="449"/>
      <c r="K24" s="616"/>
      <c r="L24" s="1144"/>
      <c r="M24" s="1135"/>
      <c r="N24" s="1135"/>
      <c r="O24" s="1135"/>
      <c r="P24" s="3157"/>
      <c r="Q24" s="1815"/>
      <c r="R24" s="775"/>
      <c r="S24" s="776"/>
      <c r="T24" s="775"/>
      <c r="U24" s="776"/>
      <c r="V24" s="775"/>
      <c r="W24" s="776"/>
      <c r="X24" s="1818"/>
      <c r="Y24" s="3159"/>
      <c r="Z24" s="1819"/>
      <c r="AA24" s="1816">
        <v>1</v>
      </c>
      <c r="AB24" s="1816">
        <v>1</v>
      </c>
      <c r="AC24" s="1816">
        <v>1</v>
      </c>
    </row>
    <row r="25" spans="1:29" ht="15">
      <c r="A25" s="429"/>
      <c r="B25" s="423" t="s">
        <v>2654</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157"/>
      <c r="Q25" s="1815" t="str">
        <f t="shared" ref="Q25:Q46" si="11">B25</f>
        <v>临街状况</v>
      </c>
      <c r="R25" s="775" t="s">
        <v>17</v>
      </c>
      <c r="S25" s="776">
        <f>F25</f>
        <v>100</v>
      </c>
      <c r="T25" s="775" t="s">
        <v>17</v>
      </c>
      <c r="U25" s="776">
        <f>H25</f>
        <v>100</v>
      </c>
      <c r="V25" s="775" t="s">
        <v>17</v>
      </c>
      <c r="W25" s="776">
        <f>J25</f>
        <v>100</v>
      </c>
      <c r="X25" s="1818"/>
      <c r="Y25" s="3159"/>
      <c r="Z25" s="1819" t="str">
        <f>Q25</f>
        <v>临街状况</v>
      </c>
      <c r="AA25" s="1816">
        <f t="shared" si="3"/>
        <v>1</v>
      </c>
      <c r="AB25" s="1816">
        <f t="shared" si="4"/>
        <v>1</v>
      </c>
      <c r="AC25" s="1816">
        <f t="shared" si="5"/>
        <v>1</v>
      </c>
    </row>
    <row r="26" spans="1:29" ht="15">
      <c r="A26" s="429"/>
      <c r="B26" s="1390" t="s">
        <v>2655</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157"/>
      <c r="Q26" s="1815" t="str">
        <f t="shared" si="11"/>
        <v>平面位置/可视性</v>
      </c>
      <c r="R26" s="775" t="s">
        <v>17</v>
      </c>
      <c r="S26" s="776">
        <f>F26</f>
        <v>100</v>
      </c>
      <c r="T26" s="775" t="s">
        <v>17</v>
      </c>
      <c r="U26" s="776">
        <f>H26</f>
        <v>100</v>
      </c>
      <c r="V26" s="775" t="s">
        <v>17</v>
      </c>
      <c r="W26" s="776">
        <f>J26</f>
        <v>100</v>
      </c>
      <c r="X26" s="1818"/>
      <c r="Y26" s="3159"/>
      <c r="Z26" s="1819" t="str">
        <f>Q26</f>
        <v>平面位置/可视性</v>
      </c>
      <c r="AA26" s="1816">
        <f t="shared" si="3"/>
        <v>1</v>
      </c>
      <c r="AB26" s="1816">
        <f t="shared" si="4"/>
        <v>1</v>
      </c>
      <c r="AC26" s="1816">
        <f t="shared" si="5"/>
        <v>1</v>
      </c>
    </row>
    <row r="27" spans="1:29" s="117" customFormat="1" ht="15">
      <c r="A27" s="432"/>
      <c r="B27" s="452" t="s">
        <v>2656</v>
      </c>
      <c r="C27" s="2671"/>
      <c r="D27" s="463">
        <v>100</v>
      </c>
      <c r="E27" s="2671"/>
      <c r="F27" s="465">
        <f>SUMIF(90:90,E27,91:91)-SUMIF(90:90,C27,91:91)+100</f>
        <v>100</v>
      </c>
      <c r="G27" s="2671"/>
      <c r="H27" s="463">
        <f>SUMIF(90:90,G27,91:91)-SUMIF(90:90,C27,91:91)+100</f>
        <v>100</v>
      </c>
      <c r="I27" s="2671"/>
      <c r="J27" s="463">
        <f>SUMIF(90:90,I27,91:91)-SUMIF(90:90,C27,91:91)+100</f>
        <v>100</v>
      </c>
      <c r="K27" s="613"/>
      <c r="L27" s="1136"/>
      <c r="M27" s="1137"/>
      <c r="N27" s="1137"/>
      <c r="O27" s="1137"/>
      <c r="P27" s="3157"/>
      <c r="Q27" s="1800" t="str">
        <f t="shared" si="11"/>
        <v>人流量</v>
      </c>
      <c r="R27" s="771" t="s">
        <v>17</v>
      </c>
      <c r="S27" s="772">
        <f>F27</f>
        <v>100</v>
      </c>
      <c r="T27" s="771" t="s">
        <v>17</v>
      </c>
      <c r="U27" s="772">
        <f>H27</f>
        <v>100</v>
      </c>
      <c r="V27" s="771" t="s">
        <v>17</v>
      </c>
      <c r="W27" s="772">
        <f>J27</f>
        <v>100</v>
      </c>
      <c r="X27" s="773"/>
      <c r="Y27" s="3159"/>
      <c r="Z27" s="55" t="str">
        <f>Q27</f>
        <v>人流量</v>
      </c>
      <c r="AA27" s="1816">
        <f>D27/F27</f>
        <v>1</v>
      </c>
      <c r="AB27" s="1816">
        <f>D27/H27</f>
        <v>1</v>
      </c>
      <c r="AC27" s="1816">
        <f>D27/J27</f>
        <v>1</v>
      </c>
    </row>
    <row r="28" spans="1:29" ht="15">
      <c r="A28" s="429"/>
      <c r="B28" s="423" t="s">
        <v>2657</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157"/>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159"/>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157"/>
      <c r="Q29" s="1815">
        <f t="shared" si="11"/>
        <v>111</v>
      </c>
      <c r="R29" s="775" t="s">
        <v>17</v>
      </c>
      <c r="S29" s="776">
        <f t="shared" si="12"/>
        <v>100</v>
      </c>
      <c r="T29" s="775" t="s">
        <v>17</v>
      </c>
      <c r="U29" s="776">
        <f t="shared" si="13"/>
        <v>100</v>
      </c>
      <c r="V29" s="775" t="s">
        <v>17</v>
      </c>
      <c r="W29" s="776">
        <f t="shared" si="14"/>
        <v>100</v>
      </c>
      <c r="X29" s="1818"/>
      <c r="Y29" s="3159"/>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157"/>
      <c r="Q30" s="1815">
        <f t="shared" si="11"/>
        <v>111</v>
      </c>
      <c r="R30" s="775" t="s">
        <v>17</v>
      </c>
      <c r="S30" s="776">
        <f t="shared" si="12"/>
        <v>100</v>
      </c>
      <c r="T30" s="775" t="s">
        <v>17</v>
      </c>
      <c r="U30" s="776">
        <f t="shared" si="13"/>
        <v>100</v>
      </c>
      <c r="V30" s="775" t="s">
        <v>17</v>
      </c>
      <c r="W30" s="776">
        <f t="shared" si="14"/>
        <v>100</v>
      </c>
      <c r="X30" s="1818"/>
      <c r="Y30" s="3159"/>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157"/>
      <c r="Q31" s="1815">
        <f t="shared" si="11"/>
        <v>111</v>
      </c>
      <c r="R31" s="775" t="s">
        <v>17</v>
      </c>
      <c r="S31" s="776">
        <f t="shared" si="12"/>
        <v>100</v>
      </c>
      <c r="T31" s="775" t="s">
        <v>17</v>
      </c>
      <c r="U31" s="776">
        <f t="shared" si="13"/>
        <v>100</v>
      </c>
      <c r="V31" s="775" t="s">
        <v>17</v>
      </c>
      <c r="W31" s="776">
        <f t="shared" si="14"/>
        <v>100</v>
      </c>
      <c r="X31" s="1818"/>
      <c r="Y31" s="3159"/>
      <c r="Z31" s="1819">
        <f t="shared" si="15"/>
        <v>111</v>
      </c>
      <c r="AA31" s="1816">
        <f t="shared" si="3"/>
        <v>1</v>
      </c>
      <c r="AB31" s="1816">
        <f t="shared" si="4"/>
        <v>1</v>
      </c>
      <c r="AC31" s="1816">
        <f t="shared" si="5"/>
        <v>1</v>
      </c>
    </row>
    <row r="32" spans="1:29" ht="15">
      <c r="A32" s="441" t="s">
        <v>2561</v>
      </c>
      <c r="B32" s="71" t="s">
        <v>2658</v>
      </c>
      <c r="C32" s="2623"/>
      <c r="D32" s="468">
        <v>100</v>
      </c>
      <c r="E32" s="2623"/>
      <c r="F32" s="462">
        <f>SUMIF(100:100,E32,101:101)-SUMIF(100:100,C32,101:101)+100</f>
        <v>100</v>
      </c>
      <c r="G32" s="2623"/>
      <c r="H32" s="436">
        <f>SUMIF(100:100,G32,101:101)-SUMIF(100:100,C32,101:101)+100</f>
        <v>100</v>
      </c>
      <c r="I32" s="2623"/>
      <c r="J32" s="468">
        <f>SUMIF(100:100,I32,101:101)-SUMIF(100:100,C32,101:101)+100</f>
        <v>100</v>
      </c>
      <c r="K32" s="613"/>
      <c r="L32" s="1144"/>
      <c r="M32" s="1135"/>
      <c r="N32" s="1135"/>
      <c r="O32" s="1135"/>
      <c r="P32" s="3160" t="s">
        <v>2563</v>
      </c>
      <c r="Q32" s="1815" t="str">
        <f t="shared" si="11"/>
        <v>商业类型</v>
      </c>
      <c r="R32" s="775" t="s">
        <v>17</v>
      </c>
      <c r="S32" s="776">
        <f t="shared" si="12"/>
        <v>100</v>
      </c>
      <c r="T32" s="775" t="s">
        <v>17</v>
      </c>
      <c r="U32" s="776">
        <f t="shared" si="13"/>
        <v>100</v>
      </c>
      <c r="V32" s="775" t="s">
        <v>17</v>
      </c>
      <c r="W32" s="776">
        <f t="shared" si="14"/>
        <v>100</v>
      </c>
      <c r="X32" s="1818"/>
      <c r="Y32" s="3163" t="s">
        <v>2563</v>
      </c>
      <c r="Z32" s="1819" t="str">
        <f t="shared" si="15"/>
        <v>商业类型</v>
      </c>
      <c r="AA32" s="1816">
        <f t="shared" si="3"/>
        <v>1</v>
      </c>
      <c r="AB32" s="1816">
        <f t="shared" si="4"/>
        <v>1</v>
      </c>
      <c r="AC32" s="1816">
        <f t="shared" si="5"/>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161"/>
      <c r="Q33" s="777" t="str">
        <f t="shared" si="11"/>
        <v>项目建筑规模</v>
      </c>
      <c r="R33" s="778" t="s">
        <v>17</v>
      </c>
      <c r="S33" s="779" t="e">
        <f t="shared" si="12"/>
        <v>#N/A</v>
      </c>
      <c r="T33" s="778" t="s">
        <v>17</v>
      </c>
      <c r="U33" s="779" t="e">
        <f t="shared" si="13"/>
        <v>#N/A</v>
      </c>
      <c r="V33" s="778" t="s">
        <v>17</v>
      </c>
      <c r="W33" s="779" t="e">
        <f t="shared" si="14"/>
        <v>#N/A</v>
      </c>
      <c r="X33" s="780"/>
      <c r="Y33" s="3163"/>
      <c r="Z33" s="781" t="str">
        <f t="shared" si="15"/>
        <v>项目建筑规模</v>
      </c>
      <c r="AA33" s="1816" t="e">
        <f t="shared" si="3"/>
        <v>#N/A</v>
      </c>
      <c r="AB33" s="1816" t="e">
        <f t="shared" si="4"/>
        <v>#N/A</v>
      </c>
      <c r="AC33" s="1816" t="e">
        <f t="shared" si="5"/>
        <v>#N/A</v>
      </c>
    </row>
    <row r="34" spans="1:29" ht="15">
      <c r="A34" s="473"/>
      <c r="B34" s="423" t="s">
        <v>2565</v>
      </c>
      <c r="C34" s="2625"/>
      <c r="D34" s="436">
        <v>100</v>
      </c>
      <c r="E34" s="2625"/>
      <c r="F34" s="462">
        <f>SUMIF(105:105,E34,106:106)-SUMIF(105:105,C34,106:106)+100</f>
        <v>100</v>
      </c>
      <c r="G34" s="2625"/>
      <c r="H34" s="436">
        <f>SUMIF(105:105,G34,106:106)-SUMIF(105:105,C34,106:106)+100</f>
        <v>100</v>
      </c>
      <c r="I34" s="2625"/>
      <c r="J34" s="436">
        <f>SUMIF(105:105,I34,106:106)-SUMIF(105:105,C34,106:106)+100</f>
        <v>100</v>
      </c>
      <c r="K34" s="613"/>
      <c r="L34" s="1144"/>
      <c r="M34" s="1135"/>
      <c r="N34" s="1135"/>
      <c r="O34" s="1135"/>
      <c r="P34" s="3161"/>
      <c r="Q34" s="1815" t="str">
        <f t="shared" si="11"/>
        <v>建筑结构</v>
      </c>
      <c r="R34" s="775" t="s">
        <v>17</v>
      </c>
      <c r="S34" s="776">
        <f t="shared" si="12"/>
        <v>100</v>
      </c>
      <c r="T34" s="775" t="s">
        <v>17</v>
      </c>
      <c r="U34" s="776">
        <f t="shared" si="13"/>
        <v>100</v>
      </c>
      <c r="V34" s="775" t="s">
        <v>17</v>
      </c>
      <c r="W34" s="776">
        <f t="shared" si="14"/>
        <v>100</v>
      </c>
      <c r="X34" s="1818"/>
      <c r="Y34" s="3163"/>
      <c r="Z34" s="1819" t="str">
        <f t="shared" si="15"/>
        <v>建筑结构</v>
      </c>
      <c r="AA34" s="1816">
        <f t="shared" si="3"/>
        <v>1</v>
      </c>
      <c r="AB34" s="1816">
        <f t="shared" si="4"/>
        <v>1</v>
      </c>
      <c r="AC34" s="1816">
        <f t="shared" si="5"/>
        <v>1</v>
      </c>
    </row>
    <row r="35" spans="1:29" ht="15">
      <c r="A35" s="473"/>
      <c r="B35" s="423" t="s">
        <v>2659</v>
      </c>
      <c r="C35" s="2619"/>
      <c r="D35" s="436">
        <v>100</v>
      </c>
      <c r="E35" s="2619"/>
      <c r="F35" s="462">
        <f>SUMIF(107:107,E35,108:108)-SUMIF(107:107,C35,108:108)+100</f>
        <v>100</v>
      </c>
      <c r="G35" s="2619"/>
      <c r="H35" s="436">
        <f>SUMIF(107:107,G35,108:108)-SUMIF(107:107,C35,108:108)+100</f>
        <v>100</v>
      </c>
      <c r="I35" s="2619"/>
      <c r="J35" s="436">
        <f>SUMIF(107:107,I35,108:108)-SUMIF(107:107,C35,108:108)+100</f>
        <v>100</v>
      </c>
      <c r="K35" s="613"/>
      <c r="L35" s="1144"/>
      <c r="M35" s="1135"/>
      <c r="N35" s="1135"/>
      <c r="O35" s="1135"/>
      <c r="P35" s="3161"/>
      <c r="Q35" s="1815" t="str">
        <f t="shared" si="11"/>
        <v>公共部分装修</v>
      </c>
      <c r="R35" s="775" t="s">
        <v>17</v>
      </c>
      <c r="S35" s="776">
        <f t="shared" si="12"/>
        <v>100</v>
      </c>
      <c r="T35" s="775" t="s">
        <v>17</v>
      </c>
      <c r="U35" s="776">
        <f t="shared" si="13"/>
        <v>100</v>
      </c>
      <c r="V35" s="775" t="s">
        <v>17</v>
      </c>
      <c r="W35" s="776">
        <f t="shared" si="14"/>
        <v>100</v>
      </c>
      <c r="X35" s="1818"/>
      <c r="Y35" s="3163"/>
      <c r="Z35" s="1819" t="str">
        <f t="shared" si="15"/>
        <v>公共部分装修</v>
      </c>
      <c r="AA35" s="1816">
        <f t="shared" si="3"/>
        <v>1</v>
      </c>
      <c r="AB35" s="1816">
        <f t="shared" si="4"/>
        <v>1</v>
      </c>
      <c r="AC35" s="1816">
        <f t="shared" si="5"/>
        <v>1</v>
      </c>
    </row>
    <row r="36" spans="1:29" ht="15">
      <c r="A36" s="473"/>
      <c r="B36" s="423" t="s">
        <v>2660</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161"/>
      <c r="Q36" s="1815" t="str">
        <f t="shared" si="11"/>
        <v>成新度</v>
      </c>
      <c r="R36" s="775" t="s">
        <v>17</v>
      </c>
      <c r="S36" s="776" t="e">
        <f t="shared" si="12"/>
        <v>#N/A</v>
      </c>
      <c r="T36" s="775" t="s">
        <v>17</v>
      </c>
      <c r="U36" s="776" t="e">
        <f t="shared" si="13"/>
        <v>#N/A</v>
      </c>
      <c r="V36" s="775" t="s">
        <v>17</v>
      </c>
      <c r="W36" s="776" t="e">
        <f t="shared" si="14"/>
        <v>#N/A</v>
      </c>
      <c r="X36" s="1818"/>
      <c r="Y36" s="3163"/>
      <c r="Z36" s="1819" t="str">
        <f t="shared" si="15"/>
        <v>成新度</v>
      </c>
      <c r="AA36" s="1816" t="e">
        <f t="shared" si="3"/>
        <v>#N/A</v>
      </c>
      <c r="AB36" s="1816" t="e">
        <f t="shared" si="4"/>
        <v>#N/A</v>
      </c>
      <c r="AC36" s="1816" t="e">
        <f t="shared" si="5"/>
        <v>#N/A</v>
      </c>
    </row>
    <row r="37" spans="1:29" s="117" customFormat="1" ht="15">
      <c r="A37" s="474"/>
      <c r="B37" s="423" t="s">
        <v>2661</v>
      </c>
      <c r="C37" s="2619"/>
      <c r="D37" s="136">
        <v>100</v>
      </c>
      <c r="E37" s="2619"/>
      <c r="F37" s="462">
        <f>SUMIF(112:112,E37,113:113)-SUMIF(112:112,C37,113:113)+100</f>
        <v>100</v>
      </c>
      <c r="G37" s="2619"/>
      <c r="H37" s="436">
        <f>SUMIF(112:112,G37,113:113)-SUMIF(112:112,C37,113:113)+100</f>
        <v>100</v>
      </c>
      <c r="I37" s="2619"/>
      <c r="J37" s="436">
        <f>SUMIF(112:112,I37,113:113)-SUMIF(112:112,C37,113:113)+100</f>
        <v>100</v>
      </c>
      <c r="K37" s="613"/>
      <c r="L37" s="1136"/>
      <c r="M37" s="1137"/>
      <c r="N37" s="1137"/>
      <c r="O37" s="1137"/>
      <c r="P37" s="3161"/>
      <c r="Q37" s="1800" t="str">
        <f t="shared" si="11"/>
        <v>市政基础设施</v>
      </c>
      <c r="R37" s="771" t="s">
        <v>17</v>
      </c>
      <c r="S37" s="772">
        <f t="shared" si="12"/>
        <v>100</v>
      </c>
      <c r="T37" s="771" t="s">
        <v>17</v>
      </c>
      <c r="U37" s="772">
        <f t="shared" si="13"/>
        <v>100</v>
      </c>
      <c r="V37" s="771" t="s">
        <v>17</v>
      </c>
      <c r="W37" s="772">
        <f t="shared" si="14"/>
        <v>100</v>
      </c>
      <c r="X37" s="773"/>
      <c r="Y37" s="3163"/>
      <c r="Z37" s="55" t="str">
        <f t="shared" si="15"/>
        <v>市政基础设施</v>
      </c>
      <c r="AA37" s="774">
        <f t="shared" si="3"/>
        <v>1</v>
      </c>
      <c r="AB37" s="774">
        <f t="shared" si="4"/>
        <v>1</v>
      </c>
      <c r="AC37" s="774">
        <f t="shared" si="5"/>
        <v>1</v>
      </c>
    </row>
    <row r="38" spans="1:29" ht="15">
      <c r="A38" s="473"/>
      <c r="B38" s="423" t="s">
        <v>2662</v>
      </c>
      <c r="C38" s="2619"/>
      <c r="D38" s="436">
        <v>100</v>
      </c>
      <c r="E38" s="2619"/>
      <c r="F38" s="462">
        <f>SUMIF(114:114,E38,115:115)-SUMIF(114:114,C38,115:115)+100</f>
        <v>100</v>
      </c>
      <c r="G38" s="2619"/>
      <c r="H38" s="436">
        <f>SUMIF(114:114,G38,115:115)-SUMIF(114:114,C38,115:115)+100</f>
        <v>100</v>
      </c>
      <c r="I38" s="2619"/>
      <c r="J38" s="436">
        <f>SUMIF(114:114,I38,115:115)-SUMIF(114:114,C38,115:115)+100</f>
        <v>100</v>
      </c>
      <c r="K38" s="613"/>
      <c r="L38" s="1144"/>
      <c r="M38" s="1135"/>
      <c r="N38" s="1135"/>
      <c r="O38" s="1135"/>
      <c r="P38" s="3161" t="s">
        <v>2563</v>
      </c>
      <c r="Q38" s="1815" t="str">
        <f t="shared" si="11"/>
        <v>业态</v>
      </c>
      <c r="R38" s="775" t="s">
        <v>17</v>
      </c>
      <c r="S38" s="776">
        <f t="shared" si="12"/>
        <v>100</v>
      </c>
      <c r="T38" s="775" t="s">
        <v>17</v>
      </c>
      <c r="U38" s="776">
        <f t="shared" si="13"/>
        <v>100</v>
      </c>
      <c r="V38" s="775" t="s">
        <v>17</v>
      </c>
      <c r="W38" s="776">
        <f t="shared" si="14"/>
        <v>100</v>
      </c>
      <c r="X38" s="1818"/>
      <c r="Y38" s="3163" t="s">
        <v>2563</v>
      </c>
      <c r="Z38" s="1819" t="str">
        <f t="shared" si="15"/>
        <v>业态</v>
      </c>
      <c r="AA38" s="1816">
        <f t="shared" si="3"/>
        <v>1</v>
      </c>
      <c r="AB38" s="1816">
        <f t="shared" si="4"/>
        <v>1</v>
      </c>
      <c r="AC38" s="1816">
        <f t="shared" si="5"/>
        <v>1</v>
      </c>
    </row>
    <row r="39" spans="1:29" ht="15">
      <c r="A39" s="473"/>
      <c r="B39" s="423" t="s">
        <v>2663</v>
      </c>
      <c r="C39" s="2619"/>
      <c r="D39" s="436">
        <v>100</v>
      </c>
      <c r="E39" s="2619"/>
      <c r="F39" s="462">
        <f>SUMIF(116:116,E39,117:117)-SUMIF(116:116,C39,117:117)+100</f>
        <v>100</v>
      </c>
      <c r="G39" s="2619"/>
      <c r="H39" s="436">
        <f>SUMIF(116:116,G39,117:117)-SUMIF(116:116,C39,117:117)+100</f>
        <v>100</v>
      </c>
      <c r="I39" s="2619"/>
      <c r="J39" s="436">
        <f>SUMIF(116:116,I39,117:117)-SUMIF(116:116,C39,117:117)+100</f>
        <v>100</v>
      </c>
      <c r="K39" s="613"/>
      <c r="L39" s="1144"/>
      <c r="M39" s="1135"/>
      <c r="N39" s="1135"/>
      <c r="O39" s="1135"/>
      <c r="P39" s="3161"/>
      <c r="Q39" s="1815" t="str">
        <f t="shared" si="11"/>
        <v>层高</v>
      </c>
      <c r="R39" s="775" t="s">
        <v>17</v>
      </c>
      <c r="S39" s="776">
        <f t="shared" si="12"/>
        <v>100</v>
      </c>
      <c r="T39" s="775" t="s">
        <v>17</v>
      </c>
      <c r="U39" s="776">
        <f t="shared" si="13"/>
        <v>100</v>
      </c>
      <c r="V39" s="775" t="s">
        <v>17</v>
      </c>
      <c r="W39" s="776">
        <f t="shared" si="14"/>
        <v>100</v>
      </c>
      <c r="X39" s="1818"/>
      <c r="Y39" s="3163"/>
      <c r="Z39" s="1819" t="str">
        <f t="shared" si="15"/>
        <v>层高</v>
      </c>
      <c r="AA39" s="1816">
        <f t="shared" si="3"/>
        <v>1</v>
      </c>
      <c r="AB39" s="1816">
        <f t="shared" si="4"/>
        <v>1</v>
      </c>
      <c r="AC39" s="1816">
        <f t="shared" si="5"/>
        <v>1</v>
      </c>
    </row>
    <row r="40" spans="1:29" ht="15">
      <c r="A40" s="473"/>
      <c r="B40" s="423" t="s">
        <v>2664</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161"/>
      <c r="Q40" s="1815" t="str">
        <f t="shared" si="11"/>
        <v>单套建筑面积</v>
      </c>
      <c r="R40" s="775" t="s">
        <v>17</v>
      </c>
      <c r="S40" s="776">
        <f t="shared" si="12"/>
        <v>100</v>
      </c>
      <c r="T40" s="775" t="s">
        <v>17</v>
      </c>
      <c r="U40" s="776">
        <f t="shared" si="13"/>
        <v>100</v>
      </c>
      <c r="V40" s="775" t="s">
        <v>17</v>
      </c>
      <c r="W40" s="776">
        <f t="shared" si="14"/>
        <v>100</v>
      </c>
      <c r="X40" s="1818"/>
      <c r="Y40" s="3163"/>
      <c r="Z40" s="1819" t="str">
        <f t="shared" si="15"/>
        <v>单套建筑面积</v>
      </c>
      <c r="AA40" s="1816">
        <f t="shared" si="3"/>
        <v>1</v>
      </c>
      <c r="AB40" s="1816">
        <f t="shared" si="4"/>
        <v>1</v>
      </c>
      <c r="AC40" s="1816">
        <f t="shared" si="5"/>
        <v>1</v>
      </c>
    </row>
    <row r="41" spans="1:29" s="472" customFormat="1" ht="15">
      <c r="A41" s="469"/>
      <c r="B41" s="1817" t="s">
        <v>2665</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161"/>
      <c r="Q41" s="777" t="str">
        <f t="shared" si="11"/>
        <v>进深比</v>
      </c>
      <c r="R41" s="778" t="s">
        <v>17</v>
      </c>
      <c r="S41" s="779">
        <f t="shared" si="12"/>
        <v>100</v>
      </c>
      <c r="T41" s="778" t="s">
        <v>17</v>
      </c>
      <c r="U41" s="779">
        <f t="shared" si="13"/>
        <v>100</v>
      </c>
      <c r="V41" s="778" t="s">
        <v>17</v>
      </c>
      <c r="W41" s="779">
        <f t="shared" si="14"/>
        <v>100</v>
      </c>
      <c r="X41" s="780"/>
      <c r="Y41" s="3163"/>
      <c r="Z41" s="781" t="str">
        <f t="shared" si="15"/>
        <v>进深比</v>
      </c>
      <c r="AA41" s="1816">
        <f t="shared" si="3"/>
        <v>1</v>
      </c>
      <c r="AB41" s="1816">
        <f t="shared" si="4"/>
        <v>1</v>
      </c>
      <c r="AC41" s="1816">
        <f t="shared" si="5"/>
        <v>1</v>
      </c>
    </row>
    <row r="42" spans="1:29" ht="15">
      <c r="A42" s="473"/>
      <c r="B42" s="423" t="s">
        <v>2666</v>
      </c>
      <c r="C42" s="2619"/>
      <c r="D42" s="436">
        <v>100</v>
      </c>
      <c r="E42" s="2619"/>
      <c r="F42" s="462">
        <f>SUMIF(122:122,E42,123:123)-SUMIF(122:122,C42,123:123)+100</f>
        <v>100</v>
      </c>
      <c r="G42" s="2619"/>
      <c r="H42" s="436">
        <f>SUMIF(122:122,G42,123:123)-SUMIF(122:122,C42,123:123)+100</f>
        <v>100</v>
      </c>
      <c r="I42" s="2619"/>
      <c r="J42" s="436">
        <f>SUMIF(122:122,I42,123:123)-SUMIF(122:122,C42,123:123)+100</f>
        <v>100</v>
      </c>
      <c r="K42" s="613"/>
      <c r="L42" s="1144"/>
      <c r="M42" s="1135"/>
      <c r="N42" s="1135"/>
      <c r="O42" s="1135"/>
      <c r="P42" s="3161"/>
      <c r="Q42" s="1815" t="str">
        <f t="shared" si="11"/>
        <v>内部装修</v>
      </c>
      <c r="R42" s="775" t="s">
        <v>17</v>
      </c>
      <c r="S42" s="776">
        <f t="shared" si="12"/>
        <v>100</v>
      </c>
      <c r="T42" s="775" t="s">
        <v>17</v>
      </c>
      <c r="U42" s="776">
        <f t="shared" si="13"/>
        <v>100</v>
      </c>
      <c r="V42" s="775" t="s">
        <v>17</v>
      </c>
      <c r="W42" s="776">
        <f t="shared" si="14"/>
        <v>100</v>
      </c>
      <c r="X42" s="1818"/>
      <c r="Y42" s="3163"/>
      <c r="Z42" s="1819" t="str">
        <f t="shared" si="15"/>
        <v>内部装修</v>
      </c>
      <c r="AA42" s="1816">
        <f t="shared" si="3"/>
        <v>1</v>
      </c>
      <c r="AB42" s="1816">
        <f t="shared" si="4"/>
        <v>1</v>
      </c>
      <c r="AC42" s="1816">
        <f t="shared" si="5"/>
        <v>1</v>
      </c>
    </row>
    <row r="43" spans="1:29" ht="15">
      <c r="A43" s="473"/>
      <c r="B43" s="423" t="s">
        <v>2574</v>
      </c>
      <c r="C43" s="2619"/>
      <c r="D43" s="436">
        <v>100</v>
      </c>
      <c r="E43" s="2619"/>
      <c r="F43" s="462">
        <f>SUMIF(124:124,E43,125:125)-SUMIF(124:124,C43,125:125)+100</f>
        <v>100</v>
      </c>
      <c r="G43" s="2619"/>
      <c r="H43" s="436">
        <f>SUMIF(124:124,G43,125:125)-SUMIF(124:124,C43,125:125)+100</f>
        <v>100</v>
      </c>
      <c r="I43" s="2619"/>
      <c r="J43" s="436">
        <f>SUMIF(124:124,I43,125:125)-SUMIF(124:124,C43,125:125)+100</f>
        <v>100</v>
      </c>
      <c r="K43" s="613"/>
      <c r="L43" s="1144"/>
      <c r="M43" s="1135"/>
      <c r="N43" s="1135"/>
      <c r="O43" s="1135"/>
      <c r="P43" s="3161"/>
      <c r="Q43" s="1815" t="str">
        <f t="shared" si="11"/>
        <v>内部装修维护情况</v>
      </c>
      <c r="R43" s="775" t="s">
        <v>17</v>
      </c>
      <c r="S43" s="776">
        <f t="shared" si="12"/>
        <v>100</v>
      </c>
      <c r="T43" s="775" t="s">
        <v>17</v>
      </c>
      <c r="U43" s="776">
        <f t="shared" si="13"/>
        <v>100</v>
      </c>
      <c r="V43" s="775" t="s">
        <v>17</v>
      </c>
      <c r="W43" s="776">
        <f t="shared" si="14"/>
        <v>100</v>
      </c>
      <c r="X43" s="1818"/>
      <c r="Y43" s="3163"/>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161"/>
      <c r="Q44" s="1800">
        <f t="shared" si="11"/>
        <v>111</v>
      </c>
      <c r="R44" s="771" t="s">
        <v>17</v>
      </c>
      <c r="S44" s="772">
        <f t="shared" si="12"/>
        <v>100</v>
      </c>
      <c r="T44" s="771" t="s">
        <v>17</v>
      </c>
      <c r="U44" s="772">
        <f t="shared" si="13"/>
        <v>100</v>
      </c>
      <c r="V44" s="771" t="s">
        <v>17</v>
      </c>
      <c r="W44" s="772">
        <f t="shared" si="14"/>
        <v>100</v>
      </c>
      <c r="X44" s="773"/>
      <c r="Y44" s="3163"/>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161"/>
      <c r="Q45" s="1815">
        <f t="shared" si="11"/>
        <v>111</v>
      </c>
      <c r="R45" s="775" t="s">
        <v>17</v>
      </c>
      <c r="S45" s="776">
        <f t="shared" si="12"/>
        <v>100</v>
      </c>
      <c r="T45" s="775" t="s">
        <v>17</v>
      </c>
      <c r="U45" s="776">
        <f t="shared" si="13"/>
        <v>100</v>
      </c>
      <c r="V45" s="775" t="s">
        <v>17</v>
      </c>
      <c r="W45" s="776">
        <f t="shared" si="14"/>
        <v>100</v>
      </c>
      <c r="X45" s="1818"/>
      <c r="Y45" s="3163"/>
      <c r="Z45" s="1819">
        <f t="shared" si="15"/>
        <v>111</v>
      </c>
      <c r="AA45" s="1816">
        <f t="shared" si="3"/>
        <v>1</v>
      </c>
      <c r="AB45" s="1816">
        <f t="shared" si="4"/>
        <v>1</v>
      </c>
      <c r="AC45" s="1816">
        <f t="shared" si="5"/>
        <v>1</v>
      </c>
    </row>
    <row r="46" spans="1:29" ht="15.75" thickBot="1">
      <c r="A46" s="479"/>
      <c r="B46" s="2608">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162"/>
      <c r="Q46" s="1815">
        <f t="shared" si="11"/>
        <v>111</v>
      </c>
      <c r="R46" s="775" t="s">
        <v>17</v>
      </c>
      <c r="S46" s="776">
        <f t="shared" si="12"/>
        <v>100</v>
      </c>
      <c r="T46" s="775" t="s">
        <v>17</v>
      </c>
      <c r="U46" s="776">
        <f t="shared" si="13"/>
        <v>100</v>
      </c>
      <c r="V46" s="775" t="s">
        <v>17</v>
      </c>
      <c r="W46" s="776">
        <f t="shared" si="14"/>
        <v>100</v>
      </c>
      <c r="X46" s="1818"/>
      <c r="Y46" s="3164"/>
      <c r="Z46" s="1819">
        <f t="shared" si="15"/>
        <v>111</v>
      </c>
      <c r="AA46" s="1816">
        <f t="shared" si="3"/>
        <v>1</v>
      </c>
      <c r="AB46" s="1816">
        <f t="shared" si="4"/>
        <v>1</v>
      </c>
      <c r="AC46" s="1816">
        <f t="shared" si="5"/>
        <v>1</v>
      </c>
    </row>
    <row r="47" spans="1:29" ht="15">
      <c r="A47" s="480" t="s">
        <v>2575</v>
      </c>
      <c r="B47" s="481"/>
      <c r="C47" s="1411" t="s">
        <v>1</v>
      </c>
      <c r="D47" s="1412"/>
      <c r="E47" s="1413"/>
      <c r="F47" s="1414"/>
      <c r="G47" s="1415"/>
      <c r="H47" s="1416"/>
      <c r="I47" s="1413"/>
      <c r="J47" s="1416"/>
      <c r="K47" s="784"/>
      <c r="L47" s="1147"/>
      <c r="M47" s="1148"/>
      <c r="N47" s="1135"/>
      <c r="O47" s="1148"/>
      <c r="P47" s="3151" t="str">
        <f>A47</f>
        <v>成交单价（元/平方米）</v>
      </c>
      <c r="Q47" s="3151"/>
      <c r="R47" s="3185">
        <f>E47</f>
        <v>0</v>
      </c>
      <c r="S47" s="3185"/>
      <c r="T47" s="3185">
        <f>G47</f>
        <v>0</v>
      </c>
      <c r="U47" s="3185"/>
      <c r="V47" s="3185">
        <f>I47</f>
        <v>0</v>
      </c>
      <c r="W47" s="3185"/>
      <c r="X47" s="760"/>
      <c r="Y47" s="782"/>
      <c r="Z47" s="760"/>
      <c r="AA47" s="760"/>
      <c r="AB47" s="760"/>
      <c r="AC47" s="760"/>
    </row>
    <row r="48" spans="1:29" ht="15.75" thickBot="1">
      <c r="A48" s="487" t="s">
        <v>2667</v>
      </c>
      <c r="B48" s="488"/>
      <c r="C48" s="1417" t="e">
        <f>R49</f>
        <v>#DIV/0!</v>
      </c>
      <c r="D48" s="1418"/>
      <c r="E48" s="1419" t="e">
        <f>R48</f>
        <v>#DIV/0!</v>
      </c>
      <c r="F48" s="1419"/>
      <c r="G48" s="1417" t="e">
        <f>T48</f>
        <v>#DIV/0!</v>
      </c>
      <c r="H48" s="1418"/>
      <c r="I48" s="1419" t="e">
        <f>V48</f>
        <v>#DIV/0!</v>
      </c>
      <c r="J48" s="1418"/>
      <c r="K48" s="785"/>
      <c r="L48" s="1147"/>
      <c r="M48" s="1148"/>
      <c r="N48" s="1135"/>
      <c r="O48" s="1148"/>
      <c r="P48" s="3151" t="str">
        <f>A48</f>
        <v>比较价值（元/平方米）</v>
      </c>
      <c r="Q48" s="3151"/>
      <c r="R48" s="3152" t="e">
        <f>IF(F1="售价",ROUND(PRODUCT(R47,AA7:AA46),0),ROUND(PRODUCT(R47,AA7:AA46),1))</f>
        <v>#DIV/0!</v>
      </c>
      <c r="S48" s="3152"/>
      <c r="T48" s="3152" t="e">
        <f>IF(F1="售价",ROUND(PRODUCT(T47,AB7:AB46),0),ROUND(PRODUCT(T47,AB7:AB46),1))</f>
        <v>#DIV/0!</v>
      </c>
      <c r="U48" s="3152"/>
      <c r="V48" s="3152" t="e">
        <f>IF(F1="售价",ROUND(PRODUCT(V47,AC7:AC46),0),ROUND(PRODUCT(V47,AC7:AC46),1))</f>
        <v>#DIV/0!</v>
      </c>
      <c r="W48" s="3152"/>
      <c r="X48" s="760"/>
      <c r="Y48" s="760"/>
      <c r="Z48" s="760"/>
      <c r="AA48" s="760"/>
      <c r="AB48" s="760"/>
      <c r="AC48" s="760"/>
    </row>
    <row r="49" spans="1:29" ht="15.75" thickBot="1">
      <c r="A49" s="493" t="s">
        <v>2668</v>
      </c>
      <c r="B49" s="494"/>
      <c r="C49" s="1421" t="e">
        <f>R49</f>
        <v>#DIV/0!</v>
      </c>
      <c r="D49" s="1421"/>
      <c r="E49" s="1421"/>
      <c r="F49" s="1421"/>
      <c r="G49" s="1421"/>
      <c r="H49" s="1421"/>
      <c r="I49" s="1421"/>
      <c r="J49" s="1421"/>
      <c r="K49" s="786"/>
      <c r="L49" s="1147"/>
      <c r="M49" s="1148"/>
      <c r="N49" s="1135"/>
      <c r="O49" s="1148"/>
      <c r="P49" s="3229" t="str">
        <f>A49</f>
        <v>估价对象XX用房的比较价值（楼面单价，元/平方米）</v>
      </c>
      <c r="Q49" s="3230"/>
      <c r="R49" s="3231" t="e">
        <f>IF(F1="售价",ROUND(AVERAGE(R48:V48),0),ROUND(AVERAGE(R48:V48),1))</f>
        <v>#DIV/0!</v>
      </c>
      <c r="S49" s="3231"/>
      <c r="T49" s="3231"/>
      <c r="U49" s="3231"/>
      <c r="V49" s="3231"/>
      <c r="W49" s="323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2669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2"/>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2"/>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2672</v>
      </c>
      <c r="B57" s="760"/>
      <c r="C57" s="765"/>
      <c r="D57" s="765"/>
      <c r="E57" s="765"/>
      <c r="F57" s="766"/>
      <c r="G57" s="766"/>
      <c r="H57" s="765"/>
      <c r="I57" s="765"/>
      <c r="J57" s="765"/>
      <c r="K57" s="767"/>
      <c r="L57" s="1165"/>
      <c r="M57" s="1163"/>
      <c r="N57" s="1163"/>
      <c r="O57" s="1163"/>
      <c r="P57" s="2673"/>
      <c r="Q57" s="2674"/>
      <c r="R57" s="760"/>
      <c r="S57" s="760"/>
      <c r="T57" s="760"/>
      <c r="U57" s="760"/>
      <c r="V57" s="760"/>
      <c r="W57" s="760"/>
      <c r="X57" s="760"/>
      <c r="Y57" s="760"/>
      <c r="Z57" s="760"/>
      <c r="AA57" s="760"/>
      <c r="AB57" s="760"/>
      <c r="AC57" s="760"/>
    </row>
    <row r="58" spans="1:29" s="509" customFormat="1" ht="15">
      <c r="A58" s="506" t="s">
        <v>2546</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4"/>
    </row>
    <row r="60" spans="1:29" s="117" customFormat="1" ht="15.75" thickBot="1">
      <c r="A60" s="516" t="s">
        <v>2583</v>
      </c>
      <c r="B60" s="517"/>
      <c r="C60" s="518"/>
      <c r="D60" s="519"/>
      <c r="E60" s="519"/>
      <c r="F60" s="519"/>
      <c r="G60" s="519"/>
      <c r="H60" s="519"/>
      <c r="I60" s="519"/>
      <c r="J60" s="519"/>
      <c r="K60" s="519"/>
      <c r="L60" s="519"/>
      <c r="M60" s="520"/>
      <c r="N60" s="519"/>
      <c r="O60" s="520"/>
      <c r="P60" s="2634"/>
      <c r="Q60" s="505"/>
    </row>
    <row r="61" spans="1:29" s="117" customFormat="1" ht="15">
      <c r="A61" s="522" t="s">
        <v>2548</v>
      </c>
      <c r="B61" s="511"/>
      <c r="C61" s="523" t="s">
        <v>2650</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2586</v>
      </c>
      <c r="B63" s="529" t="s">
        <v>2552</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6"/>
      <c r="O65" s="1156"/>
      <c r="P65" s="2636"/>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6"/>
      <c r="Q66" s="505"/>
    </row>
    <row r="67" spans="1:17" ht="15.75" thickTop="1">
      <c r="A67" s="535"/>
      <c r="B67" s="547" t="s">
        <v>2556</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37"/>
      <c r="E73" s="537"/>
      <c r="F73" s="537"/>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2653</v>
      </c>
      <c r="C82" s="661" t="s">
        <v>2673</v>
      </c>
      <c r="D82" s="661" t="s">
        <v>2674</v>
      </c>
      <c r="E82" s="661" t="s">
        <v>2675</v>
      </c>
      <c r="F82" s="661" t="s">
        <v>2676</v>
      </c>
      <c r="G82" s="661" t="s">
        <v>2677</v>
      </c>
      <c r="H82" s="540"/>
      <c r="I82" s="540"/>
      <c r="J82" s="540"/>
      <c r="K82" s="540"/>
      <c r="L82" s="540"/>
      <c r="M82" s="1386"/>
      <c r="N82" s="1157"/>
      <c r="O82" s="1157"/>
      <c r="P82" s="2636"/>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6"/>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2678</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6"/>
      <c r="Q87" s="505"/>
    </row>
    <row r="88" spans="1:17" s="117" customFormat="1" ht="15.75" thickTop="1">
      <c r="A88" s="580"/>
      <c r="B88" s="539" t="str">
        <f>B26</f>
        <v>平面位置/可视性</v>
      </c>
      <c r="C88" s="555"/>
      <c r="D88" s="555"/>
      <c r="E88" s="555"/>
      <c r="F88" s="2641"/>
      <c r="G88" s="555"/>
      <c r="H88" s="555"/>
      <c r="I88" s="555"/>
      <c r="J88" s="555"/>
      <c r="K88" s="555"/>
      <c r="L88" s="555"/>
      <c r="M88" s="582"/>
      <c r="N88" s="1155"/>
      <c r="O88" s="1155"/>
      <c r="P88" s="2636"/>
      <c r="Q88" s="505"/>
    </row>
    <row r="89" spans="1:17" s="117" customFormat="1" ht="15.75" thickBot="1">
      <c r="A89" s="580"/>
      <c r="B89" s="544"/>
      <c r="C89" s="561"/>
      <c r="D89" s="537"/>
      <c r="E89" s="537"/>
      <c r="F89" s="537"/>
      <c r="G89" s="537"/>
      <c r="H89" s="537"/>
      <c r="I89" s="537"/>
      <c r="J89" s="537"/>
      <c r="K89" s="537"/>
      <c r="L89" s="537"/>
      <c r="M89" s="537"/>
      <c r="N89" s="1157"/>
      <c r="O89" s="1157"/>
      <c r="P89" s="2636"/>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7"/>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7"/>
      <c r="Q91" s="560"/>
    </row>
    <row r="92" spans="1:17" ht="15.75" thickTop="1">
      <c r="A92" s="535"/>
      <c r="B92" s="539" t="str">
        <f>B28</f>
        <v>楼层</v>
      </c>
      <c r="C92" s="555"/>
      <c r="D92" s="555"/>
      <c r="E92" s="555"/>
      <c r="F92" s="555"/>
      <c r="G92" s="555"/>
      <c r="H92" s="555"/>
      <c r="I92" s="555"/>
      <c r="J92" s="555"/>
      <c r="K92" s="555"/>
      <c r="L92" s="581"/>
      <c r="M92" s="582"/>
      <c r="N92" s="1156"/>
      <c r="O92" s="1156"/>
      <c r="P92" s="2636"/>
      <c r="Q92" s="505"/>
    </row>
    <row r="93" spans="1:17" ht="15.75" thickBot="1">
      <c r="A93" s="535"/>
      <c r="B93" s="544"/>
      <c r="C93" s="537"/>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37"/>
      <c r="E95" s="537"/>
      <c r="F95" s="537"/>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61"/>
      <c r="D97" s="537"/>
      <c r="E97" s="537"/>
      <c r="F97" s="537"/>
      <c r="G97" s="537"/>
      <c r="H97" s="537"/>
      <c r="I97" s="537"/>
      <c r="J97" s="537"/>
      <c r="K97" s="537"/>
      <c r="L97" s="537"/>
      <c r="M97" s="538"/>
      <c r="N97" s="1157"/>
      <c r="O97" s="1157"/>
      <c r="P97" s="2636"/>
      <c r="Q97" s="505"/>
    </row>
    <row r="98" spans="1:17" ht="15.75" thickTop="1">
      <c r="A98" s="535"/>
      <c r="B98" s="547">
        <f>B31</f>
        <v>111</v>
      </c>
      <c r="C98" s="555"/>
      <c r="D98" s="555"/>
      <c r="E98" s="555"/>
      <c r="F98" s="555"/>
      <c r="G98" s="588"/>
      <c r="H98" s="588"/>
      <c r="I98" s="588"/>
      <c r="J98" s="588"/>
      <c r="K98" s="589"/>
      <c r="L98" s="590"/>
      <c r="M98" s="591"/>
      <c r="N98" s="1156"/>
      <c r="O98" s="1156"/>
      <c r="P98" s="2636"/>
      <c r="Q98" s="505"/>
    </row>
    <row r="99" spans="1:17" ht="15.75" thickBot="1">
      <c r="A99" s="2642"/>
      <c r="B99" s="570"/>
      <c r="C99" s="571"/>
      <c r="D99" s="571"/>
      <c r="E99" s="571"/>
      <c r="F99" s="571"/>
      <c r="G99" s="592"/>
      <c r="H99" s="592"/>
      <c r="I99" s="592"/>
      <c r="J99" s="592"/>
      <c r="K99" s="592"/>
      <c r="L99" s="592"/>
      <c r="M99" s="593"/>
      <c r="N99" s="1157"/>
      <c r="O99" s="1157"/>
      <c r="P99" s="2636"/>
      <c r="Q99" s="505"/>
    </row>
    <row r="100" spans="1:17">
      <c r="A100" s="528" t="s">
        <v>2561</v>
      </c>
      <c r="B100" s="529" t="s">
        <v>2679</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6"/>
      <c r="Q101" s="505"/>
    </row>
    <row r="102" spans="1:17" ht="15.75" thickTop="1">
      <c r="A102" s="535"/>
      <c r="B102" s="539" t="s">
        <v>2611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7"/>
      <c r="Q104" s="560"/>
    </row>
    <row r="105" spans="1:17" ht="15" thickTop="1">
      <c r="A105" s="600"/>
      <c r="B105" s="539" t="s">
        <v>2612</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6"/>
      <c r="Q106" s="505"/>
    </row>
    <row r="107" spans="1:17" ht="15" thickTop="1">
      <c r="A107" s="600"/>
      <c r="B107" s="539" t="s">
        <v>2614</v>
      </c>
      <c r="C107" s="555"/>
      <c r="D107" s="555"/>
      <c r="E107" s="555"/>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6"/>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6"/>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6"/>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6"/>
      <c r="Q111" s="505"/>
    </row>
    <row r="112" spans="1:17" s="472" customFormat="1" ht="15" thickTop="1">
      <c r="A112" s="594"/>
      <c r="B112" s="539" t="s">
        <v>2616</v>
      </c>
      <c r="C112" s="555"/>
      <c r="D112" s="555"/>
      <c r="E112" s="555"/>
      <c r="F112" s="555"/>
      <c r="G112" s="555"/>
      <c r="H112" s="584"/>
      <c r="I112" s="584"/>
      <c r="J112" s="584"/>
      <c r="K112" s="585"/>
      <c r="L112" s="586"/>
      <c r="M112" s="587"/>
      <c r="N112" s="1158"/>
      <c r="O112" s="1158"/>
      <c r="P112" s="2637"/>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7"/>
      <c r="Q113" s="560"/>
    </row>
    <row r="114" spans="1:17" ht="15" thickTop="1">
      <c r="A114" s="600"/>
      <c r="B114" s="539" t="s">
        <v>2680</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6"/>
      <c r="Q115" s="505"/>
    </row>
    <row r="116" spans="1:17" ht="15" thickTop="1">
      <c r="A116" s="600"/>
      <c r="B116" s="539" t="s">
        <v>2681</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2682</v>
      </c>
      <c r="C118" s="628"/>
      <c r="D118" s="628"/>
      <c r="E118" s="628"/>
      <c r="F118" s="628"/>
      <c r="G118" s="628"/>
      <c r="H118" s="556"/>
      <c r="I118" s="556"/>
      <c r="J118" s="556"/>
      <c r="K118" s="556"/>
      <c r="L118" s="557"/>
      <c r="M118" s="558"/>
      <c r="N118" s="1156"/>
      <c r="O118" s="1156"/>
      <c r="P118" s="2636"/>
      <c r="Q118" s="505"/>
    </row>
    <row r="119" spans="1:17" ht="15.75" thickBot="1">
      <c r="A119" s="535"/>
      <c r="B119" s="544"/>
      <c r="C119" s="561"/>
      <c r="D119" s="537"/>
      <c r="E119" s="537"/>
      <c r="F119" s="537"/>
      <c r="G119" s="537"/>
      <c r="H119" s="537"/>
      <c r="I119" s="537"/>
      <c r="J119" s="537"/>
      <c r="K119" s="537"/>
      <c r="L119" s="537"/>
      <c r="M119" s="538"/>
      <c r="N119" s="1157"/>
      <c r="O119" s="1157"/>
      <c r="P119" s="2636"/>
      <c r="Q119" s="505"/>
    </row>
    <row r="120" spans="1:17" s="472" customFormat="1" ht="15" thickTop="1">
      <c r="A120" s="594"/>
      <c r="B120" s="539" t="s">
        <v>2683</v>
      </c>
      <c r="C120" s="584"/>
      <c r="D120" s="584"/>
      <c r="E120" s="584"/>
      <c r="F120" s="584"/>
      <c r="G120" s="556"/>
      <c r="H120" s="556"/>
      <c r="I120" s="556"/>
      <c r="J120" s="556"/>
      <c r="K120" s="556"/>
      <c r="L120" s="557"/>
      <c r="M120" s="558"/>
      <c r="N120" s="1158"/>
      <c r="O120" s="1158"/>
      <c r="P120" s="2637"/>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7"/>
      <c r="Q121" s="560"/>
    </row>
    <row r="122" spans="1:17" ht="15" thickTop="1">
      <c r="A122" s="600"/>
      <c r="B122" s="539" t="s">
        <v>2618</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6"/>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37"/>
      <c r="E129" s="537"/>
      <c r="F129" s="537"/>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675" t="s">
        <v>2700</v>
      </c>
      <c r="C1" s="1625" t="s">
        <v>2528</v>
      </c>
      <c r="D1" s="1626"/>
      <c r="E1" s="1635"/>
      <c r="F1" s="2590"/>
      <c r="G1" s="1636" t="s">
        <v>2641</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2325</v>
      </c>
      <c r="B2" s="1422" t="e">
        <f ca="1">IF(C2="——",ROUND(C43*D3/10000,0),ROUND(C43*D3/10000,0)-D2)</f>
        <v>#DIV/0!</v>
      </c>
      <c r="C2" s="2592"/>
      <c r="D2" s="1128" t="e">
        <f ca="1">SUMIF(INDIRECT("'"&amp;F2&amp;"'"&amp;"!A:A"),"承租人权益价值",INDIRECT("'"&amp;F2&amp;"'"&amp;"!c:c"))</f>
        <v>#REF!</v>
      </c>
      <c r="E2" s="2593" t="s">
        <v>2326</v>
      </c>
      <c r="F2" s="2594"/>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2327</v>
      </c>
      <c r="B3" s="610" t="e">
        <f ca="1">IF(C2="——",C43,ROUND(B2*10000/D3,0))</f>
        <v>#DIV/0!</v>
      </c>
      <c r="C3" s="401" t="s">
        <v>2642</v>
      </c>
      <c r="D3" s="400">
        <f>IF(D1="",'数据-汇总表'!E3,SUMIF('数据-汇总表'!$C19:$C33,D1,'数据-汇总表'!$E19:$E33))</f>
        <v>898.32</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168" t="s">
        <v>2644</v>
      </c>
      <c r="D4" s="3169"/>
      <c r="E4" s="3170" t="s">
        <v>2645</v>
      </c>
      <c r="F4" s="3171"/>
      <c r="G4" s="3168" t="s">
        <v>2646</v>
      </c>
      <c r="H4" s="3169"/>
      <c r="I4" s="3168" t="s">
        <v>2647</v>
      </c>
      <c r="J4" s="3169"/>
      <c r="K4" s="611" t="s">
        <v>2648</v>
      </c>
      <c r="L4" s="1134"/>
      <c r="M4" s="1135"/>
      <c r="N4" s="1135"/>
      <c r="O4" s="1135"/>
      <c r="P4" s="3233" t="s">
        <v>2649</v>
      </c>
      <c r="Q4" s="3234"/>
      <c r="R4" s="3237" t="s">
        <v>2645</v>
      </c>
      <c r="S4" s="3238"/>
      <c r="T4" s="3237" t="s">
        <v>2646</v>
      </c>
      <c r="U4" s="3238"/>
      <c r="V4" s="3185" t="s">
        <v>2647</v>
      </c>
      <c r="W4" s="3185"/>
      <c r="X4" s="1818"/>
      <c r="Y4" s="3237" t="s">
        <v>2649</v>
      </c>
      <c r="Z4" s="3238"/>
      <c r="AA4" s="3232" t="s">
        <v>2645</v>
      </c>
      <c r="AB4" s="3198" t="s">
        <v>2646</v>
      </c>
      <c r="AC4" s="3232" t="s">
        <v>2647</v>
      </c>
    </row>
    <row r="5" spans="1:29" ht="15">
      <c r="A5" s="405"/>
      <c r="B5" s="406"/>
      <c r="C5" s="3194" t="s">
        <v>2540</v>
      </c>
      <c r="D5" s="3189"/>
      <c r="E5" s="3239" t="s">
        <v>2541</v>
      </c>
      <c r="F5" s="3201"/>
      <c r="G5" s="3194" t="s">
        <v>2542</v>
      </c>
      <c r="H5" s="3189"/>
      <c r="I5" s="3194" t="s">
        <v>2543</v>
      </c>
      <c r="J5" s="3189"/>
      <c r="K5" s="611"/>
      <c r="L5" s="1134"/>
      <c r="M5" s="1135"/>
      <c r="N5" s="1135"/>
      <c r="O5" s="1135"/>
      <c r="P5" s="3235"/>
      <c r="Q5" s="3175"/>
      <c r="R5" s="3180"/>
      <c r="S5" s="3181"/>
      <c r="T5" s="3180"/>
      <c r="U5" s="3181"/>
      <c r="V5" s="3185"/>
      <c r="W5" s="3185"/>
      <c r="X5" s="1818"/>
      <c r="Y5" s="3180"/>
      <c r="Z5" s="3181"/>
      <c r="AA5" s="3198"/>
      <c r="AB5" s="3198"/>
      <c r="AC5" s="3198"/>
    </row>
    <row r="6" spans="1:29" ht="15.75" thickBot="1">
      <c r="A6" s="407"/>
      <c r="B6" s="408"/>
      <c r="C6" s="3186" t="s">
        <v>2544</v>
      </c>
      <c r="D6" s="3187"/>
      <c r="E6" s="3195" t="s">
        <v>2544</v>
      </c>
      <c r="F6" s="3196"/>
      <c r="G6" s="3186" t="s">
        <v>2544</v>
      </c>
      <c r="H6" s="3187"/>
      <c r="I6" s="3186" t="s">
        <v>2544</v>
      </c>
      <c r="J6" s="3187"/>
      <c r="K6" s="611" t="s">
        <v>2545</v>
      </c>
      <c r="L6" s="1134"/>
      <c r="M6" s="1135"/>
      <c r="N6" s="1135"/>
      <c r="O6" s="1135"/>
      <c r="P6" s="3236"/>
      <c r="Q6" s="3177"/>
      <c r="R6" s="3180"/>
      <c r="S6" s="3181"/>
      <c r="T6" s="3182"/>
      <c r="U6" s="3183"/>
      <c r="V6" s="3185"/>
      <c r="W6" s="3185"/>
      <c r="X6" s="1818"/>
      <c r="Y6" s="3182"/>
      <c r="Z6" s="3183"/>
      <c r="AA6" s="3199"/>
      <c r="AB6" s="3199"/>
      <c r="AC6" s="3199"/>
    </row>
    <row r="7" spans="1:29" s="117" customFormat="1" ht="15.75" thickBot="1">
      <c r="A7" s="409" t="s">
        <v>2546</v>
      </c>
      <c r="B7" s="410"/>
      <c r="C7" s="411">
        <f>'数据-取费表'!B2</f>
        <v>43053</v>
      </c>
      <c r="D7" s="412">
        <v>100</v>
      </c>
      <c r="E7" s="413"/>
      <c r="F7" s="414">
        <f>SUMIF(52:52,YEAR(E7)&amp;"-"&amp;MONTH(E7),53:53)</f>
        <v>0</v>
      </c>
      <c r="G7" s="413"/>
      <c r="H7" s="412">
        <f>SUMIF(52:52,YEAR(G7)&amp;"-"&amp;MONTH(G7),53:53)</f>
        <v>0</v>
      </c>
      <c r="I7" s="413"/>
      <c r="J7" s="412">
        <f>SUMIF(52:52,YEAR(I7)&amp;"-"&amp;MONTH(I7),53:53)</f>
        <v>0</v>
      </c>
      <c r="K7" s="612"/>
      <c r="L7" s="1136"/>
      <c r="M7" s="1137"/>
      <c r="N7" s="1137"/>
      <c r="O7" s="1137"/>
      <c r="P7" s="3192" t="s">
        <v>2547</v>
      </c>
      <c r="Q7" s="3193"/>
      <c r="R7" s="771" t="s">
        <v>17</v>
      </c>
      <c r="S7" s="772">
        <f t="shared" ref="S7:S15" si="0">F7</f>
        <v>0</v>
      </c>
      <c r="T7" s="771" t="s">
        <v>17</v>
      </c>
      <c r="U7" s="772">
        <f t="shared" ref="U7:U15" si="1">H7</f>
        <v>0</v>
      </c>
      <c r="V7" s="771" t="s">
        <v>17</v>
      </c>
      <c r="W7" s="772">
        <f t="shared" ref="W7:W15" si="2">J7</f>
        <v>0</v>
      </c>
      <c r="X7" s="773"/>
      <c r="Y7" s="3192" t="s">
        <v>2547</v>
      </c>
      <c r="Z7" s="3191"/>
      <c r="AA7" s="774" t="e">
        <f>D7/F7</f>
        <v>#DIV/0!</v>
      </c>
      <c r="AB7" s="774" t="e">
        <f>D7/H7</f>
        <v>#DIV/0!</v>
      </c>
      <c r="AC7" s="774" t="e">
        <f>D7/J7</f>
        <v>#DIV/0!</v>
      </c>
    </row>
    <row r="8" spans="1:29" s="117" customFormat="1" ht="15.75" thickBot="1">
      <c r="A8" s="409" t="s">
        <v>2548</v>
      </c>
      <c r="B8" s="410"/>
      <c r="C8" s="415" t="s">
        <v>2549</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192" t="s">
        <v>2550</v>
      </c>
      <c r="Q8" s="3191"/>
      <c r="R8" s="771" t="s">
        <v>17</v>
      </c>
      <c r="S8" s="772">
        <f t="shared" si="0"/>
        <v>0</v>
      </c>
      <c r="T8" s="771" t="s">
        <v>17</v>
      </c>
      <c r="U8" s="772">
        <f t="shared" si="1"/>
        <v>0</v>
      </c>
      <c r="V8" s="771" t="s">
        <v>17</v>
      </c>
      <c r="W8" s="772">
        <f t="shared" si="2"/>
        <v>0</v>
      </c>
      <c r="X8" s="773"/>
      <c r="Y8" s="3192" t="s">
        <v>2550</v>
      </c>
      <c r="Z8" s="3191"/>
      <c r="AA8" s="774" t="e">
        <f t="shared" ref="AA8:AA40" si="3">D8/F8</f>
        <v>#DIV/0!</v>
      </c>
      <c r="AB8" s="774" t="e">
        <f t="shared" ref="AB8:AB40" si="4">D8/H8</f>
        <v>#DIV/0!</v>
      </c>
      <c r="AC8" s="774" t="e">
        <f t="shared" ref="AC8:AC40" si="5">D8/J8</f>
        <v>#DIV/0!</v>
      </c>
    </row>
    <row r="9" spans="1:29" s="117" customFormat="1">
      <c r="A9" s="416" t="s">
        <v>2551</v>
      </c>
      <c r="B9" s="71" t="s">
        <v>2552</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151" t="s">
        <v>2553</v>
      </c>
      <c r="Q9" s="1800" t="str">
        <f t="shared" ref="Q9:Q15" si="6">B9</f>
        <v>用途</v>
      </c>
      <c r="R9" s="771" t="s">
        <v>17</v>
      </c>
      <c r="S9" s="772">
        <f t="shared" si="0"/>
        <v>100</v>
      </c>
      <c r="T9" s="771" t="s">
        <v>17</v>
      </c>
      <c r="U9" s="772">
        <f t="shared" si="1"/>
        <v>100</v>
      </c>
      <c r="V9" s="771" t="s">
        <v>17</v>
      </c>
      <c r="W9" s="772">
        <f t="shared" si="2"/>
        <v>100</v>
      </c>
      <c r="X9" s="773"/>
      <c r="Y9" s="3005"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151"/>
      <c r="Q10" s="1800" t="str">
        <f t="shared" si="6"/>
        <v>土地使用年限（年）</v>
      </c>
      <c r="R10" s="771" t="s">
        <v>17</v>
      </c>
      <c r="S10" s="772">
        <f t="shared" si="0"/>
        <v>100</v>
      </c>
      <c r="T10" s="771" t="s">
        <v>17</v>
      </c>
      <c r="U10" s="772">
        <f t="shared" si="1"/>
        <v>100</v>
      </c>
      <c r="V10" s="771" t="s">
        <v>17</v>
      </c>
      <c r="W10" s="772">
        <f t="shared" si="2"/>
        <v>100</v>
      </c>
      <c r="X10" s="773"/>
      <c r="Y10" s="3005"/>
      <c r="Z10" s="55" t="str">
        <f t="shared" si="7"/>
        <v>土地使用年限（年）</v>
      </c>
      <c r="AA10" s="774">
        <f t="shared" si="3"/>
        <v>1</v>
      </c>
      <c r="AB10" s="774">
        <f t="shared" si="4"/>
        <v>1</v>
      </c>
      <c r="AC10" s="774">
        <f t="shared" si="5"/>
        <v>1</v>
      </c>
    </row>
    <row r="11" spans="1:29" ht="15">
      <c r="A11" s="429"/>
      <c r="B11" s="423" t="s">
        <v>2556</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151"/>
      <c r="Q11" s="1800" t="str">
        <f t="shared" si="6"/>
        <v>容积率</v>
      </c>
      <c r="R11" s="771" t="s">
        <v>17</v>
      </c>
      <c r="S11" s="772" t="e">
        <f t="shared" si="0"/>
        <v>#N/A</v>
      </c>
      <c r="T11" s="771" t="s">
        <v>17</v>
      </c>
      <c r="U11" s="772" t="e">
        <f t="shared" si="1"/>
        <v>#N/A</v>
      </c>
      <c r="V11" s="771" t="s">
        <v>17</v>
      </c>
      <c r="W11" s="772" t="e">
        <f t="shared" si="2"/>
        <v>#N/A</v>
      </c>
      <c r="X11" s="773"/>
      <c r="Y11" s="3005"/>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136">
        <f>SUMIF(64:64,E12,65:65)-SUMIF(64:64,C12,65:65)+100</f>
        <v>100</v>
      </c>
      <c r="G12" s="2698"/>
      <c r="H12" s="136">
        <f>SUMIF(64:64,G12,65:65)-SUMIF(64:64,C12,65:65)+100</f>
        <v>100</v>
      </c>
      <c r="I12" s="470"/>
      <c r="J12" s="136">
        <f>SUMIF(64:64,I12,65:65)-SUMIF(64:64,C12,65:65)+100</f>
        <v>100</v>
      </c>
      <c r="K12" s="614"/>
      <c r="L12" s="1136"/>
      <c r="M12" s="1137"/>
      <c r="N12" s="1137"/>
      <c r="O12" s="1138"/>
      <c r="P12" s="3151"/>
      <c r="Q12" s="1800">
        <f t="shared" si="6"/>
        <v>111</v>
      </c>
      <c r="R12" s="771" t="s">
        <v>17</v>
      </c>
      <c r="S12" s="772">
        <f t="shared" si="0"/>
        <v>100</v>
      </c>
      <c r="T12" s="771" t="s">
        <v>17</v>
      </c>
      <c r="U12" s="772">
        <f t="shared" si="1"/>
        <v>100</v>
      </c>
      <c r="V12" s="771" t="s">
        <v>17</v>
      </c>
      <c r="W12" s="772">
        <f t="shared" si="2"/>
        <v>100</v>
      </c>
      <c r="X12" s="773"/>
      <c r="Y12" s="3005"/>
      <c r="Z12" s="55">
        <f t="shared" si="7"/>
        <v>111</v>
      </c>
      <c r="AA12" s="774">
        <f>D12/F12</f>
        <v>1</v>
      </c>
      <c r="AB12" s="774">
        <f>D12/H12</f>
        <v>1</v>
      </c>
      <c r="AC12" s="774">
        <f>D12/J12</f>
        <v>1</v>
      </c>
    </row>
    <row r="13" spans="1:29" ht="15">
      <c r="A13" s="429"/>
      <c r="B13" s="2606">
        <v>111</v>
      </c>
      <c r="C13" s="435"/>
      <c r="D13" s="436">
        <v>100</v>
      </c>
      <c r="E13" s="435"/>
      <c r="F13" s="136">
        <f>SUMIF(66:66,E13,67:67)-SUMIF(66:66,C13,67:67)+100</f>
        <v>100</v>
      </c>
      <c r="G13" s="2698"/>
      <c r="H13" s="436">
        <f>SUMIF(66:66,G13,67:67)-SUMIF(66:66,C13,67:67)+100</f>
        <v>100</v>
      </c>
      <c r="I13" s="470"/>
      <c r="J13" s="436">
        <f>SUMIF(66:66,I13,67:67)-SUMIF(66:66,C13,67:67)+100</f>
        <v>100</v>
      </c>
      <c r="K13" s="614"/>
      <c r="L13" s="1144"/>
      <c r="M13" s="1135"/>
      <c r="N13" s="1135"/>
      <c r="O13" s="1143"/>
      <c r="P13" s="3151"/>
      <c r="Q13" s="1800">
        <f t="shared" si="6"/>
        <v>111</v>
      </c>
      <c r="R13" s="771" t="s">
        <v>17</v>
      </c>
      <c r="S13" s="772">
        <f t="shared" si="0"/>
        <v>100</v>
      </c>
      <c r="T13" s="771" t="s">
        <v>17</v>
      </c>
      <c r="U13" s="772">
        <f t="shared" si="1"/>
        <v>100</v>
      </c>
      <c r="V13" s="771" t="s">
        <v>17</v>
      </c>
      <c r="W13" s="772">
        <f t="shared" si="2"/>
        <v>100</v>
      </c>
      <c r="X13" s="773"/>
      <c r="Y13" s="3005"/>
      <c r="Z13" s="55">
        <f t="shared" si="7"/>
        <v>111</v>
      </c>
      <c r="AA13" s="774">
        <f t="shared" si="3"/>
        <v>1</v>
      </c>
      <c r="AB13" s="774">
        <f t="shared" si="4"/>
        <v>1</v>
      </c>
      <c r="AC13" s="774">
        <f t="shared" si="5"/>
        <v>1</v>
      </c>
    </row>
    <row r="14" spans="1:29" ht="15.75" thickBot="1">
      <c r="A14" s="437"/>
      <c r="B14" s="2608">
        <v>111</v>
      </c>
      <c r="C14" s="438"/>
      <c r="D14" s="439">
        <v>100</v>
      </c>
      <c r="E14" s="438"/>
      <c r="F14" s="439">
        <f>SUMIF(68:68,E14,69:69)-SUMIF(68:68,C14,69:69)+100</f>
        <v>100</v>
      </c>
      <c r="G14" s="2698"/>
      <c r="H14" s="439">
        <f>SUMIF(68:68,G14,69:69)-SUMIF(68:68,C14,69:69)+100</f>
        <v>100</v>
      </c>
      <c r="I14" s="470"/>
      <c r="J14" s="439">
        <f>SUMIF(68:68,I14,69:69)-SUMIF(68:68,C14,69:69)+100</f>
        <v>100</v>
      </c>
      <c r="K14" s="614"/>
      <c r="L14" s="1144"/>
      <c r="M14" s="1135"/>
      <c r="N14" s="1135"/>
      <c r="O14" s="1143"/>
      <c r="P14" s="3151"/>
      <c r="Q14" s="1800">
        <f t="shared" si="6"/>
        <v>111</v>
      </c>
      <c r="R14" s="771" t="s">
        <v>17</v>
      </c>
      <c r="S14" s="772">
        <f t="shared" si="0"/>
        <v>100</v>
      </c>
      <c r="T14" s="771" t="s">
        <v>17</v>
      </c>
      <c r="U14" s="772">
        <f t="shared" si="1"/>
        <v>100</v>
      </c>
      <c r="V14" s="771" t="s">
        <v>17</v>
      </c>
      <c r="W14" s="772">
        <f t="shared" si="2"/>
        <v>100</v>
      </c>
      <c r="X14" s="773"/>
      <c r="Y14" s="3005"/>
      <c r="Z14" s="55">
        <f t="shared" si="7"/>
        <v>111</v>
      </c>
      <c r="AA14" s="774">
        <f t="shared" si="3"/>
        <v>1</v>
      </c>
      <c r="AB14" s="774">
        <f t="shared" si="4"/>
        <v>1</v>
      </c>
      <c r="AC14" s="774">
        <f t="shared" si="5"/>
        <v>1</v>
      </c>
    </row>
    <row r="15" spans="1:29" ht="57">
      <c r="A15" s="441" t="s">
        <v>2557</v>
      </c>
      <c r="B15" s="69" t="s">
        <v>2701</v>
      </c>
      <c r="C15" s="2699"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158" t="s">
        <v>2558</v>
      </c>
      <c r="Q15" s="1815" t="str">
        <f t="shared" si="6"/>
        <v>产业集聚程度</v>
      </c>
      <c r="R15" s="775" t="s">
        <v>17</v>
      </c>
      <c r="S15" s="776">
        <f t="shared" si="0"/>
        <v>100</v>
      </c>
      <c r="T15" s="775" t="s">
        <v>17</v>
      </c>
      <c r="U15" s="776">
        <f t="shared" si="1"/>
        <v>100</v>
      </c>
      <c r="V15" s="775" t="s">
        <v>17</v>
      </c>
      <c r="W15" s="776">
        <f t="shared" si="2"/>
        <v>100</v>
      </c>
      <c r="X15" s="1818"/>
      <c r="Y15" s="3158" t="s">
        <v>2558</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159"/>
      <c r="Q16" s="1815"/>
      <c r="R16" s="775"/>
      <c r="S16" s="776"/>
      <c r="T16" s="775"/>
      <c r="U16" s="776"/>
      <c r="V16" s="775"/>
      <c r="W16" s="776"/>
      <c r="X16" s="1818"/>
      <c r="Y16" s="3159"/>
      <c r="Z16" s="1819"/>
      <c r="AA16" s="1816">
        <v>1</v>
      </c>
      <c r="AB16" s="1816">
        <v>1</v>
      </c>
      <c r="AC16" s="1816">
        <v>1</v>
      </c>
    </row>
    <row r="17" spans="1:29" ht="85.5">
      <c r="A17" s="429"/>
      <c r="B17" s="452" t="s">
        <v>2095</v>
      </c>
      <c r="C17" s="2613"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159"/>
      <c r="Q17" s="1815" t="str">
        <f>B17</f>
        <v>交通便捷度</v>
      </c>
      <c r="R17" s="775" t="s">
        <v>17</v>
      </c>
      <c r="S17" s="776">
        <f>F17</f>
        <v>100</v>
      </c>
      <c r="T17" s="775" t="s">
        <v>17</v>
      </c>
      <c r="U17" s="776">
        <f>H17</f>
        <v>100</v>
      </c>
      <c r="V17" s="775" t="s">
        <v>17</v>
      </c>
      <c r="W17" s="776">
        <f>J17</f>
        <v>100</v>
      </c>
      <c r="X17" s="1818"/>
      <c r="Y17" s="3159"/>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43"/>
      <c r="P18" s="3159"/>
      <c r="Q18" s="1815"/>
      <c r="R18" s="775"/>
      <c r="S18" s="776"/>
      <c r="T18" s="775"/>
      <c r="U18" s="776"/>
      <c r="V18" s="775"/>
      <c r="W18" s="776"/>
      <c r="X18" s="1818"/>
      <c r="Y18" s="3159"/>
      <c r="Z18" s="1819"/>
      <c r="AA18" s="1816">
        <v>1</v>
      </c>
      <c r="AB18" s="1816">
        <v>1</v>
      </c>
      <c r="AC18" s="1816">
        <v>1</v>
      </c>
    </row>
    <row r="19" spans="1:29" ht="42.75">
      <c r="A19" s="429"/>
      <c r="B19" s="452" t="s">
        <v>2686</v>
      </c>
      <c r="C19" s="2613"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159"/>
      <c r="Q19" s="1815" t="str">
        <f>B19</f>
        <v>公共配套设施</v>
      </c>
      <c r="R19" s="775" t="s">
        <v>17</v>
      </c>
      <c r="S19" s="776">
        <f>F19</f>
        <v>100</v>
      </c>
      <c r="T19" s="775" t="s">
        <v>17</v>
      </c>
      <c r="U19" s="776">
        <f>H19</f>
        <v>100</v>
      </c>
      <c r="V19" s="775" t="s">
        <v>17</v>
      </c>
      <c r="W19" s="776">
        <f>J19</f>
        <v>100</v>
      </c>
      <c r="X19" s="1818"/>
      <c r="Y19" s="3159"/>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43"/>
      <c r="P20" s="3159"/>
      <c r="Q20" s="1815"/>
      <c r="R20" s="775"/>
      <c r="S20" s="776"/>
      <c r="T20" s="775"/>
      <c r="U20" s="776"/>
      <c r="V20" s="775"/>
      <c r="W20" s="776"/>
      <c r="X20" s="1818"/>
      <c r="Y20" s="3159"/>
      <c r="Z20" s="1819"/>
      <c r="AA20" s="1816">
        <v>1</v>
      </c>
      <c r="AB20" s="1816">
        <v>1</v>
      </c>
      <c r="AC20" s="1816">
        <v>1</v>
      </c>
    </row>
    <row r="21" spans="1:29" ht="28.5">
      <c r="A21" s="429"/>
      <c r="B21" s="1388" t="s">
        <v>2687</v>
      </c>
      <c r="C21" s="2613"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159"/>
      <c r="Q21" s="1815" t="str">
        <f>B21</f>
        <v>基础设施水平</v>
      </c>
      <c r="R21" s="775" t="s">
        <v>17</v>
      </c>
      <c r="S21" s="776">
        <f>F21</f>
        <v>100</v>
      </c>
      <c r="T21" s="775" t="s">
        <v>17</v>
      </c>
      <c r="U21" s="776">
        <f>H21</f>
        <v>100</v>
      </c>
      <c r="V21" s="775" t="s">
        <v>17</v>
      </c>
      <c r="W21" s="776">
        <f>J21</f>
        <v>100</v>
      </c>
      <c r="X21" s="1818"/>
      <c r="Y21" s="3159"/>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43"/>
      <c r="P22" s="3159"/>
      <c r="Q22" s="1815"/>
      <c r="R22" s="775"/>
      <c r="S22" s="776"/>
      <c r="T22" s="775"/>
      <c r="U22" s="776"/>
      <c r="V22" s="775"/>
      <c r="W22" s="776"/>
      <c r="X22" s="1818"/>
      <c r="Y22" s="3159"/>
      <c r="Z22" s="1819"/>
      <c r="AA22" s="1816">
        <v>1</v>
      </c>
      <c r="AB22" s="1816">
        <v>1</v>
      </c>
      <c r="AC22" s="1816">
        <v>1</v>
      </c>
    </row>
    <row r="23" spans="1:29" ht="71.25">
      <c r="A23" s="429"/>
      <c r="B23" s="452" t="s">
        <v>2688</v>
      </c>
      <c r="C23" s="2613"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159"/>
      <c r="Q23" s="1815" t="str">
        <f>B23</f>
        <v>环境质量</v>
      </c>
      <c r="R23" s="775" t="s">
        <v>17</v>
      </c>
      <c r="S23" s="776">
        <f>F23</f>
        <v>100</v>
      </c>
      <c r="T23" s="775" t="s">
        <v>17</v>
      </c>
      <c r="U23" s="776">
        <f>H23</f>
        <v>100</v>
      </c>
      <c r="V23" s="775" t="s">
        <v>17</v>
      </c>
      <c r="W23" s="776">
        <f>J23</f>
        <v>100</v>
      </c>
      <c r="X23" s="1818"/>
      <c r="Y23" s="3159"/>
      <c r="Z23" s="1819" t="str">
        <f>Q23</f>
        <v>环境质量</v>
      </c>
      <c r="AA23" s="1816">
        <f t="shared" si="3"/>
        <v>1</v>
      </c>
      <c r="AB23" s="1816">
        <f t="shared" si="4"/>
        <v>1</v>
      </c>
      <c r="AC23" s="1816">
        <f t="shared" si="5"/>
        <v>1</v>
      </c>
    </row>
    <row r="24" spans="1:29" ht="15">
      <c r="A24" s="429"/>
      <c r="B24" s="1388"/>
      <c r="C24" s="448"/>
      <c r="D24" s="449"/>
      <c r="E24" s="2611"/>
      <c r="F24" s="450"/>
      <c r="G24" s="2610"/>
      <c r="H24" s="449"/>
      <c r="I24" s="2611"/>
      <c r="J24" s="449"/>
      <c r="K24" s="616"/>
      <c r="L24" s="1144"/>
      <c r="M24" s="1135"/>
      <c r="N24" s="1135"/>
      <c r="O24" s="1143"/>
      <c r="P24" s="3159"/>
      <c r="Q24" s="1815"/>
      <c r="R24" s="775"/>
      <c r="S24" s="776"/>
      <c r="T24" s="775"/>
      <c r="U24" s="776"/>
      <c r="V24" s="775"/>
      <c r="W24" s="776"/>
      <c r="X24" s="1818"/>
      <c r="Y24" s="3159"/>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159"/>
      <c r="Q25" s="1815">
        <f>B25</f>
        <v>111</v>
      </c>
      <c r="R25" s="775" t="s">
        <v>17</v>
      </c>
      <c r="S25" s="776">
        <f>F25</f>
        <v>100</v>
      </c>
      <c r="T25" s="775" t="s">
        <v>17</v>
      </c>
      <c r="U25" s="776">
        <f>H25</f>
        <v>100</v>
      </c>
      <c r="V25" s="775" t="s">
        <v>17</v>
      </c>
      <c r="W25" s="776">
        <f>J25</f>
        <v>100</v>
      </c>
      <c r="X25" s="1818"/>
      <c r="Y25" s="3159"/>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159"/>
      <c r="Q26" s="1815">
        <f t="shared" ref="Q26:Q40" si="11">B26</f>
        <v>111</v>
      </c>
      <c r="R26" s="775" t="s">
        <v>17</v>
      </c>
      <c r="S26" s="776">
        <f>F26</f>
        <v>100</v>
      </c>
      <c r="T26" s="775" t="s">
        <v>17</v>
      </c>
      <c r="U26" s="776">
        <f>H26</f>
        <v>100</v>
      </c>
      <c r="V26" s="775" t="s">
        <v>17</v>
      </c>
      <c r="W26" s="776">
        <f>J26</f>
        <v>100</v>
      </c>
      <c r="X26" s="1818"/>
      <c r="Y26" s="3159"/>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159"/>
      <c r="Q27" s="1800">
        <f t="shared" si="11"/>
        <v>111</v>
      </c>
      <c r="R27" s="771" t="s">
        <v>17</v>
      </c>
      <c r="S27" s="772">
        <f>F27</f>
        <v>100</v>
      </c>
      <c r="T27" s="771" t="s">
        <v>17</v>
      </c>
      <c r="U27" s="772">
        <f>H27</f>
        <v>100</v>
      </c>
      <c r="V27" s="771" t="s">
        <v>17</v>
      </c>
      <c r="W27" s="772">
        <f>J27</f>
        <v>100</v>
      </c>
      <c r="X27" s="773"/>
      <c r="Y27" s="3159"/>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159"/>
      <c r="Q28" s="1815">
        <f t="shared" si="11"/>
        <v>111</v>
      </c>
      <c r="R28" s="775" t="s">
        <v>17</v>
      </c>
      <c r="S28" s="776">
        <f t="shared" ref="S28:S40" si="12">F28</f>
        <v>100</v>
      </c>
      <c r="T28" s="775" t="s">
        <v>17</v>
      </c>
      <c r="U28" s="776">
        <f t="shared" ref="U28:U40" si="13">H28</f>
        <v>100</v>
      </c>
      <c r="V28" s="775" t="s">
        <v>17</v>
      </c>
      <c r="W28" s="776">
        <f t="shared" ref="W28:W40" si="14">J28</f>
        <v>100</v>
      </c>
      <c r="X28" s="1818"/>
      <c r="Y28" s="3159"/>
      <c r="Z28" s="1819">
        <f t="shared" ref="Z28:Z40" si="15">Q28</f>
        <v>111</v>
      </c>
      <c r="AA28" s="1816">
        <f t="shared" si="3"/>
        <v>1</v>
      </c>
      <c r="AB28" s="1816">
        <f t="shared" si="4"/>
        <v>1</v>
      </c>
      <c r="AC28" s="1816">
        <f t="shared" si="5"/>
        <v>1</v>
      </c>
    </row>
    <row r="29" spans="1:29" ht="15">
      <c r="A29" s="467" t="s">
        <v>2561</v>
      </c>
      <c r="B29" s="71" t="s">
        <v>2691</v>
      </c>
      <c r="C29" s="2685"/>
      <c r="D29" s="468">
        <v>100</v>
      </c>
      <c r="E29" s="2685"/>
      <c r="F29" s="462">
        <f>SUMIF(88:88,E29,89:89)-SUMIF(88:88,C29,89:89)+100</f>
        <v>100</v>
      </c>
      <c r="G29" s="2685"/>
      <c r="H29" s="436">
        <f>SUMIF(88:88,G29,89:89)-SUMIF(88:88,C29,89:89)+100</f>
        <v>100</v>
      </c>
      <c r="I29" s="2685"/>
      <c r="J29" s="468">
        <f>SUMIF(88:88,I29,89:89)-SUMIF(88:88,C29,89:89)+100</f>
        <v>100</v>
      </c>
      <c r="K29" s="613"/>
      <c r="L29" s="1144"/>
      <c r="M29" s="1135"/>
      <c r="N29" s="1135"/>
      <c r="O29" s="1143"/>
      <c r="P29" s="3240" t="s">
        <v>2563</v>
      </c>
      <c r="Q29" s="1815" t="str">
        <f t="shared" si="11"/>
        <v>建筑类型</v>
      </c>
      <c r="R29" s="775" t="s">
        <v>17</v>
      </c>
      <c r="S29" s="776">
        <f t="shared" si="12"/>
        <v>100</v>
      </c>
      <c r="T29" s="775" t="s">
        <v>17</v>
      </c>
      <c r="U29" s="776">
        <f t="shared" si="13"/>
        <v>100</v>
      </c>
      <c r="V29" s="775" t="s">
        <v>17</v>
      </c>
      <c r="W29" s="776">
        <f t="shared" si="14"/>
        <v>100</v>
      </c>
      <c r="X29" s="1818"/>
      <c r="Y29" s="3163" t="s">
        <v>2563</v>
      </c>
      <c r="Z29" s="1819" t="str">
        <f t="shared" si="15"/>
        <v>建筑类型</v>
      </c>
      <c r="AA29" s="1816">
        <f t="shared" si="3"/>
        <v>1</v>
      </c>
      <c r="AB29" s="1816">
        <f t="shared" si="4"/>
        <v>1</v>
      </c>
      <c r="AC29" s="1816">
        <f t="shared" si="5"/>
        <v>1</v>
      </c>
    </row>
    <row r="30" spans="1:29" s="472" customFormat="1" ht="15">
      <c r="A30" s="469"/>
      <c r="B30" s="423" t="s">
        <v>2564</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163"/>
      <c r="Q30" s="777" t="str">
        <f t="shared" si="11"/>
        <v>项目建筑规模</v>
      </c>
      <c r="R30" s="778" t="s">
        <v>17</v>
      </c>
      <c r="S30" s="779" t="e">
        <f t="shared" si="12"/>
        <v>#N/A</v>
      </c>
      <c r="T30" s="778" t="s">
        <v>17</v>
      </c>
      <c r="U30" s="779" t="e">
        <f t="shared" si="13"/>
        <v>#N/A</v>
      </c>
      <c r="V30" s="778" t="s">
        <v>17</v>
      </c>
      <c r="W30" s="779" t="e">
        <f t="shared" si="14"/>
        <v>#N/A</v>
      </c>
      <c r="X30" s="780"/>
      <c r="Y30" s="3163"/>
      <c r="Z30" s="781" t="str">
        <f t="shared" si="15"/>
        <v>项目建筑规模</v>
      </c>
      <c r="AA30" s="1816" t="e">
        <f t="shared" si="3"/>
        <v>#N/A</v>
      </c>
      <c r="AB30" s="1816" t="e">
        <f t="shared" si="4"/>
        <v>#N/A</v>
      </c>
      <c r="AC30" s="1816" t="e">
        <f t="shared" si="5"/>
        <v>#N/A</v>
      </c>
    </row>
    <row r="31" spans="1:29" ht="15">
      <c r="A31" s="473"/>
      <c r="B31" s="423" t="s">
        <v>2565</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163"/>
      <c r="Q31" s="1815" t="str">
        <f t="shared" si="11"/>
        <v>建筑结构</v>
      </c>
      <c r="R31" s="775" t="s">
        <v>17</v>
      </c>
      <c r="S31" s="776">
        <f t="shared" si="12"/>
        <v>100</v>
      </c>
      <c r="T31" s="775" t="s">
        <v>17</v>
      </c>
      <c r="U31" s="776">
        <f t="shared" si="13"/>
        <v>100</v>
      </c>
      <c r="V31" s="775" t="s">
        <v>17</v>
      </c>
      <c r="W31" s="776">
        <f t="shared" si="14"/>
        <v>100</v>
      </c>
      <c r="X31" s="1818"/>
      <c r="Y31" s="3163"/>
      <c r="Z31" s="1819" t="str">
        <f t="shared" si="15"/>
        <v>建筑结构</v>
      </c>
      <c r="AA31" s="1816">
        <f t="shared" si="3"/>
        <v>1</v>
      </c>
      <c r="AB31" s="1816">
        <f t="shared" si="4"/>
        <v>1</v>
      </c>
      <c r="AC31" s="1816">
        <f t="shared" si="5"/>
        <v>1</v>
      </c>
    </row>
    <row r="32" spans="1:29" ht="15">
      <c r="A32" s="473"/>
      <c r="B32" s="423" t="s">
        <v>2659</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163"/>
      <c r="Q32" s="1815" t="str">
        <f t="shared" si="11"/>
        <v>公共部分装修</v>
      </c>
      <c r="R32" s="775" t="s">
        <v>17</v>
      </c>
      <c r="S32" s="776">
        <f t="shared" si="12"/>
        <v>100</v>
      </c>
      <c r="T32" s="775" t="s">
        <v>17</v>
      </c>
      <c r="U32" s="776">
        <f t="shared" si="13"/>
        <v>100</v>
      </c>
      <c r="V32" s="775" t="s">
        <v>17</v>
      </c>
      <c r="W32" s="776">
        <f t="shared" si="14"/>
        <v>100</v>
      </c>
      <c r="X32" s="1818"/>
      <c r="Y32" s="3163"/>
      <c r="Z32" s="1819" t="str">
        <f t="shared" si="15"/>
        <v>公共部分装修</v>
      </c>
      <c r="AA32" s="1816">
        <f t="shared" si="3"/>
        <v>1</v>
      </c>
      <c r="AB32" s="1816">
        <f t="shared" si="4"/>
        <v>1</v>
      </c>
      <c r="AC32" s="1816">
        <f t="shared" si="5"/>
        <v>1</v>
      </c>
    </row>
    <row r="33" spans="1:29" ht="15">
      <c r="A33" s="473"/>
      <c r="B33" s="423" t="s">
        <v>2660</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163"/>
      <c r="Q33" s="1815" t="str">
        <f t="shared" si="11"/>
        <v>成新度</v>
      </c>
      <c r="R33" s="775" t="s">
        <v>17</v>
      </c>
      <c r="S33" s="776" t="e">
        <f t="shared" si="12"/>
        <v>#N/A</v>
      </c>
      <c r="T33" s="775" t="s">
        <v>17</v>
      </c>
      <c r="U33" s="776" t="e">
        <f t="shared" si="13"/>
        <v>#N/A</v>
      </c>
      <c r="V33" s="775" t="s">
        <v>17</v>
      </c>
      <c r="W33" s="776" t="e">
        <f t="shared" si="14"/>
        <v>#N/A</v>
      </c>
      <c r="X33" s="1818"/>
      <c r="Y33" s="3163"/>
      <c r="Z33" s="1819" t="str">
        <f t="shared" si="15"/>
        <v>成新度</v>
      </c>
      <c r="AA33" s="1816" t="e">
        <f t="shared" si="3"/>
        <v>#N/A</v>
      </c>
      <c r="AB33" s="1816" t="e">
        <f t="shared" si="4"/>
        <v>#N/A</v>
      </c>
      <c r="AC33" s="1816" t="e">
        <f t="shared" si="5"/>
        <v>#N/A</v>
      </c>
    </row>
    <row r="34" spans="1:29" s="117" customFormat="1" ht="15">
      <c r="A34" s="474"/>
      <c r="B34" s="423" t="s">
        <v>2693</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163"/>
      <c r="Q34" s="1800" t="str">
        <f t="shared" si="11"/>
        <v>物业管理</v>
      </c>
      <c r="R34" s="771" t="s">
        <v>17</v>
      </c>
      <c r="S34" s="772">
        <f t="shared" si="12"/>
        <v>100</v>
      </c>
      <c r="T34" s="771" t="s">
        <v>17</v>
      </c>
      <c r="U34" s="772">
        <f t="shared" si="13"/>
        <v>100</v>
      </c>
      <c r="V34" s="771" t="s">
        <v>17</v>
      </c>
      <c r="W34" s="772">
        <f t="shared" si="14"/>
        <v>100</v>
      </c>
      <c r="X34" s="773"/>
      <c r="Y34" s="3163"/>
      <c r="Z34" s="55" t="str">
        <f t="shared" si="15"/>
        <v>物业管理</v>
      </c>
      <c r="AA34" s="774">
        <f t="shared" si="3"/>
        <v>1</v>
      </c>
      <c r="AB34" s="774">
        <f t="shared" si="4"/>
        <v>1</v>
      </c>
      <c r="AC34" s="774">
        <f t="shared" si="5"/>
        <v>1</v>
      </c>
    </row>
    <row r="35" spans="1:29" ht="15">
      <c r="A35" s="473"/>
      <c r="B35" s="423" t="s">
        <v>2661</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163" t="s">
        <v>2563</v>
      </c>
      <c r="Q35" s="1815" t="str">
        <f t="shared" si="11"/>
        <v>市政基础设施</v>
      </c>
      <c r="R35" s="775" t="s">
        <v>17</v>
      </c>
      <c r="S35" s="776">
        <f t="shared" si="12"/>
        <v>100</v>
      </c>
      <c r="T35" s="775" t="s">
        <v>17</v>
      </c>
      <c r="U35" s="776">
        <f t="shared" si="13"/>
        <v>100</v>
      </c>
      <c r="V35" s="775" t="s">
        <v>17</v>
      </c>
      <c r="W35" s="776">
        <f t="shared" si="14"/>
        <v>100</v>
      </c>
      <c r="X35" s="1818"/>
      <c r="Y35" s="3163" t="s">
        <v>2563</v>
      </c>
      <c r="Z35" s="1819" t="str">
        <f t="shared" si="15"/>
        <v>市政基础设施</v>
      </c>
      <c r="AA35" s="1816">
        <f t="shared" si="3"/>
        <v>1</v>
      </c>
      <c r="AB35" s="1816">
        <f t="shared" si="4"/>
        <v>1</v>
      </c>
      <c r="AC35" s="1816">
        <f t="shared" si="5"/>
        <v>1</v>
      </c>
    </row>
    <row r="36" spans="1:29" ht="15">
      <c r="A36" s="473"/>
      <c r="B36" s="423" t="s">
        <v>2666</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163"/>
      <c r="Q36" s="1815" t="str">
        <f t="shared" si="11"/>
        <v>内部装修</v>
      </c>
      <c r="R36" s="775" t="s">
        <v>17</v>
      </c>
      <c r="S36" s="776">
        <f t="shared" si="12"/>
        <v>100</v>
      </c>
      <c r="T36" s="775" t="s">
        <v>17</v>
      </c>
      <c r="U36" s="776">
        <f t="shared" si="13"/>
        <v>100</v>
      </c>
      <c r="V36" s="775" t="s">
        <v>17</v>
      </c>
      <c r="W36" s="776">
        <f t="shared" si="14"/>
        <v>100</v>
      </c>
      <c r="X36" s="1818"/>
      <c r="Y36" s="3163"/>
      <c r="Z36" s="1819" t="str">
        <f t="shared" si="15"/>
        <v>内部装修</v>
      </c>
      <c r="AA36" s="1816">
        <f t="shared" si="3"/>
        <v>1</v>
      </c>
      <c r="AB36" s="1816">
        <f t="shared" si="4"/>
        <v>1</v>
      </c>
      <c r="AC36" s="1816">
        <f t="shared" si="5"/>
        <v>1</v>
      </c>
    </row>
    <row r="37" spans="1:29" ht="15">
      <c r="A37" s="473"/>
      <c r="B37" s="423" t="s">
        <v>2702</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163"/>
      <c r="Q37" s="1815" t="str">
        <f t="shared" si="11"/>
        <v>内部装修状况</v>
      </c>
      <c r="R37" s="775" t="s">
        <v>17</v>
      </c>
      <c r="S37" s="776">
        <f t="shared" si="12"/>
        <v>100</v>
      </c>
      <c r="T37" s="775" t="s">
        <v>17</v>
      </c>
      <c r="U37" s="776">
        <f t="shared" si="13"/>
        <v>100</v>
      </c>
      <c r="V37" s="775" t="s">
        <v>17</v>
      </c>
      <c r="W37" s="776">
        <f t="shared" si="14"/>
        <v>100</v>
      </c>
      <c r="X37" s="1818"/>
      <c r="Y37" s="3163"/>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163"/>
      <c r="Q38" s="777">
        <f t="shared" si="11"/>
        <v>111</v>
      </c>
      <c r="R38" s="778" t="s">
        <v>17</v>
      </c>
      <c r="S38" s="779">
        <f t="shared" si="12"/>
        <v>100</v>
      </c>
      <c r="T38" s="778" t="s">
        <v>17</v>
      </c>
      <c r="U38" s="779">
        <f t="shared" si="13"/>
        <v>100</v>
      </c>
      <c r="V38" s="778" t="s">
        <v>17</v>
      </c>
      <c r="W38" s="779">
        <f t="shared" si="14"/>
        <v>100</v>
      </c>
      <c r="X38" s="780"/>
      <c r="Y38" s="3163"/>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163"/>
      <c r="Q39" s="1815">
        <f t="shared" si="11"/>
        <v>111</v>
      </c>
      <c r="R39" s="775" t="s">
        <v>17</v>
      </c>
      <c r="S39" s="776">
        <f t="shared" si="12"/>
        <v>100</v>
      </c>
      <c r="T39" s="775" t="s">
        <v>17</v>
      </c>
      <c r="U39" s="776">
        <f t="shared" si="13"/>
        <v>100</v>
      </c>
      <c r="V39" s="775" t="s">
        <v>17</v>
      </c>
      <c r="W39" s="776">
        <f t="shared" si="14"/>
        <v>100</v>
      </c>
      <c r="X39" s="1818"/>
      <c r="Y39" s="3163"/>
      <c r="Z39" s="1819">
        <f t="shared" si="15"/>
        <v>111</v>
      </c>
      <c r="AA39" s="1816">
        <f t="shared" si="3"/>
        <v>1</v>
      </c>
      <c r="AB39" s="1816">
        <f t="shared" si="4"/>
        <v>1</v>
      </c>
      <c r="AC39" s="1816">
        <f t="shared" si="5"/>
        <v>1</v>
      </c>
    </row>
    <row r="40" spans="1:29" ht="15.75" thickBot="1">
      <c r="A40" s="479"/>
      <c r="B40" s="2608">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164"/>
      <c r="Q40" s="1815">
        <f t="shared" si="11"/>
        <v>111</v>
      </c>
      <c r="R40" s="775" t="s">
        <v>17</v>
      </c>
      <c r="S40" s="776">
        <f t="shared" si="12"/>
        <v>100</v>
      </c>
      <c r="T40" s="775" t="s">
        <v>17</v>
      </c>
      <c r="U40" s="776">
        <f t="shared" si="13"/>
        <v>100</v>
      </c>
      <c r="V40" s="775" t="s">
        <v>17</v>
      </c>
      <c r="W40" s="776">
        <f t="shared" si="14"/>
        <v>100</v>
      </c>
      <c r="X40" s="1818"/>
      <c r="Y40" s="3164"/>
      <c r="Z40" s="1819">
        <f t="shared" si="15"/>
        <v>111</v>
      </c>
      <c r="AA40" s="1816">
        <f t="shared" si="3"/>
        <v>1</v>
      </c>
      <c r="AB40" s="1816">
        <f t="shared" si="4"/>
        <v>1</v>
      </c>
      <c r="AC40" s="1816">
        <f t="shared" si="5"/>
        <v>1</v>
      </c>
    </row>
    <row r="41" spans="1:29" ht="15">
      <c r="A41" s="480" t="s">
        <v>2575</v>
      </c>
      <c r="B41" s="481"/>
      <c r="C41" s="1411" t="s">
        <v>1</v>
      </c>
      <c r="D41" s="1412"/>
      <c r="E41" s="1413"/>
      <c r="F41" s="1414"/>
      <c r="G41" s="1415"/>
      <c r="H41" s="1416"/>
      <c r="I41" s="1413"/>
      <c r="J41" s="1416"/>
      <c r="K41" s="784"/>
      <c r="L41" s="1147"/>
      <c r="M41" s="1148"/>
      <c r="N41" s="1135"/>
      <c r="O41" s="1148"/>
      <c r="P41" s="3151" t="str">
        <f>A41</f>
        <v>成交单价（元/平方米）</v>
      </c>
      <c r="Q41" s="3151"/>
      <c r="R41" s="3152">
        <f>E41</f>
        <v>0</v>
      </c>
      <c r="S41" s="3152"/>
      <c r="T41" s="3152">
        <f>G41</f>
        <v>0</v>
      </c>
      <c r="U41" s="3152"/>
      <c r="V41" s="3152">
        <f>I41</f>
        <v>0</v>
      </c>
      <c r="W41" s="3152"/>
      <c r="X41" s="760"/>
      <c r="Y41" s="782"/>
      <c r="Z41" s="760"/>
      <c r="AA41" s="760"/>
      <c r="AB41" s="760"/>
      <c r="AC41" s="760"/>
    </row>
    <row r="42" spans="1:29" ht="15.75" thickBot="1">
      <c r="A42" s="487" t="s">
        <v>2667</v>
      </c>
      <c r="B42" s="488"/>
      <c r="C42" s="1417" t="e">
        <f>R43</f>
        <v>#DIV/0!</v>
      </c>
      <c r="D42" s="1418"/>
      <c r="E42" s="1419" t="e">
        <f>R42</f>
        <v>#DIV/0!</v>
      </c>
      <c r="F42" s="1419"/>
      <c r="G42" s="1417" t="e">
        <f>T42</f>
        <v>#DIV/0!</v>
      </c>
      <c r="H42" s="1418"/>
      <c r="I42" s="1419" t="e">
        <f>V42</f>
        <v>#DIV/0!</v>
      </c>
      <c r="J42" s="1418"/>
      <c r="K42" s="785"/>
      <c r="L42" s="1147"/>
      <c r="M42" s="1148"/>
      <c r="N42" s="1135"/>
      <c r="O42" s="1148"/>
      <c r="P42" s="3151" t="str">
        <f>A42</f>
        <v>比较价值（元/平方米）</v>
      </c>
      <c r="Q42" s="3151"/>
      <c r="R42" s="3152" t="e">
        <f>IF(F1="售价",ROUND(PRODUCT(R41,AA7:AA40),0),ROUND(PRODUCT(R41,AA7:AA40),1))</f>
        <v>#DIV/0!</v>
      </c>
      <c r="S42" s="3152"/>
      <c r="T42" s="3152" t="e">
        <f>IF(F1="售价",ROUND(PRODUCT(T41,AB7:AB40),0),ROUND(PRODUCT(T41,AB7:AB40),1))</f>
        <v>#DIV/0!</v>
      </c>
      <c r="U42" s="3152"/>
      <c r="V42" s="3152" t="e">
        <f>IF(F1="售价",ROUND(PRODUCT(V41,AC7:AC40),0),ROUND(PRODUCT(V41,AC7:AC40),1))</f>
        <v>#DIV/0!</v>
      </c>
      <c r="W42" s="3152"/>
      <c r="X42" s="760"/>
      <c r="Y42" s="760"/>
      <c r="Z42" s="760"/>
      <c r="AA42" s="760"/>
      <c r="AB42" s="760"/>
      <c r="AC42" s="760"/>
    </row>
    <row r="43" spans="1:29" ht="15.75" thickBot="1">
      <c r="A43" s="493" t="s">
        <v>2668</v>
      </c>
      <c r="B43" s="494"/>
      <c r="C43" s="1421" t="e">
        <f>R43</f>
        <v>#DIV/0!</v>
      </c>
      <c r="D43" s="1421"/>
      <c r="E43" s="1421"/>
      <c r="F43" s="1421"/>
      <c r="G43" s="1421"/>
      <c r="H43" s="1421"/>
      <c r="I43" s="1421"/>
      <c r="J43" s="1421"/>
      <c r="K43" s="786"/>
      <c r="L43" s="1147"/>
      <c r="M43" s="1148"/>
      <c r="N43" s="1148"/>
      <c r="O43" s="1148"/>
      <c r="P43" s="3229" t="str">
        <f>A43</f>
        <v>估价对象XX用房的比较价值（楼面单价，元/平方米）</v>
      </c>
      <c r="Q43" s="3230"/>
      <c r="R43" s="3231" t="e">
        <f>IF(F1="售价",ROUND(AVERAGE(R42:V42),0),ROUND(AVERAGE(R42:V42),1))</f>
        <v>#DIV/0!</v>
      </c>
      <c r="S43" s="3231"/>
      <c r="T43" s="3231"/>
      <c r="U43" s="3231"/>
      <c r="V43" s="3231"/>
      <c r="W43" s="3231"/>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2672</v>
      </c>
      <c r="B51" s="760"/>
      <c r="C51" s="765"/>
      <c r="D51" s="765"/>
      <c r="E51" s="765"/>
      <c r="F51" s="766"/>
      <c r="G51" s="766"/>
      <c r="H51" s="765"/>
      <c r="I51" s="765"/>
      <c r="J51" s="765"/>
      <c r="K51" s="1164"/>
      <c r="L51" s="1165"/>
      <c r="M51" s="1163"/>
      <c r="N51" s="1163"/>
      <c r="O51" s="1163"/>
      <c r="P51" s="504"/>
      <c r="Q51" s="505"/>
    </row>
    <row r="52" spans="1:17" s="509" customFormat="1" ht="15">
      <c r="A52" s="506" t="s">
        <v>2546</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2583</v>
      </c>
      <c r="B54" s="517"/>
      <c r="C54" s="518"/>
      <c r="D54" s="519"/>
      <c r="E54" s="519"/>
      <c r="F54" s="519"/>
      <c r="G54" s="519"/>
      <c r="H54" s="519"/>
      <c r="I54" s="519"/>
      <c r="J54" s="519"/>
      <c r="K54" s="519"/>
      <c r="L54" s="519"/>
      <c r="M54" s="520"/>
      <c r="N54" s="519"/>
      <c r="O54" s="521"/>
      <c r="P54" s="505"/>
      <c r="Q54" s="505"/>
    </row>
    <row r="55" spans="1:17" s="117" customFormat="1" ht="15">
      <c r="A55" s="522" t="s">
        <v>2548</v>
      </c>
      <c r="B55" s="511"/>
      <c r="C55" s="523" t="s">
        <v>2650</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2586</v>
      </c>
      <c r="B57" s="529" t="s">
        <v>2552</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2555</v>
      </c>
      <c r="C59" s="540" t="s">
        <v>2587</v>
      </c>
      <c r="D59" s="540" t="s">
        <v>2588</v>
      </c>
      <c r="E59" s="540" t="s">
        <v>2589</v>
      </c>
      <c r="F59" s="540" t="s">
        <v>2590</v>
      </c>
      <c r="G59" s="540" t="s">
        <v>2591</v>
      </c>
      <c r="H59" s="540" t="s">
        <v>2592</v>
      </c>
      <c r="I59" s="540" t="s">
        <v>2593</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2556</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2557</v>
      </c>
      <c r="B70" s="529" t="s">
        <v>2703</v>
      </c>
      <c r="C70" s="574" t="s">
        <v>2595</v>
      </c>
      <c r="D70" s="574" t="s">
        <v>2596</v>
      </c>
      <c r="E70" s="574" t="s">
        <v>2597</v>
      </c>
      <c r="F70" s="574" t="s">
        <v>2598</v>
      </c>
      <c r="G70" s="574" t="s">
        <v>2599</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2600</v>
      </c>
      <c r="C72" s="579" t="s">
        <v>2595</v>
      </c>
      <c r="D72" s="579" t="s">
        <v>2596</v>
      </c>
      <c r="E72" s="579" t="s">
        <v>2597</v>
      </c>
      <c r="F72" s="579" t="s">
        <v>2598</v>
      </c>
      <c r="G72" s="579" t="s">
        <v>2599</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2601</v>
      </c>
      <c r="C74" s="579" t="s">
        <v>2595</v>
      </c>
      <c r="D74" s="579" t="s">
        <v>2596</v>
      </c>
      <c r="E74" s="579" t="s">
        <v>2597</v>
      </c>
      <c r="F74" s="579" t="s">
        <v>2598</v>
      </c>
      <c r="G74" s="579" t="s">
        <v>2599</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2687</v>
      </c>
      <c r="C76" s="661" t="s">
        <v>2673</v>
      </c>
      <c r="D76" s="661" t="s">
        <v>2674</v>
      </c>
      <c r="E76" s="661" t="s">
        <v>2675</v>
      </c>
      <c r="F76" s="661" t="s">
        <v>2676</v>
      </c>
      <c r="G76" s="661" t="s">
        <v>2677</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2696</v>
      </c>
      <c r="C78" s="579" t="s">
        <v>2595</v>
      </c>
      <c r="D78" s="579" t="s">
        <v>2596</v>
      </c>
      <c r="E78" s="579" t="s">
        <v>2597</v>
      </c>
      <c r="F78" s="579" t="s">
        <v>2598</v>
      </c>
      <c r="G78" s="579" t="s">
        <v>2599</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2"/>
      <c r="B87" s="570"/>
      <c r="C87" s="571"/>
      <c r="D87" s="571"/>
      <c r="E87" s="571"/>
      <c r="F87" s="571"/>
      <c r="G87" s="592"/>
      <c r="H87" s="592"/>
      <c r="I87" s="592"/>
      <c r="J87" s="592"/>
      <c r="K87" s="592"/>
      <c r="L87" s="592"/>
      <c r="M87" s="593"/>
      <c r="N87" s="1157"/>
      <c r="O87" s="1157"/>
      <c r="P87" s="45"/>
      <c r="Q87" s="505"/>
    </row>
    <row r="88" spans="1:17">
      <c r="A88" s="528" t="s">
        <v>2561</v>
      </c>
      <c r="B88" s="529" t="s">
        <v>2610</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2611</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2612</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2614</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2615</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2616</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2618</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2704</v>
      </c>
      <c r="C106" s="579" t="s">
        <v>2595</v>
      </c>
      <c r="D106" s="579" t="s">
        <v>2596</v>
      </c>
      <c r="E106" s="579" t="s">
        <v>2597</v>
      </c>
      <c r="F106" s="579" t="s">
        <v>2598</v>
      </c>
      <c r="G106" s="579" t="s">
        <v>2599</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2"/>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1612</v>
      </c>
    </row>
    <row r="2" spans="1:1">
      <c r="A2" s="1951"/>
    </row>
    <row r="3" spans="1:1" ht="18">
      <c r="A3" s="1952" t="str">
        <f>项目基本情况!B5&amp;"："</f>
        <v>耿海涛：</v>
      </c>
    </row>
    <row r="4" spans="1:1" ht="36">
      <c r="A4" s="1953" t="str">
        <f>"受贵公司委托，我公司对"&amp;项目基本情况!S1&amp;"进行了预评估。"</f>
        <v>受贵公司委托，我公司对北京市朝阳区幸福二村39号楼4层4单元401房地产抵押价值进行了预评估。</v>
      </c>
    </row>
    <row r="5" spans="1:1" ht="18.75">
      <c r="A5" s="1954" t="s">
        <v>1613</v>
      </c>
    </row>
    <row r="6" spans="1:1" ht="18.75">
      <c r="A6" s="1955" t="s">
        <v>1614</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幸福二村39号楼4层4单元401房地产，为耿海涛所有。根据，估价对象（分摊）出让国有建设用地使用权面积为0平方米。根据《房屋所有权证》[X京房权证朝字第712052号]，估价对象建筑面积为898.32平方米。</v>
      </c>
    </row>
    <row r="8" spans="1:1" ht="57.75">
      <c r="A8" s="1956" t="s">
        <v>1615</v>
      </c>
    </row>
    <row r="9" spans="1:1" ht="18.75">
      <c r="A9" s="1955" t="s">
        <v>1616</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幸福二村39号楼4层4单元401房地产,属耿海涛开发建设的办公项目，该项目尚在开发建设中。根据，估价对象（分摊）出让国有建设用地使用权面积为0平方米。根据《房屋所有权证》[X京房权证朝字第712052号]，估价对象规划建筑面积为898.32平方米。</v>
      </c>
    </row>
    <row r="11" spans="1:1" ht="76.5">
      <c r="A11" s="1956" t="s">
        <v>1617</v>
      </c>
    </row>
    <row r="12" spans="1:1" ht="18.75">
      <c r="A12" s="1954" t="s">
        <v>1618</v>
      </c>
    </row>
    <row r="13" spans="1:1" ht="38.25" customHeight="1">
      <c r="A13" s="1957" t="str">
        <f>IF(项目基本情况!B8="抵押",IF(项目基本情况!B5=项目基本情况!B6,定义!C51,定义!B51),定义!D51)</f>
        <v>为估价委托人在向中信银行办理贷款手续过程中，确定房地产抵押贷款额度提供参考依据而评估房地产抵押价值。</v>
      </c>
    </row>
    <row r="14" spans="1:1" ht="18.75">
      <c r="A14" s="1958" t="s">
        <v>1619</v>
      </c>
    </row>
    <row r="15" spans="1:1" ht="18">
      <c r="A15" s="1959" t="str">
        <f>TEXT(项目基本情况!D3,"yyyy年m月d日;;")&amp;IF(项目基本情况!D3=项目基本情况!B3,"（评估专业人员实地查勘之日）","")</f>
        <v>2017年11月14日（评估专业人员实地查勘之日）</v>
      </c>
    </row>
    <row r="16" spans="1:1" ht="18.75">
      <c r="A16" s="1958" t="s">
        <v>1620</v>
      </c>
    </row>
    <row r="17" spans="1:1" ht="75">
      <c r="A17" s="1953" t="s">
        <v>1621</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14日，估价对象规划用途为办公用房，土地取得方式为出让，出让国有建设用地使用权剩余土地使用年限为办公41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实际开发程度为宗地红线外“七通”（即通路、通电、通讯、通上水、通下水、通热、燃气）、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1610</v>
      </c>
    </row>
    <row r="24" spans="1:1" ht="18">
      <c r="A24" s="1960" t="str">
        <f>"本次评估采用的主估价方法为"&amp;结果表!K4&amp;"和"&amp;结果表!L4&amp;"。"</f>
        <v>本次评估采用的主估价方法为比较法和收益法。</v>
      </c>
    </row>
    <row r="25" spans="1:1" ht="18">
      <c r="A25" s="1960"/>
    </row>
    <row r="26" spans="1:1" ht="18.75">
      <c r="A26" s="1961" t="s">
        <v>1611</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2705</v>
      </c>
      <c r="B1" s="1624"/>
      <c r="C1" s="1625" t="s">
        <v>2528</v>
      </c>
      <c r="D1" s="1626"/>
      <c r="E1" s="1627"/>
      <c r="F1" s="2590"/>
      <c r="G1" s="1628" t="s">
        <v>2641</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2325</v>
      </c>
      <c r="B2" s="1422" t="e">
        <f ca="1">IF(C2="——",IF(B37="元/平方米",ROUND(C39*D3/10000,0),ROUND(F3*C39/10000,0)),IF(B37="元/平方米",ROUND(C39*D3/10000,0),ROUND(F3*C39/10000,0))-D2)</f>
        <v>#DIV/0!</v>
      </c>
      <c r="C2" s="2592"/>
      <c r="D2" s="1128" t="e">
        <f ca="1">SUMIF(INDIRECT("'"&amp;F2&amp;"'"&amp;"!A:A"),"承租人权益价值",INDIRECT("'"&amp;F2&amp;"'"&amp;"!c:c"))</f>
        <v>#REF!</v>
      </c>
      <c r="E2" s="2593" t="s">
        <v>2326</v>
      </c>
      <c r="F2" s="2594"/>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2327</v>
      </c>
      <c r="B3" s="610" t="e">
        <f ca="1">IF(AND(C2="——",B37="元/平方米"),C39,ROUND(B2*10000/D3,0))</f>
        <v>#DIV/0!</v>
      </c>
      <c r="C3" s="401" t="s">
        <v>2642</v>
      </c>
      <c r="D3" s="400">
        <f>SUMIF('数据-汇总表'!$C19:$C33,D1,'数据-汇总表'!$E19:$E33)</f>
        <v>0</v>
      </c>
      <c r="E3" s="401" t="s">
        <v>2706</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2643</v>
      </c>
      <c r="B4" s="403"/>
      <c r="C4" s="3168" t="s">
        <v>2644</v>
      </c>
      <c r="D4" s="3169"/>
      <c r="E4" s="3170" t="s">
        <v>2645</v>
      </c>
      <c r="F4" s="3171"/>
      <c r="G4" s="3168" t="s">
        <v>2646</v>
      </c>
      <c r="H4" s="3169"/>
      <c r="I4" s="3168" t="s">
        <v>2647</v>
      </c>
      <c r="J4" s="3169"/>
      <c r="K4" s="611" t="s">
        <v>2648</v>
      </c>
      <c r="L4" s="1134"/>
      <c r="M4" s="1135"/>
      <c r="N4" s="1135"/>
      <c r="O4" s="1135"/>
      <c r="P4" s="3233" t="s">
        <v>2649</v>
      </c>
      <c r="Q4" s="3234"/>
      <c r="R4" s="3237" t="s">
        <v>2645</v>
      </c>
      <c r="S4" s="3238"/>
      <c r="T4" s="3237" t="s">
        <v>2646</v>
      </c>
      <c r="U4" s="3238"/>
      <c r="V4" s="3185" t="s">
        <v>2647</v>
      </c>
      <c r="W4" s="3185"/>
      <c r="X4" s="1818"/>
      <c r="Y4" s="3237" t="s">
        <v>2649</v>
      </c>
      <c r="Z4" s="3238"/>
      <c r="AA4" s="3232" t="s">
        <v>2645</v>
      </c>
      <c r="AB4" s="3198" t="s">
        <v>2646</v>
      </c>
      <c r="AC4" s="3232" t="s">
        <v>2647</v>
      </c>
    </row>
    <row r="5" spans="1:29" ht="15">
      <c r="A5" s="405"/>
      <c r="B5" s="406"/>
      <c r="C5" s="3194" t="s">
        <v>2540</v>
      </c>
      <c r="D5" s="3189"/>
      <c r="E5" s="3239" t="s">
        <v>2541</v>
      </c>
      <c r="F5" s="3201"/>
      <c r="G5" s="3194" t="s">
        <v>2542</v>
      </c>
      <c r="H5" s="3189"/>
      <c r="I5" s="3194" t="s">
        <v>2543</v>
      </c>
      <c r="J5" s="3189"/>
      <c r="K5" s="611"/>
      <c r="L5" s="1134"/>
      <c r="M5" s="1135"/>
      <c r="N5" s="1135"/>
      <c r="O5" s="1135"/>
      <c r="P5" s="3235"/>
      <c r="Q5" s="3175"/>
      <c r="R5" s="3180"/>
      <c r="S5" s="3181"/>
      <c r="T5" s="3180"/>
      <c r="U5" s="3181"/>
      <c r="V5" s="3185"/>
      <c r="W5" s="3185"/>
      <c r="X5" s="1818"/>
      <c r="Y5" s="3180"/>
      <c r="Z5" s="3181"/>
      <c r="AA5" s="3198"/>
      <c r="AB5" s="3198"/>
      <c r="AC5" s="3198"/>
    </row>
    <row r="6" spans="1:29" ht="15.75" thickBot="1">
      <c r="A6" s="407"/>
      <c r="B6" s="408"/>
      <c r="C6" s="3186" t="s">
        <v>2544</v>
      </c>
      <c r="D6" s="3187"/>
      <c r="E6" s="3195" t="s">
        <v>2544</v>
      </c>
      <c r="F6" s="3196"/>
      <c r="G6" s="3186" t="s">
        <v>2544</v>
      </c>
      <c r="H6" s="3187"/>
      <c r="I6" s="3186" t="s">
        <v>2544</v>
      </c>
      <c r="J6" s="3187"/>
      <c r="K6" s="611" t="s">
        <v>2545</v>
      </c>
      <c r="L6" s="1134"/>
      <c r="M6" s="1135"/>
      <c r="N6" s="1135"/>
      <c r="O6" s="1135"/>
      <c r="P6" s="3236"/>
      <c r="Q6" s="3177"/>
      <c r="R6" s="3180"/>
      <c r="S6" s="3181"/>
      <c r="T6" s="3182"/>
      <c r="U6" s="3183"/>
      <c r="V6" s="3185"/>
      <c r="W6" s="3185"/>
      <c r="X6" s="1818"/>
      <c r="Y6" s="3182"/>
      <c r="Z6" s="3183"/>
      <c r="AA6" s="3199"/>
      <c r="AB6" s="3199"/>
      <c r="AC6" s="3199"/>
    </row>
    <row r="7" spans="1:29" s="117" customFormat="1" ht="15.75" thickBot="1">
      <c r="A7" s="409" t="s">
        <v>2546</v>
      </c>
      <c r="B7" s="410"/>
      <c r="C7" s="411">
        <f>'数据-取费表'!B2</f>
        <v>43053</v>
      </c>
      <c r="D7" s="412">
        <v>100</v>
      </c>
      <c r="E7" s="413"/>
      <c r="F7" s="414">
        <f>SUMIF(48:48,YEAR(E7)&amp;"-"&amp;MONTH(E7),49:49)</f>
        <v>0</v>
      </c>
      <c r="G7" s="413"/>
      <c r="H7" s="412">
        <f>SUMIF(48:48,YEAR(G7)&amp;"-"&amp;MONTH(G7),49:49)</f>
        <v>0</v>
      </c>
      <c r="I7" s="413"/>
      <c r="J7" s="412">
        <f>SUMIF(48:48,YEAR(I7)&amp;"-"&amp;MONTH(I7),49:49)</f>
        <v>0</v>
      </c>
      <c r="K7" s="612"/>
      <c r="L7" s="1136"/>
      <c r="M7" s="1137"/>
      <c r="N7" s="1137"/>
      <c r="O7" s="1137"/>
      <c r="P7" s="3192" t="s">
        <v>2547</v>
      </c>
      <c r="Q7" s="3193"/>
      <c r="R7" s="771" t="s">
        <v>17</v>
      </c>
      <c r="S7" s="772">
        <f t="shared" ref="S7:S14" si="0">F7</f>
        <v>0</v>
      </c>
      <c r="T7" s="771" t="s">
        <v>17</v>
      </c>
      <c r="U7" s="772">
        <f t="shared" ref="U7:U14" si="1">H7</f>
        <v>0</v>
      </c>
      <c r="V7" s="771" t="s">
        <v>17</v>
      </c>
      <c r="W7" s="772">
        <f t="shared" ref="W7:W14" si="2">J7</f>
        <v>0</v>
      </c>
      <c r="X7" s="773"/>
      <c r="Y7" s="3192" t="s">
        <v>2547</v>
      </c>
      <c r="Z7" s="3191"/>
      <c r="AA7" s="774" t="e">
        <f>D7/F7</f>
        <v>#DIV/0!</v>
      </c>
      <c r="AB7" s="774" t="e">
        <f>D7/H7</f>
        <v>#DIV/0!</v>
      </c>
      <c r="AC7" s="774" t="e">
        <f>D7/J7</f>
        <v>#DIV/0!</v>
      </c>
    </row>
    <row r="8" spans="1:29" s="117" customFormat="1" ht="15.75" thickBot="1">
      <c r="A8" s="409" t="s">
        <v>2548</v>
      </c>
      <c r="B8" s="410"/>
      <c r="C8" s="415" t="s">
        <v>2650</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192" t="s">
        <v>2550</v>
      </c>
      <c r="Q8" s="3191"/>
      <c r="R8" s="771" t="s">
        <v>17</v>
      </c>
      <c r="S8" s="772">
        <f t="shared" si="0"/>
        <v>0</v>
      </c>
      <c r="T8" s="771" t="s">
        <v>17</v>
      </c>
      <c r="U8" s="772">
        <f t="shared" si="1"/>
        <v>0</v>
      </c>
      <c r="V8" s="771" t="s">
        <v>17</v>
      </c>
      <c r="W8" s="772">
        <f t="shared" si="2"/>
        <v>0</v>
      </c>
      <c r="X8" s="773"/>
      <c r="Y8" s="3192" t="s">
        <v>2550</v>
      </c>
      <c r="Z8" s="3191"/>
      <c r="AA8" s="774" t="e">
        <f t="shared" ref="AA8:AA36" si="3">D8/F8</f>
        <v>#DIV/0!</v>
      </c>
      <c r="AB8" s="774" t="e">
        <f t="shared" ref="AB8:AB36" si="4">D8/H8</f>
        <v>#DIV/0!</v>
      </c>
      <c r="AC8" s="774" t="e">
        <f t="shared" ref="AC8:AC36" si="5">D8/J8</f>
        <v>#DIV/0!</v>
      </c>
    </row>
    <row r="9" spans="1:29" s="117" customFormat="1">
      <c r="A9" s="68" t="s">
        <v>2551</v>
      </c>
      <c r="B9" s="641" t="s">
        <v>2552</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151" t="s">
        <v>2553</v>
      </c>
      <c r="Q9" s="1800" t="str">
        <f t="shared" ref="Q9:Q14" si="6">B9</f>
        <v>用途</v>
      </c>
      <c r="R9" s="771" t="s">
        <v>17</v>
      </c>
      <c r="S9" s="772">
        <f t="shared" si="0"/>
        <v>100</v>
      </c>
      <c r="T9" s="771" t="s">
        <v>17</v>
      </c>
      <c r="U9" s="772">
        <f t="shared" si="1"/>
        <v>100</v>
      </c>
      <c r="V9" s="771" t="s">
        <v>17</v>
      </c>
      <c r="W9" s="772">
        <f t="shared" si="2"/>
        <v>100</v>
      </c>
      <c r="X9" s="773"/>
      <c r="Y9" s="3005" t="s">
        <v>2554</v>
      </c>
      <c r="Z9" s="55" t="str">
        <f t="shared" ref="Z9:Z14" si="7">Q9</f>
        <v>用途</v>
      </c>
      <c r="AA9" s="774">
        <f t="shared" si="3"/>
        <v>1</v>
      </c>
      <c r="AB9" s="774">
        <f t="shared" si="4"/>
        <v>1</v>
      </c>
      <c r="AC9" s="774">
        <f t="shared" si="5"/>
        <v>1</v>
      </c>
    </row>
    <row r="10" spans="1:29" s="428" customFormat="1" ht="27">
      <c r="A10" s="642"/>
      <c r="B10" s="643" t="s">
        <v>2555</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151"/>
      <c r="Q10" s="1800" t="str">
        <f t="shared" si="6"/>
        <v>土地使用年限（年）</v>
      </c>
      <c r="R10" s="771" t="s">
        <v>17</v>
      </c>
      <c r="S10" s="772">
        <f t="shared" si="0"/>
        <v>100</v>
      </c>
      <c r="T10" s="771" t="s">
        <v>17</v>
      </c>
      <c r="U10" s="772">
        <f t="shared" si="1"/>
        <v>100</v>
      </c>
      <c r="V10" s="771" t="s">
        <v>17</v>
      </c>
      <c r="W10" s="772">
        <f t="shared" si="2"/>
        <v>100</v>
      </c>
      <c r="X10" s="773"/>
      <c r="Y10" s="3005"/>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151"/>
      <c r="Q11" s="1800">
        <f t="shared" si="6"/>
        <v>111</v>
      </c>
      <c r="R11" s="771" t="s">
        <v>17</v>
      </c>
      <c r="S11" s="772">
        <f t="shared" si="0"/>
        <v>100</v>
      </c>
      <c r="T11" s="771" t="s">
        <v>17</v>
      </c>
      <c r="U11" s="772">
        <f t="shared" si="1"/>
        <v>100</v>
      </c>
      <c r="V11" s="771" t="s">
        <v>17</v>
      </c>
      <c r="W11" s="772">
        <f t="shared" si="2"/>
        <v>100</v>
      </c>
      <c r="X11" s="773"/>
      <c r="Y11" s="3005"/>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151"/>
      <c r="Q12" s="1800">
        <f t="shared" si="6"/>
        <v>111</v>
      </c>
      <c r="R12" s="771" t="s">
        <v>17</v>
      </c>
      <c r="S12" s="772">
        <f t="shared" si="0"/>
        <v>100</v>
      </c>
      <c r="T12" s="771" t="s">
        <v>17</v>
      </c>
      <c r="U12" s="772">
        <f t="shared" si="1"/>
        <v>100</v>
      </c>
      <c r="V12" s="771" t="s">
        <v>17</v>
      </c>
      <c r="W12" s="772">
        <f t="shared" si="2"/>
        <v>100</v>
      </c>
      <c r="X12" s="773"/>
      <c r="Y12" s="3005"/>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151"/>
      <c r="Q13" s="1800">
        <f t="shared" si="6"/>
        <v>111</v>
      </c>
      <c r="R13" s="771" t="s">
        <v>17</v>
      </c>
      <c r="S13" s="772">
        <f t="shared" si="0"/>
        <v>100</v>
      </c>
      <c r="T13" s="771" t="s">
        <v>17</v>
      </c>
      <c r="U13" s="772">
        <f t="shared" si="1"/>
        <v>100</v>
      </c>
      <c r="V13" s="771" t="s">
        <v>17</v>
      </c>
      <c r="W13" s="772">
        <f t="shared" si="2"/>
        <v>100</v>
      </c>
      <c r="X13" s="773"/>
      <c r="Y13" s="3005"/>
      <c r="Z13" s="55">
        <f t="shared" si="7"/>
        <v>111</v>
      </c>
      <c r="AA13" s="774">
        <f t="shared" si="3"/>
        <v>1</v>
      </c>
      <c r="AB13" s="774">
        <f t="shared" si="4"/>
        <v>1</v>
      </c>
      <c r="AC13" s="774">
        <f t="shared" si="5"/>
        <v>1</v>
      </c>
    </row>
    <row r="14" spans="1:29" ht="71.25">
      <c r="A14" s="402" t="s">
        <v>2557</v>
      </c>
      <c r="B14" s="630" t="s">
        <v>2707</v>
      </c>
      <c r="C14" s="2699" t="str">
        <f>IF(B1="工业",估价对象房地状况!G4,估价对象房地状况!C6)</f>
        <v>估价对象周边道路通达、公共交通通达、停车便捷，综合评价交通便捷度较好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158" t="s">
        <v>2558</v>
      </c>
      <c r="Q14" s="1815" t="str">
        <f t="shared" si="6"/>
        <v>交通便捷度</v>
      </c>
      <c r="R14" s="775" t="s">
        <v>17</v>
      </c>
      <c r="S14" s="776">
        <f t="shared" si="0"/>
        <v>100</v>
      </c>
      <c r="T14" s="775" t="s">
        <v>17</v>
      </c>
      <c r="U14" s="776">
        <f t="shared" si="1"/>
        <v>100</v>
      </c>
      <c r="V14" s="775" t="s">
        <v>17</v>
      </c>
      <c r="W14" s="776">
        <f t="shared" si="2"/>
        <v>100</v>
      </c>
      <c r="X14" s="1818"/>
      <c r="Y14" s="3158" t="s">
        <v>2558</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159"/>
      <c r="Q15" s="1815"/>
      <c r="R15" s="775"/>
      <c r="S15" s="776"/>
      <c r="T15" s="775"/>
      <c r="U15" s="776"/>
      <c r="V15" s="775"/>
      <c r="W15" s="776"/>
      <c r="X15" s="1818"/>
      <c r="Y15" s="3159"/>
      <c r="Z15" s="1819"/>
      <c r="AA15" s="1816">
        <v>1</v>
      </c>
      <c r="AB15" s="1816">
        <v>1</v>
      </c>
      <c r="AC15" s="1816">
        <v>1</v>
      </c>
    </row>
    <row r="16" spans="1:29" ht="42.75">
      <c r="A16" s="405"/>
      <c r="B16" s="632" t="s">
        <v>2686</v>
      </c>
      <c r="C16" s="2613" t="str">
        <f>IF(B1="工业",估价对象房地状况!G5,估价对象房地状况!C7)</f>
        <v>估价对象所在区域公共配套设施齐备</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159"/>
      <c r="Q16" s="1815" t="str">
        <f>B16</f>
        <v>公共配套设施</v>
      </c>
      <c r="R16" s="775" t="s">
        <v>17</v>
      </c>
      <c r="S16" s="776">
        <f>F16</f>
        <v>100</v>
      </c>
      <c r="T16" s="775" t="s">
        <v>17</v>
      </c>
      <c r="U16" s="776">
        <f>H16</f>
        <v>100</v>
      </c>
      <c r="V16" s="775" t="s">
        <v>17</v>
      </c>
      <c r="W16" s="776">
        <f>J16</f>
        <v>100</v>
      </c>
      <c r="X16" s="1818"/>
      <c r="Y16" s="3159"/>
      <c r="Z16" s="1819" t="str">
        <f>Q16</f>
        <v>公共配套设施</v>
      </c>
      <c r="AA16" s="1816">
        <f t="shared" si="3"/>
        <v>1</v>
      </c>
      <c r="AB16" s="1816">
        <f t="shared" si="4"/>
        <v>1</v>
      </c>
      <c r="AC16" s="1816">
        <f t="shared" si="5"/>
        <v>1</v>
      </c>
    </row>
    <row r="17" spans="1:29" ht="15">
      <c r="A17" s="405"/>
      <c r="B17" s="633"/>
      <c r="C17" s="2614"/>
      <c r="D17" s="449"/>
      <c r="E17" s="448"/>
      <c r="F17" s="450"/>
      <c r="G17" s="448"/>
      <c r="H17" s="449"/>
      <c r="I17" s="448"/>
      <c r="J17" s="449"/>
      <c r="K17" s="616"/>
      <c r="L17" s="1144"/>
      <c r="M17" s="1135"/>
      <c r="N17" s="1135"/>
      <c r="O17" s="1135"/>
      <c r="P17" s="3159"/>
      <c r="Q17" s="1815"/>
      <c r="R17" s="775"/>
      <c r="S17" s="776"/>
      <c r="T17" s="775"/>
      <c r="U17" s="776"/>
      <c r="V17" s="775"/>
      <c r="W17" s="776"/>
      <c r="X17" s="1818"/>
      <c r="Y17" s="3159"/>
      <c r="Z17" s="1819"/>
      <c r="AA17" s="1816">
        <v>1</v>
      </c>
      <c r="AB17" s="1816">
        <v>1</v>
      </c>
      <c r="AC17" s="1816">
        <v>1</v>
      </c>
    </row>
    <row r="18" spans="1:29" ht="42.75">
      <c r="A18" s="405"/>
      <c r="B18" s="634" t="s">
        <v>2687</v>
      </c>
      <c r="C18" s="2613" t="str">
        <f>IF(B1="工业",估价对象房地状况!G6,估价对象房地状况!C8)</f>
        <v>估价对象所在区域基础设施水平达七通</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159"/>
      <c r="Q18" s="1815" t="str">
        <f>B18</f>
        <v>基础设施水平</v>
      </c>
      <c r="R18" s="775" t="s">
        <v>17</v>
      </c>
      <c r="S18" s="776">
        <f>F18</f>
        <v>100</v>
      </c>
      <c r="T18" s="775" t="s">
        <v>17</v>
      </c>
      <c r="U18" s="776">
        <f>H18</f>
        <v>100</v>
      </c>
      <c r="V18" s="775" t="s">
        <v>17</v>
      </c>
      <c r="W18" s="776">
        <f>J18</f>
        <v>100</v>
      </c>
      <c r="X18" s="1818"/>
      <c r="Y18" s="3159"/>
      <c r="Z18" s="1819" t="str">
        <f>Q18</f>
        <v>基础设施水平</v>
      </c>
      <c r="AA18" s="1816">
        <f t="shared" ref="AA18" si="8">D18/F18</f>
        <v>1</v>
      </c>
      <c r="AB18" s="1816">
        <f t="shared" ref="AB18" si="9">D18/H18</f>
        <v>1</v>
      </c>
      <c r="AC18" s="1816">
        <f t="shared" ref="AC18" si="10">D18/J18</f>
        <v>1</v>
      </c>
    </row>
    <row r="19" spans="1:29" ht="15">
      <c r="A19" s="405"/>
      <c r="B19" s="634"/>
      <c r="C19" s="2614"/>
      <c r="D19" s="451"/>
      <c r="E19" s="2614"/>
      <c r="F19" s="454"/>
      <c r="G19" s="2614"/>
      <c r="H19" s="449"/>
      <c r="I19" s="448"/>
      <c r="J19" s="449"/>
      <c r="K19" s="1387"/>
      <c r="L19" s="1144"/>
      <c r="M19" s="1135"/>
      <c r="N19" s="1135"/>
      <c r="O19" s="1135"/>
      <c r="P19" s="3159"/>
      <c r="Q19" s="1815"/>
      <c r="R19" s="775"/>
      <c r="S19" s="776"/>
      <c r="T19" s="775"/>
      <c r="U19" s="776"/>
      <c r="V19" s="775"/>
      <c r="W19" s="776"/>
      <c r="X19" s="1818"/>
      <c r="Y19" s="3159"/>
      <c r="Z19" s="1819"/>
      <c r="AA19" s="1816">
        <v>1</v>
      </c>
      <c r="AB19" s="1816">
        <v>1</v>
      </c>
      <c r="AC19" s="1816">
        <v>1</v>
      </c>
    </row>
    <row r="20" spans="1:29" ht="57">
      <c r="A20" s="405"/>
      <c r="B20" s="632" t="s">
        <v>2708</v>
      </c>
      <c r="C20" s="2613" t="str">
        <f>IF(B1="工业",估价对象房地状况!G7,估价对象房地状况!C9)</f>
        <v>区域自然环境较好；人文环境较好；综合评价环境状况较好</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159"/>
      <c r="Q20" s="1815" t="str">
        <f>B20</f>
        <v>自然及人文环境</v>
      </c>
      <c r="R20" s="775" t="s">
        <v>17</v>
      </c>
      <c r="S20" s="776">
        <f>F20</f>
        <v>100</v>
      </c>
      <c r="T20" s="775" t="s">
        <v>17</v>
      </c>
      <c r="U20" s="776">
        <f>H20</f>
        <v>100</v>
      </c>
      <c r="V20" s="775" t="s">
        <v>17</v>
      </c>
      <c r="W20" s="776">
        <f>J20</f>
        <v>100</v>
      </c>
      <c r="X20" s="1818"/>
      <c r="Y20" s="3159"/>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159"/>
      <c r="Q21" s="1815"/>
      <c r="R21" s="775"/>
      <c r="S21" s="776"/>
      <c r="T21" s="775"/>
      <c r="U21" s="776"/>
      <c r="V21" s="775"/>
      <c r="W21" s="776"/>
      <c r="X21" s="1818"/>
      <c r="Y21" s="3159"/>
      <c r="Z21" s="1819"/>
      <c r="AA21" s="1816">
        <v>1</v>
      </c>
      <c r="AB21" s="1816">
        <v>1</v>
      </c>
      <c r="AC21" s="1816">
        <v>1</v>
      </c>
    </row>
    <row r="22" spans="1:29" ht="15">
      <c r="A22" s="405"/>
      <c r="B22" s="632" t="s">
        <v>2709</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159"/>
      <c r="Q22" s="1815" t="str">
        <f>B22</f>
        <v>楼层</v>
      </c>
      <c r="R22" s="775" t="s">
        <v>17</v>
      </c>
      <c r="S22" s="776">
        <f>F22</f>
        <v>100</v>
      </c>
      <c r="T22" s="775" t="s">
        <v>17</v>
      </c>
      <c r="U22" s="776">
        <f>H22</f>
        <v>100</v>
      </c>
      <c r="V22" s="775" t="s">
        <v>17</v>
      </c>
      <c r="W22" s="776">
        <f>J22</f>
        <v>100</v>
      </c>
      <c r="X22" s="1818"/>
      <c r="Y22" s="3159"/>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159"/>
      <c r="Q23" s="1815">
        <f>B23</f>
        <v>111</v>
      </c>
      <c r="R23" s="775" t="s">
        <v>17</v>
      </c>
      <c r="S23" s="776">
        <f>F23</f>
        <v>100</v>
      </c>
      <c r="T23" s="775" t="s">
        <v>17</v>
      </c>
      <c r="U23" s="776">
        <f>H23</f>
        <v>100</v>
      </c>
      <c r="V23" s="775" t="s">
        <v>17</v>
      </c>
      <c r="W23" s="776">
        <f>J23</f>
        <v>100</v>
      </c>
      <c r="X23" s="1818"/>
      <c r="Y23" s="3159"/>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159"/>
      <c r="Q24" s="1815">
        <f t="shared" ref="Q24:Q36" si="11">B24</f>
        <v>111</v>
      </c>
      <c r="R24" s="775" t="s">
        <v>17</v>
      </c>
      <c r="S24" s="776">
        <f>F24</f>
        <v>100</v>
      </c>
      <c r="T24" s="775" t="s">
        <v>17</v>
      </c>
      <c r="U24" s="776">
        <f>H24</f>
        <v>100</v>
      </c>
      <c r="V24" s="775" t="s">
        <v>17</v>
      </c>
      <c r="W24" s="776">
        <f>J24</f>
        <v>100</v>
      </c>
      <c r="X24" s="1818"/>
      <c r="Y24" s="3159"/>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159"/>
      <c r="Q25" s="1800">
        <f t="shared" si="11"/>
        <v>111</v>
      </c>
      <c r="R25" s="771" t="s">
        <v>17</v>
      </c>
      <c r="S25" s="772">
        <f>F25</f>
        <v>100</v>
      </c>
      <c r="T25" s="771" t="s">
        <v>17</v>
      </c>
      <c r="U25" s="772">
        <f>H25</f>
        <v>100</v>
      </c>
      <c r="V25" s="771" t="s">
        <v>17</v>
      </c>
      <c r="W25" s="772">
        <f>J25</f>
        <v>100</v>
      </c>
      <c r="X25" s="773"/>
      <c r="Y25" s="3159"/>
      <c r="Z25" s="55">
        <f>Q25</f>
        <v>111</v>
      </c>
      <c r="AA25" s="1816">
        <f>D25/F25</f>
        <v>1</v>
      </c>
      <c r="AB25" s="1816">
        <f>D25/H25</f>
        <v>1</v>
      </c>
      <c r="AC25" s="1816">
        <f>D25/J25</f>
        <v>1</v>
      </c>
    </row>
    <row r="26" spans="1:29" ht="15">
      <c r="A26" s="653" t="s">
        <v>2561</v>
      </c>
      <c r="B26" s="70" t="s">
        <v>2710</v>
      </c>
      <c r="C26" s="2700">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40" t="s">
        <v>2563</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163" t="s">
        <v>2563</v>
      </c>
      <c r="Z26" s="1819" t="str">
        <f t="shared" ref="Z26:Z36" si="15">Q26</f>
        <v>配套类型</v>
      </c>
      <c r="AA26" s="1816">
        <f t="shared" si="3"/>
        <v>1</v>
      </c>
      <c r="AB26" s="1816">
        <f t="shared" si="4"/>
        <v>1</v>
      </c>
      <c r="AC26" s="1816">
        <f t="shared" si="5"/>
        <v>1</v>
      </c>
    </row>
    <row r="27" spans="1:29" s="472" customFormat="1" ht="15">
      <c r="A27" s="654"/>
      <c r="B27" s="655" t="s">
        <v>2711</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163"/>
      <c r="Q27" s="777" t="str">
        <f t="shared" si="11"/>
        <v>项目停车位配比</v>
      </c>
      <c r="R27" s="778" t="s">
        <v>17</v>
      </c>
      <c r="S27" s="779">
        <f t="shared" si="12"/>
        <v>100</v>
      </c>
      <c r="T27" s="778" t="s">
        <v>17</v>
      </c>
      <c r="U27" s="779">
        <f t="shared" si="13"/>
        <v>100</v>
      </c>
      <c r="V27" s="778" t="s">
        <v>17</v>
      </c>
      <c r="W27" s="779">
        <f t="shared" si="14"/>
        <v>100</v>
      </c>
      <c r="X27" s="780"/>
      <c r="Y27" s="3163"/>
      <c r="Z27" s="781" t="str">
        <f t="shared" si="15"/>
        <v>项目停车位配比</v>
      </c>
      <c r="AA27" s="1816">
        <f t="shared" si="3"/>
        <v>1</v>
      </c>
      <c r="AB27" s="1816">
        <f t="shared" si="4"/>
        <v>1</v>
      </c>
      <c r="AC27" s="1816">
        <f t="shared" si="5"/>
        <v>1</v>
      </c>
    </row>
    <row r="28" spans="1:29" ht="15">
      <c r="A28" s="657"/>
      <c r="B28" s="655" t="s">
        <v>2712</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163"/>
      <c r="Q28" s="1815" t="str">
        <f t="shared" si="11"/>
        <v>公共部分装修</v>
      </c>
      <c r="R28" s="775" t="s">
        <v>17</v>
      </c>
      <c r="S28" s="776">
        <f t="shared" si="12"/>
        <v>100</v>
      </c>
      <c r="T28" s="775" t="s">
        <v>17</v>
      </c>
      <c r="U28" s="776">
        <f t="shared" si="13"/>
        <v>100</v>
      </c>
      <c r="V28" s="775" t="s">
        <v>17</v>
      </c>
      <c r="W28" s="776">
        <f t="shared" si="14"/>
        <v>100</v>
      </c>
      <c r="X28" s="1818"/>
      <c r="Y28" s="3163"/>
      <c r="Z28" s="1819" t="str">
        <f t="shared" si="15"/>
        <v>公共部分装修</v>
      </c>
      <c r="AA28" s="1816">
        <f t="shared" si="3"/>
        <v>1</v>
      </c>
      <c r="AB28" s="1816">
        <f t="shared" si="4"/>
        <v>1</v>
      </c>
      <c r="AC28" s="1816">
        <f t="shared" si="5"/>
        <v>1</v>
      </c>
    </row>
    <row r="29" spans="1:29" ht="15">
      <c r="A29" s="657"/>
      <c r="B29" s="655" t="s">
        <v>2713</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163"/>
      <c r="Q29" s="1815" t="str">
        <f t="shared" si="11"/>
        <v>成新率</v>
      </c>
      <c r="R29" s="775" t="s">
        <v>17</v>
      </c>
      <c r="S29" s="776" t="e">
        <f t="shared" si="12"/>
        <v>#N/A</v>
      </c>
      <c r="T29" s="775" t="s">
        <v>17</v>
      </c>
      <c r="U29" s="776" t="e">
        <f t="shared" si="13"/>
        <v>#N/A</v>
      </c>
      <c r="V29" s="775" t="s">
        <v>17</v>
      </c>
      <c r="W29" s="776" t="e">
        <f t="shared" si="14"/>
        <v>#N/A</v>
      </c>
      <c r="X29" s="1818"/>
      <c r="Y29" s="3163"/>
      <c r="Z29" s="1819" t="str">
        <f t="shared" si="15"/>
        <v>成新率</v>
      </c>
      <c r="AA29" s="1816" t="e">
        <f t="shared" si="3"/>
        <v>#N/A</v>
      </c>
      <c r="AB29" s="1816" t="e">
        <f t="shared" si="4"/>
        <v>#N/A</v>
      </c>
      <c r="AC29" s="1816" t="e">
        <f t="shared" si="5"/>
        <v>#N/A</v>
      </c>
    </row>
    <row r="30" spans="1:29" ht="15">
      <c r="A30" s="657"/>
      <c r="B30" s="655" t="s">
        <v>2714</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163"/>
      <c r="Q30" s="1815" t="str">
        <f t="shared" si="11"/>
        <v>物业等级</v>
      </c>
      <c r="R30" s="775" t="s">
        <v>17</v>
      </c>
      <c r="S30" s="776">
        <f t="shared" si="12"/>
        <v>100</v>
      </c>
      <c r="T30" s="775" t="s">
        <v>17</v>
      </c>
      <c r="U30" s="776">
        <f t="shared" si="13"/>
        <v>100</v>
      </c>
      <c r="V30" s="775" t="s">
        <v>17</v>
      </c>
      <c r="W30" s="776">
        <f t="shared" si="14"/>
        <v>100</v>
      </c>
      <c r="X30" s="1818"/>
      <c r="Y30" s="3163"/>
      <c r="Z30" s="1819" t="str">
        <f t="shared" si="15"/>
        <v>物业等级</v>
      </c>
      <c r="AA30" s="1816">
        <f t="shared" si="3"/>
        <v>1</v>
      </c>
      <c r="AB30" s="1816">
        <f t="shared" si="4"/>
        <v>1</v>
      </c>
      <c r="AC30" s="1816">
        <f t="shared" si="5"/>
        <v>1</v>
      </c>
    </row>
    <row r="31" spans="1:29" s="117" customFormat="1" ht="15">
      <c r="A31" s="659"/>
      <c r="B31" s="655" t="s">
        <v>2715</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163"/>
      <c r="Q31" s="1800" t="str">
        <f t="shared" si="11"/>
        <v>停车位面积</v>
      </c>
      <c r="R31" s="771" t="s">
        <v>17</v>
      </c>
      <c r="S31" s="772" t="e">
        <f t="shared" si="12"/>
        <v>#N/A</v>
      </c>
      <c r="T31" s="771" t="s">
        <v>17</v>
      </c>
      <c r="U31" s="772" t="e">
        <f t="shared" si="13"/>
        <v>#N/A</v>
      </c>
      <c r="V31" s="771" t="s">
        <v>17</v>
      </c>
      <c r="W31" s="772" t="e">
        <f t="shared" si="14"/>
        <v>#N/A</v>
      </c>
      <c r="X31" s="773"/>
      <c r="Y31" s="3163"/>
      <c r="Z31" s="55" t="str">
        <f t="shared" si="15"/>
        <v>停车位面积</v>
      </c>
      <c r="AA31" s="774" t="e">
        <f t="shared" si="3"/>
        <v>#N/A</v>
      </c>
      <c r="AB31" s="774" t="e">
        <f t="shared" si="4"/>
        <v>#N/A</v>
      </c>
      <c r="AC31" s="774" t="e">
        <f t="shared" si="5"/>
        <v>#N/A</v>
      </c>
    </row>
    <row r="32" spans="1:29" ht="15">
      <c r="A32" s="657"/>
      <c r="B32" s="655" t="s">
        <v>2716</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163" t="s">
        <v>2563</v>
      </c>
      <c r="Q32" s="1815" t="str">
        <f t="shared" si="11"/>
        <v>车位类型</v>
      </c>
      <c r="R32" s="775" t="s">
        <v>17</v>
      </c>
      <c r="S32" s="776">
        <f t="shared" si="12"/>
        <v>100</v>
      </c>
      <c r="T32" s="775" t="s">
        <v>17</v>
      </c>
      <c r="U32" s="776">
        <f t="shared" si="13"/>
        <v>100</v>
      </c>
      <c r="V32" s="775" t="s">
        <v>17</v>
      </c>
      <c r="W32" s="776">
        <f t="shared" si="14"/>
        <v>100</v>
      </c>
      <c r="X32" s="1818"/>
      <c r="Y32" s="3163" t="s">
        <v>2563</v>
      </c>
      <c r="Z32" s="1819" t="str">
        <f t="shared" si="15"/>
        <v>车位类型</v>
      </c>
      <c r="AA32" s="1816">
        <f t="shared" si="3"/>
        <v>1</v>
      </c>
      <c r="AB32" s="1816">
        <f t="shared" si="4"/>
        <v>1</v>
      </c>
      <c r="AC32" s="1816">
        <f t="shared" si="5"/>
        <v>1</v>
      </c>
    </row>
    <row r="33" spans="1:29" ht="15">
      <c r="A33" s="657"/>
      <c r="B33" s="655" t="s">
        <v>2717</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163"/>
      <c r="Q33" s="1815" t="str">
        <f t="shared" si="11"/>
        <v>是否直接入户</v>
      </c>
      <c r="R33" s="775" t="s">
        <v>17</v>
      </c>
      <c r="S33" s="776">
        <f t="shared" si="12"/>
        <v>100</v>
      </c>
      <c r="T33" s="775" t="s">
        <v>17</v>
      </c>
      <c r="U33" s="776">
        <f t="shared" si="13"/>
        <v>100</v>
      </c>
      <c r="V33" s="775" t="s">
        <v>17</v>
      </c>
      <c r="W33" s="776">
        <f t="shared" si="14"/>
        <v>100</v>
      </c>
      <c r="X33" s="1818"/>
      <c r="Y33" s="3163"/>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163"/>
      <c r="Q34" s="1815">
        <f t="shared" si="11"/>
        <v>111</v>
      </c>
      <c r="R34" s="775" t="s">
        <v>17</v>
      </c>
      <c r="S34" s="776">
        <f t="shared" si="12"/>
        <v>100</v>
      </c>
      <c r="T34" s="775" t="s">
        <v>17</v>
      </c>
      <c r="U34" s="776">
        <f t="shared" si="13"/>
        <v>100</v>
      </c>
      <c r="V34" s="775" t="s">
        <v>17</v>
      </c>
      <c r="W34" s="776">
        <f t="shared" si="14"/>
        <v>100</v>
      </c>
      <c r="X34" s="1818"/>
      <c r="Y34" s="3163"/>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163"/>
      <c r="Q35" s="777">
        <f t="shared" si="11"/>
        <v>111</v>
      </c>
      <c r="R35" s="778" t="s">
        <v>17</v>
      </c>
      <c r="S35" s="779">
        <f t="shared" si="12"/>
        <v>100</v>
      </c>
      <c r="T35" s="778" t="s">
        <v>17</v>
      </c>
      <c r="U35" s="779">
        <f t="shared" si="13"/>
        <v>100</v>
      </c>
      <c r="V35" s="778" t="s">
        <v>17</v>
      </c>
      <c r="W35" s="779">
        <f t="shared" si="14"/>
        <v>100</v>
      </c>
      <c r="X35" s="780"/>
      <c r="Y35" s="3163"/>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163"/>
      <c r="Q36" s="1815">
        <f t="shared" si="11"/>
        <v>111</v>
      </c>
      <c r="R36" s="775" t="s">
        <v>17</v>
      </c>
      <c r="S36" s="776">
        <f t="shared" si="12"/>
        <v>100</v>
      </c>
      <c r="T36" s="775" t="s">
        <v>17</v>
      </c>
      <c r="U36" s="776">
        <f t="shared" si="13"/>
        <v>100</v>
      </c>
      <c r="V36" s="775" t="s">
        <v>17</v>
      </c>
      <c r="W36" s="776">
        <f t="shared" si="14"/>
        <v>100</v>
      </c>
      <c r="X36" s="1818"/>
      <c r="Y36" s="3163"/>
      <c r="Z36" s="1819">
        <f t="shared" si="15"/>
        <v>111</v>
      </c>
      <c r="AA36" s="1816">
        <f t="shared" si="3"/>
        <v>1</v>
      </c>
      <c r="AB36" s="1816">
        <f t="shared" si="4"/>
        <v>1</v>
      </c>
      <c r="AC36" s="1816">
        <f t="shared" si="5"/>
        <v>1</v>
      </c>
    </row>
    <row r="37" spans="1:29" ht="15">
      <c r="A37" s="480" t="s">
        <v>2718</v>
      </c>
      <c r="B37" s="2701" t="s">
        <v>2719</v>
      </c>
      <c r="C37" s="1411" t="s">
        <v>1</v>
      </c>
      <c r="D37" s="1412"/>
      <c r="E37" s="1413"/>
      <c r="F37" s="1414"/>
      <c r="G37" s="1415"/>
      <c r="H37" s="1416"/>
      <c r="I37" s="1413"/>
      <c r="J37" s="1416"/>
      <c r="K37" s="620"/>
      <c r="L37" s="1147"/>
      <c r="M37" s="1148"/>
      <c r="N37" s="1135"/>
      <c r="O37" s="1148"/>
      <c r="P37" s="3151" t="str">
        <f>A37</f>
        <v>成交单价</v>
      </c>
      <c r="Q37" s="3151"/>
      <c r="R37" s="3152">
        <f>E37</f>
        <v>0</v>
      </c>
      <c r="S37" s="3152"/>
      <c r="T37" s="3152">
        <f>G37</f>
        <v>0</v>
      </c>
      <c r="U37" s="3152"/>
      <c r="V37" s="3152">
        <f>I37</f>
        <v>0</v>
      </c>
      <c r="W37" s="3152"/>
      <c r="X37" s="760"/>
      <c r="Y37" s="782"/>
      <c r="Z37" s="760"/>
      <c r="AA37" s="760"/>
      <c r="AB37" s="760"/>
      <c r="AC37" s="760"/>
    </row>
    <row r="38" spans="1:29" ht="15.75" thickBot="1">
      <c r="A38" s="487" t="s">
        <v>2720</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151" t="str">
        <f>A38</f>
        <v>比较价值（元/平方米）</v>
      </c>
      <c r="Q38" s="3151"/>
      <c r="R38" s="3152" t="e">
        <f>IF(F1="售价",ROUND(PRODUCT(R37,AA7:AA36),0),ROUND(PRODUCT(R37,AA7:AA36),1))</f>
        <v>#DIV/0!</v>
      </c>
      <c r="S38" s="3152"/>
      <c r="T38" s="3152" t="e">
        <f>IF(F1="售价",ROUND(PRODUCT(T37,AB7:AB36),0),ROUND(PRODUCT(T37,AB7:AB36),1))</f>
        <v>#DIV/0!</v>
      </c>
      <c r="U38" s="3152"/>
      <c r="V38" s="3152" t="e">
        <f>IF(F1="售价",ROUND(PRODUCT(V37,AC7:AC36),0),ROUND(PRODUCT(V37,AC7:AC36),1))</f>
        <v>#DIV/0!</v>
      </c>
      <c r="W38" s="3152"/>
      <c r="X38" s="760"/>
      <c r="Y38" s="760"/>
      <c r="Z38" s="760"/>
      <c r="AA38" s="760"/>
      <c r="AB38" s="760"/>
      <c r="AC38" s="760"/>
    </row>
    <row r="39" spans="1:29" ht="15.75" thickBot="1">
      <c r="A39" s="493" t="s">
        <v>2721</v>
      </c>
      <c r="B39" s="494"/>
      <c r="C39" s="1421" t="e">
        <f>R39</f>
        <v>#DIV/0!</v>
      </c>
      <c r="D39" s="1421"/>
      <c r="E39" s="1421"/>
      <c r="F39" s="1421"/>
      <c r="G39" s="1421"/>
      <c r="H39" s="1421"/>
      <c r="I39" s="1421"/>
      <c r="J39" s="1421"/>
      <c r="K39" s="622"/>
      <c r="L39" s="1147"/>
      <c r="M39" s="1148"/>
      <c r="N39" s="1148"/>
      <c r="O39" s="1148"/>
      <c r="P39" s="3229" t="str">
        <f>A39</f>
        <v>估价对象XX用房的比较价值（楼面单价，元/平方米）</v>
      </c>
      <c r="Q39" s="3230"/>
      <c r="R39" s="3231" t="e">
        <f>IF(F1="售价",ROUND(AVERAGE(R38:V38),0),ROUND(AVERAGE(R38:V38),1))</f>
        <v>#DIV/0!</v>
      </c>
      <c r="S39" s="3231"/>
      <c r="T39" s="3231"/>
      <c r="U39" s="3231"/>
      <c r="V39" s="3231"/>
      <c r="W39" s="3231"/>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2722</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2723</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2724</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2725</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2726</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2583</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2548</v>
      </c>
      <c r="B51" s="511"/>
      <c r="C51" s="523" t="s">
        <v>2650</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2586</v>
      </c>
      <c r="B53" s="529" t="s">
        <v>2552</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2555</v>
      </c>
      <c r="C55" s="540" t="s">
        <v>2587</v>
      </c>
      <c r="D55" s="540" t="s">
        <v>2588</v>
      </c>
      <c r="E55" s="540" t="s">
        <v>2589</v>
      </c>
      <c r="F55" s="540" t="s">
        <v>2590</v>
      </c>
      <c r="G55" s="540" t="s">
        <v>2591</v>
      </c>
      <c r="H55" s="540" t="s">
        <v>2592</v>
      </c>
      <c r="I55" s="540" t="s">
        <v>2593</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2557</v>
      </c>
      <c r="B63" s="529" t="s">
        <v>2600</v>
      </c>
      <c r="C63" s="574" t="s">
        <v>2595</v>
      </c>
      <c r="D63" s="574" t="s">
        <v>2596</v>
      </c>
      <c r="E63" s="574" t="s">
        <v>2597</v>
      </c>
      <c r="F63" s="574" t="s">
        <v>2598</v>
      </c>
      <c r="G63" s="574" t="s">
        <v>2599</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2601</v>
      </c>
      <c r="C65" s="579" t="s">
        <v>2595</v>
      </c>
      <c r="D65" s="579" t="s">
        <v>2596</v>
      </c>
      <c r="E65" s="579" t="s">
        <v>2597</v>
      </c>
      <c r="F65" s="579" t="s">
        <v>2598</v>
      </c>
      <c r="G65" s="579" t="s">
        <v>2599</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2687</v>
      </c>
      <c r="C67" s="661" t="s">
        <v>2673</v>
      </c>
      <c r="D67" s="661" t="s">
        <v>2674</v>
      </c>
      <c r="E67" s="661" t="s">
        <v>2675</v>
      </c>
      <c r="F67" s="661" t="s">
        <v>2676</v>
      </c>
      <c r="G67" s="661" t="s">
        <v>2677</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2607</v>
      </c>
      <c r="C69" s="579" t="s">
        <v>2595</v>
      </c>
      <c r="D69" s="579" t="s">
        <v>2596</v>
      </c>
      <c r="E69" s="579" t="s">
        <v>2597</v>
      </c>
      <c r="F69" s="579" t="s">
        <v>2598</v>
      </c>
      <c r="G69" s="579" t="s">
        <v>2599</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2727</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2561</v>
      </c>
      <c r="B79" s="529" t="s">
        <v>2728</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2729</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2614</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2730</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2731</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2732</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2733</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2734</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2705</v>
      </c>
      <c r="B1" s="1624"/>
      <c r="C1" s="1625" t="s">
        <v>2528</v>
      </c>
      <c r="D1" s="1626"/>
      <c r="E1" s="1635"/>
      <c r="F1" s="2590"/>
      <c r="G1" s="1636" t="s">
        <v>2641</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2325</v>
      </c>
      <c r="B2" s="1422" t="e">
        <f ca="1">IF(C2="——",ROUND(C37*D3/10000,0),ROUND(C37*D3/10000,0)-D2)</f>
        <v>#DIV/0!</v>
      </c>
      <c r="C2" s="2592"/>
      <c r="D2" s="1128" t="e">
        <f ca="1">SUMIF(INDIRECT("'"&amp;F2&amp;"'"&amp;"!A:A"),"承租人权益价值",INDIRECT("'"&amp;F2&amp;"'"&amp;"!c:c"))</f>
        <v>#REF!</v>
      </c>
      <c r="E2" s="2593" t="s">
        <v>2326</v>
      </c>
      <c r="F2" s="2594"/>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t="e">
        <f ca="1">IF(C2="——",C37,ROUND(B2*10000/D3,0))</f>
        <v>#DIV/0!</v>
      </c>
      <c r="C3" s="401" t="s">
        <v>2642</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168" t="s">
        <v>2644</v>
      </c>
      <c r="D4" s="3169"/>
      <c r="E4" s="3170" t="s">
        <v>2645</v>
      </c>
      <c r="F4" s="3171"/>
      <c r="G4" s="3168" t="s">
        <v>2646</v>
      </c>
      <c r="H4" s="3169"/>
      <c r="I4" s="3168" t="s">
        <v>2647</v>
      </c>
      <c r="J4" s="3169"/>
      <c r="K4" s="611" t="s">
        <v>2648</v>
      </c>
      <c r="L4" s="1134"/>
      <c r="M4" s="1135"/>
      <c r="N4" s="1135"/>
      <c r="O4" s="1135"/>
      <c r="P4" s="3233" t="s">
        <v>2649</v>
      </c>
      <c r="Q4" s="3234"/>
      <c r="R4" s="3237" t="s">
        <v>2645</v>
      </c>
      <c r="S4" s="3238"/>
      <c r="T4" s="3237" t="s">
        <v>2646</v>
      </c>
      <c r="U4" s="3238"/>
      <c r="V4" s="3185" t="s">
        <v>2647</v>
      </c>
      <c r="W4" s="3185"/>
      <c r="X4" s="1818"/>
      <c r="Y4" s="3237" t="s">
        <v>2649</v>
      </c>
      <c r="Z4" s="3238"/>
      <c r="AA4" s="3232" t="s">
        <v>2645</v>
      </c>
      <c r="AB4" s="3198" t="s">
        <v>2646</v>
      </c>
      <c r="AC4" s="3232" t="s">
        <v>2647</v>
      </c>
    </row>
    <row r="5" spans="1:29" ht="15">
      <c r="A5" s="405"/>
      <c r="B5" s="406"/>
      <c r="C5" s="3194" t="s">
        <v>2540</v>
      </c>
      <c r="D5" s="3189"/>
      <c r="E5" s="3239" t="s">
        <v>2541</v>
      </c>
      <c r="F5" s="3201"/>
      <c r="G5" s="3194" t="s">
        <v>2542</v>
      </c>
      <c r="H5" s="3189"/>
      <c r="I5" s="3194" t="s">
        <v>2543</v>
      </c>
      <c r="J5" s="3189"/>
      <c r="K5" s="611"/>
      <c r="L5" s="1134"/>
      <c r="M5" s="1135"/>
      <c r="N5" s="1135"/>
      <c r="O5" s="1135"/>
      <c r="P5" s="3235"/>
      <c r="Q5" s="3175"/>
      <c r="R5" s="3180"/>
      <c r="S5" s="3181"/>
      <c r="T5" s="3180"/>
      <c r="U5" s="3181"/>
      <c r="V5" s="3185"/>
      <c r="W5" s="3185"/>
      <c r="X5" s="1818"/>
      <c r="Y5" s="3180"/>
      <c r="Z5" s="3181"/>
      <c r="AA5" s="3198"/>
      <c r="AB5" s="3198"/>
      <c r="AC5" s="3198"/>
    </row>
    <row r="6" spans="1:29" ht="15.75" thickBot="1">
      <c r="A6" s="407"/>
      <c r="B6" s="408"/>
      <c r="C6" s="3186" t="s">
        <v>2544</v>
      </c>
      <c r="D6" s="3187"/>
      <c r="E6" s="3195" t="s">
        <v>2544</v>
      </c>
      <c r="F6" s="3196"/>
      <c r="G6" s="3186" t="s">
        <v>2544</v>
      </c>
      <c r="H6" s="3187"/>
      <c r="I6" s="3186" t="s">
        <v>2544</v>
      </c>
      <c r="J6" s="3187"/>
      <c r="K6" s="611" t="s">
        <v>2545</v>
      </c>
      <c r="L6" s="1134"/>
      <c r="M6" s="1135"/>
      <c r="N6" s="1135"/>
      <c r="O6" s="1135"/>
      <c r="P6" s="3236"/>
      <c r="Q6" s="3177"/>
      <c r="R6" s="3180"/>
      <c r="S6" s="3181"/>
      <c r="T6" s="3182"/>
      <c r="U6" s="3183"/>
      <c r="V6" s="3185"/>
      <c r="W6" s="3185"/>
      <c r="X6" s="1818"/>
      <c r="Y6" s="3182"/>
      <c r="Z6" s="3183"/>
      <c r="AA6" s="3199"/>
      <c r="AB6" s="3199"/>
      <c r="AC6" s="3199"/>
    </row>
    <row r="7" spans="1:29" s="117" customFormat="1" ht="15.75" thickBot="1">
      <c r="A7" s="409" t="s">
        <v>2546</v>
      </c>
      <c r="B7" s="410"/>
      <c r="C7" s="411">
        <f>'数据-取费表'!B2</f>
        <v>43053</v>
      </c>
      <c r="D7" s="412">
        <v>100</v>
      </c>
      <c r="E7" s="413"/>
      <c r="F7" s="414">
        <f>SUMIF(46:46,YEAR(E7)&amp;"-"&amp;MONTH(E7),47:47)</f>
        <v>0</v>
      </c>
      <c r="G7" s="2702"/>
      <c r="H7" s="412">
        <f>SUMIF(46:46,YEAR(G7)&amp;"-"&amp;MONTH(G7),47:47)</f>
        <v>0</v>
      </c>
      <c r="I7" s="413"/>
      <c r="J7" s="412">
        <f>SUMIF(46:46,YEAR(I7)&amp;"-"&amp;MONTH(I7),47:47)</f>
        <v>0</v>
      </c>
      <c r="K7" s="612"/>
      <c r="L7" s="1136"/>
      <c r="M7" s="1137"/>
      <c r="N7" s="1137"/>
      <c r="O7" s="1137"/>
      <c r="P7" s="3192" t="s">
        <v>2547</v>
      </c>
      <c r="Q7" s="3193"/>
      <c r="R7" s="771" t="s">
        <v>17</v>
      </c>
      <c r="S7" s="772">
        <f t="shared" ref="S7:S14" si="0">F7</f>
        <v>0</v>
      </c>
      <c r="T7" s="771" t="s">
        <v>17</v>
      </c>
      <c r="U7" s="772">
        <f t="shared" ref="U7:U14" si="1">H7</f>
        <v>0</v>
      </c>
      <c r="V7" s="771" t="s">
        <v>17</v>
      </c>
      <c r="W7" s="772">
        <f t="shared" ref="W7:W14" si="2">J7</f>
        <v>0</v>
      </c>
      <c r="X7" s="773"/>
      <c r="Y7" s="3192" t="s">
        <v>2547</v>
      </c>
      <c r="Z7" s="3191"/>
      <c r="AA7" s="774" t="e">
        <f>D7/F7</f>
        <v>#DIV/0!</v>
      </c>
      <c r="AB7" s="774" t="e">
        <f>D7/H7</f>
        <v>#DIV/0!</v>
      </c>
      <c r="AC7" s="774" t="e">
        <f>D7/J7</f>
        <v>#DIV/0!</v>
      </c>
    </row>
    <row r="8" spans="1:29" s="117" customFormat="1" ht="15.75" thickBot="1">
      <c r="A8" s="409" t="s">
        <v>2548</v>
      </c>
      <c r="B8" s="410"/>
      <c r="C8" s="415" t="s">
        <v>2650</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192" t="s">
        <v>2550</v>
      </c>
      <c r="Q8" s="3191"/>
      <c r="R8" s="771" t="s">
        <v>17</v>
      </c>
      <c r="S8" s="772">
        <f t="shared" si="0"/>
        <v>0</v>
      </c>
      <c r="T8" s="771" t="s">
        <v>17</v>
      </c>
      <c r="U8" s="772">
        <f t="shared" si="1"/>
        <v>0</v>
      </c>
      <c r="V8" s="771" t="s">
        <v>17</v>
      </c>
      <c r="W8" s="772">
        <f t="shared" si="2"/>
        <v>0</v>
      </c>
      <c r="X8" s="773"/>
      <c r="Y8" s="3192" t="s">
        <v>2550</v>
      </c>
      <c r="Z8" s="3191"/>
      <c r="AA8" s="774" t="e">
        <f t="shared" ref="AA8:AA34" si="3">D8/F8</f>
        <v>#DIV/0!</v>
      </c>
      <c r="AB8" s="774" t="e">
        <f t="shared" ref="AB8:AB34" si="4">D8/H8</f>
        <v>#DIV/0!</v>
      </c>
      <c r="AC8" s="774" t="e">
        <f t="shared" ref="AC8:AC34" si="5">D8/J8</f>
        <v>#DIV/0!</v>
      </c>
    </row>
    <row r="9" spans="1:29" s="117" customFormat="1">
      <c r="A9" s="416" t="s">
        <v>2551</v>
      </c>
      <c r="B9" s="71" t="s">
        <v>2552</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151" t="s">
        <v>2553</v>
      </c>
      <c r="Q9" s="1800" t="str">
        <f t="shared" ref="Q9:Q14" si="6">B9</f>
        <v>用途</v>
      </c>
      <c r="R9" s="771" t="s">
        <v>17</v>
      </c>
      <c r="S9" s="772">
        <f t="shared" si="0"/>
        <v>100</v>
      </c>
      <c r="T9" s="771" t="s">
        <v>17</v>
      </c>
      <c r="U9" s="772">
        <f t="shared" si="1"/>
        <v>100</v>
      </c>
      <c r="V9" s="771" t="s">
        <v>17</v>
      </c>
      <c r="W9" s="772">
        <f t="shared" si="2"/>
        <v>100</v>
      </c>
      <c r="X9" s="773"/>
      <c r="Y9" s="3005" t="s">
        <v>2554</v>
      </c>
      <c r="Z9" s="55" t="str">
        <f t="shared" ref="Z9:Z14" si="7">Q9</f>
        <v>用途</v>
      </c>
      <c r="AA9" s="774">
        <f t="shared" si="3"/>
        <v>1</v>
      </c>
      <c r="AB9" s="774">
        <f t="shared" si="4"/>
        <v>1</v>
      </c>
      <c r="AC9" s="774">
        <f t="shared" si="5"/>
        <v>1</v>
      </c>
    </row>
    <row r="10" spans="1:29" s="428" customFormat="1" ht="27">
      <c r="A10" s="422"/>
      <c r="B10" s="423" t="s">
        <v>2555</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151"/>
      <c r="Q10" s="1800" t="str">
        <f t="shared" si="6"/>
        <v>土地使用年限（年）</v>
      </c>
      <c r="R10" s="771" t="s">
        <v>17</v>
      </c>
      <c r="S10" s="772">
        <f t="shared" si="0"/>
        <v>100</v>
      </c>
      <c r="T10" s="771" t="s">
        <v>17</v>
      </c>
      <c r="U10" s="772">
        <f t="shared" si="1"/>
        <v>100</v>
      </c>
      <c r="V10" s="771" t="s">
        <v>17</v>
      </c>
      <c r="W10" s="772">
        <f t="shared" si="2"/>
        <v>100</v>
      </c>
      <c r="X10" s="773"/>
      <c r="Y10" s="3005"/>
      <c r="Z10" s="55" t="str">
        <f t="shared" si="7"/>
        <v>土地使用年限（年）</v>
      </c>
      <c r="AA10" s="774">
        <f t="shared" si="3"/>
        <v>1</v>
      </c>
      <c r="AB10" s="774">
        <f t="shared" si="4"/>
        <v>1</v>
      </c>
      <c r="AC10" s="774">
        <f t="shared" si="5"/>
        <v>1</v>
      </c>
    </row>
    <row r="11" spans="1:29" ht="15">
      <c r="A11" s="429"/>
      <c r="B11" s="2606">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151"/>
      <c r="Q11" s="1800">
        <f t="shared" si="6"/>
        <v>111</v>
      </c>
      <c r="R11" s="771" t="s">
        <v>17</v>
      </c>
      <c r="S11" s="772">
        <f t="shared" si="0"/>
        <v>100</v>
      </c>
      <c r="T11" s="771" t="s">
        <v>17</v>
      </c>
      <c r="U11" s="772">
        <f t="shared" si="1"/>
        <v>100</v>
      </c>
      <c r="V11" s="771" t="s">
        <v>17</v>
      </c>
      <c r="W11" s="772">
        <f t="shared" si="2"/>
        <v>100</v>
      </c>
      <c r="X11" s="773"/>
      <c r="Y11" s="3005"/>
      <c r="Z11" s="55">
        <f t="shared" si="7"/>
        <v>111</v>
      </c>
      <c r="AA11" s="774">
        <f t="shared" si="3"/>
        <v>1</v>
      </c>
      <c r="AB11" s="774">
        <f t="shared" si="4"/>
        <v>1</v>
      </c>
      <c r="AC11" s="774">
        <f t="shared" si="5"/>
        <v>1</v>
      </c>
    </row>
    <row r="12" spans="1:29" s="117" customFormat="1" ht="15">
      <c r="A12" s="432"/>
      <c r="B12" s="2606">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151"/>
      <c r="Q12" s="1800">
        <f t="shared" si="6"/>
        <v>111</v>
      </c>
      <c r="R12" s="771" t="s">
        <v>17</v>
      </c>
      <c r="S12" s="772">
        <f t="shared" si="0"/>
        <v>100</v>
      </c>
      <c r="T12" s="771" t="s">
        <v>17</v>
      </c>
      <c r="U12" s="772">
        <f t="shared" si="1"/>
        <v>100</v>
      </c>
      <c r="V12" s="771" t="s">
        <v>17</v>
      </c>
      <c r="W12" s="772">
        <f t="shared" si="2"/>
        <v>100</v>
      </c>
      <c r="X12" s="773"/>
      <c r="Y12" s="3005"/>
      <c r="Z12" s="55">
        <f t="shared" si="7"/>
        <v>111</v>
      </c>
      <c r="AA12" s="774">
        <f>D12/F12</f>
        <v>1</v>
      </c>
      <c r="AB12" s="774">
        <f>D12/H12</f>
        <v>1</v>
      </c>
      <c r="AC12" s="774">
        <f>D12/J12</f>
        <v>1</v>
      </c>
    </row>
    <row r="13" spans="1:29" ht="15.75" thickBot="1">
      <c r="A13" s="429"/>
      <c r="B13" s="2606">
        <v>111</v>
      </c>
      <c r="C13" s="435"/>
      <c r="D13" s="436">
        <v>100</v>
      </c>
      <c r="E13" s="470"/>
      <c r="F13" s="426">
        <f>SUMIF(59:59,E13,60:60)-SUMIF(59:59,C13,60:60)+100</f>
        <v>100</v>
      </c>
      <c r="G13" s="2703"/>
      <c r="H13" s="439">
        <f>SUMIF(59:59,G13,60:60)-SUMIF(59:59,C13,60:60)+100</f>
        <v>100</v>
      </c>
      <c r="I13" s="470"/>
      <c r="J13" s="436">
        <f>SUMIF(59:59,I13,60:60)-SUMIF(59:59,C13,60:60)+100</f>
        <v>100</v>
      </c>
      <c r="K13" s="614"/>
      <c r="L13" s="1144"/>
      <c r="M13" s="1135"/>
      <c r="N13" s="1135"/>
      <c r="O13" s="1143"/>
      <c r="P13" s="3151"/>
      <c r="Q13" s="1800">
        <f t="shared" si="6"/>
        <v>111</v>
      </c>
      <c r="R13" s="771" t="s">
        <v>17</v>
      </c>
      <c r="S13" s="772">
        <f t="shared" si="0"/>
        <v>100</v>
      </c>
      <c r="T13" s="771" t="s">
        <v>17</v>
      </c>
      <c r="U13" s="772">
        <f t="shared" si="1"/>
        <v>100</v>
      </c>
      <c r="V13" s="771" t="s">
        <v>17</v>
      </c>
      <c r="W13" s="772">
        <f t="shared" si="2"/>
        <v>100</v>
      </c>
      <c r="X13" s="773"/>
      <c r="Y13" s="3005"/>
      <c r="Z13" s="55">
        <f t="shared" si="7"/>
        <v>111</v>
      </c>
      <c r="AA13" s="774">
        <f t="shared" si="3"/>
        <v>1</v>
      </c>
      <c r="AB13" s="774">
        <f t="shared" si="4"/>
        <v>1</v>
      </c>
      <c r="AC13" s="774">
        <f t="shared" si="5"/>
        <v>1</v>
      </c>
    </row>
    <row r="14" spans="1:29" ht="71.25">
      <c r="A14" s="441" t="s">
        <v>2557</v>
      </c>
      <c r="B14" s="69" t="s">
        <v>2707</v>
      </c>
      <c r="C14" s="2699" t="str">
        <f>IF(B1="工业",估价对象房地状况!G4,估价对象房地状况!C6)</f>
        <v>估价对象周边道路通达、公共交通通达、停车便捷，综合评价交通便捷度较好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158" t="s">
        <v>2558</v>
      </c>
      <c r="Q14" s="1815" t="str">
        <f t="shared" si="6"/>
        <v>交通便捷度</v>
      </c>
      <c r="R14" s="775" t="s">
        <v>17</v>
      </c>
      <c r="S14" s="776">
        <f t="shared" si="0"/>
        <v>100</v>
      </c>
      <c r="T14" s="775" t="s">
        <v>17</v>
      </c>
      <c r="U14" s="776">
        <f t="shared" si="1"/>
        <v>100</v>
      </c>
      <c r="V14" s="775" t="s">
        <v>17</v>
      </c>
      <c r="W14" s="776">
        <f t="shared" si="2"/>
        <v>100</v>
      </c>
      <c r="X14" s="1818"/>
      <c r="Y14" s="3158" t="s">
        <v>2558</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159"/>
      <c r="Q15" s="1815"/>
      <c r="R15" s="775"/>
      <c r="S15" s="776"/>
      <c r="T15" s="775"/>
      <c r="U15" s="776"/>
      <c r="V15" s="775"/>
      <c r="W15" s="776"/>
      <c r="X15" s="1818"/>
      <c r="Y15" s="3159"/>
      <c r="Z15" s="1819"/>
      <c r="AA15" s="1816">
        <v>1</v>
      </c>
      <c r="AB15" s="1816">
        <v>1</v>
      </c>
      <c r="AC15" s="1816">
        <v>1</v>
      </c>
    </row>
    <row r="16" spans="1:29" ht="42.75">
      <c r="A16" s="429"/>
      <c r="B16" s="452" t="s">
        <v>2686</v>
      </c>
      <c r="C16" s="2613" t="str">
        <f>IF(B1="工业",估价对象房地状况!G5,估价对象房地状况!C7)</f>
        <v>估价对象所在区域公共配套设施齐备</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159"/>
      <c r="Q16" s="1815" t="str">
        <f>B16</f>
        <v>公共配套设施</v>
      </c>
      <c r="R16" s="775" t="s">
        <v>17</v>
      </c>
      <c r="S16" s="776">
        <f>F16</f>
        <v>100</v>
      </c>
      <c r="T16" s="775" t="s">
        <v>17</v>
      </c>
      <c r="U16" s="776">
        <f>H16</f>
        <v>100</v>
      </c>
      <c r="V16" s="775" t="s">
        <v>17</v>
      </c>
      <c r="W16" s="776">
        <f>J16</f>
        <v>100</v>
      </c>
      <c r="X16" s="1818"/>
      <c r="Y16" s="3159"/>
      <c r="Z16" s="1819" t="str">
        <f>Q16</f>
        <v>公共配套设施</v>
      </c>
      <c r="AA16" s="1816">
        <f t="shared" si="3"/>
        <v>1</v>
      </c>
      <c r="AB16" s="1816">
        <f t="shared" si="4"/>
        <v>1</v>
      </c>
      <c r="AC16" s="1816">
        <f t="shared" si="5"/>
        <v>1</v>
      </c>
    </row>
    <row r="17" spans="1:29" ht="15">
      <c r="A17" s="429"/>
      <c r="B17" s="457"/>
      <c r="C17" s="2614"/>
      <c r="D17" s="449"/>
      <c r="E17" s="448"/>
      <c r="F17" s="450"/>
      <c r="G17" s="448"/>
      <c r="H17" s="449"/>
      <c r="I17" s="448"/>
      <c r="J17" s="449"/>
      <c r="K17" s="616"/>
      <c r="L17" s="1144"/>
      <c r="M17" s="1135"/>
      <c r="N17" s="1135"/>
      <c r="O17" s="1143"/>
      <c r="P17" s="3159"/>
      <c r="Q17" s="1815"/>
      <c r="R17" s="775"/>
      <c r="S17" s="776"/>
      <c r="T17" s="775"/>
      <c r="U17" s="776"/>
      <c r="V17" s="775"/>
      <c r="W17" s="776"/>
      <c r="X17" s="1818"/>
      <c r="Y17" s="3159"/>
      <c r="Z17" s="1819"/>
      <c r="AA17" s="1816">
        <v>1</v>
      </c>
      <c r="AB17" s="1816">
        <v>1</v>
      </c>
      <c r="AC17" s="1816">
        <v>1</v>
      </c>
    </row>
    <row r="18" spans="1:29" ht="42.75">
      <c r="A18" s="429"/>
      <c r="B18" s="1388" t="s">
        <v>2687</v>
      </c>
      <c r="C18" s="2613" t="str">
        <f>IF(B1="工业",估价对象房地状况!G6,估价对象房地状况!C8)</f>
        <v>估价对象所在区域基础设施水平达七通</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159"/>
      <c r="Q18" s="1815" t="str">
        <f>B18</f>
        <v>基础设施水平</v>
      </c>
      <c r="R18" s="775" t="s">
        <v>17</v>
      </c>
      <c r="S18" s="776">
        <f>F18</f>
        <v>100</v>
      </c>
      <c r="T18" s="775" t="s">
        <v>17</v>
      </c>
      <c r="U18" s="776">
        <f>H18</f>
        <v>100</v>
      </c>
      <c r="V18" s="775" t="s">
        <v>17</v>
      </c>
      <c r="W18" s="776">
        <f>J18</f>
        <v>100</v>
      </c>
      <c r="X18" s="1818"/>
      <c r="Y18" s="3159"/>
      <c r="Z18" s="1819" t="str">
        <f>Q18</f>
        <v>基础设施水平</v>
      </c>
      <c r="AA18" s="1816">
        <f t="shared" ref="AA18" si="8">D18/F18</f>
        <v>1</v>
      </c>
      <c r="AB18" s="1816">
        <f t="shared" ref="AB18" si="9">D18/H18</f>
        <v>1</v>
      </c>
      <c r="AC18" s="1816">
        <f t="shared" ref="AC18" si="10">D18/J18</f>
        <v>1</v>
      </c>
    </row>
    <row r="19" spans="1:29" ht="15">
      <c r="A19" s="429"/>
      <c r="B19" s="1388"/>
      <c r="C19" s="2614"/>
      <c r="D19" s="451"/>
      <c r="E19" s="2614"/>
      <c r="F19" s="454"/>
      <c r="G19" s="2614"/>
      <c r="H19" s="449"/>
      <c r="I19" s="448"/>
      <c r="J19" s="449"/>
      <c r="K19" s="1387"/>
      <c r="L19" s="1144"/>
      <c r="M19" s="1135"/>
      <c r="N19" s="1135"/>
      <c r="O19" s="1143"/>
      <c r="P19" s="3159"/>
      <c r="Q19" s="1815"/>
      <c r="R19" s="775"/>
      <c r="S19" s="776"/>
      <c r="T19" s="775"/>
      <c r="U19" s="776"/>
      <c r="V19" s="775"/>
      <c r="W19" s="776"/>
      <c r="X19" s="1818"/>
      <c r="Y19" s="3159"/>
      <c r="Z19" s="1819"/>
      <c r="AA19" s="1816">
        <v>1</v>
      </c>
      <c r="AB19" s="1816">
        <v>1</v>
      </c>
      <c r="AC19" s="1816">
        <v>1</v>
      </c>
    </row>
    <row r="20" spans="1:29" ht="57">
      <c r="A20" s="429"/>
      <c r="B20" s="452" t="s">
        <v>2708</v>
      </c>
      <c r="C20" s="2613" t="str">
        <f>IF(B1="工业",估价对象房地状况!G7,估价对象房地状况!C9)</f>
        <v>区域自然环境较好；人文环境较好；综合评价环境状况较好</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159"/>
      <c r="Q20" s="1815" t="str">
        <f>B20</f>
        <v>自然及人文环境</v>
      </c>
      <c r="R20" s="775" t="s">
        <v>17</v>
      </c>
      <c r="S20" s="776">
        <f>F20</f>
        <v>100</v>
      </c>
      <c r="T20" s="775" t="s">
        <v>17</v>
      </c>
      <c r="U20" s="776">
        <f>H20</f>
        <v>100</v>
      </c>
      <c r="V20" s="775" t="s">
        <v>17</v>
      </c>
      <c r="W20" s="776">
        <f>J20</f>
        <v>100</v>
      </c>
      <c r="X20" s="1818"/>
      <c r="Y20" s="3159"/>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159"/>
      <c r="Q21" s="1815"/>
      <c r="R21" s="775"/>
      <c r="S21" s="776"/>
      <c r="T21" s="775"/>
      <c r="U21" s="776"/>
      <c r="V21" s="775"/>
      <c r="W21" s="776"/>
      <c r="X21" s="1818"/>
      <c r="Y21" s="3159"/>
      <c r="Z21" s="1819"/>
      <c r="AA21" s="1816">
        <v>1</v>
      </c>
      <c r="AB21" s="1816">
        <v>1</v>
      </c>
      <c r="AC21" s="1816">
        <v>1</v>
      </c>
    </row>
    <row r="22" spans="1:29" ht="15">
      <c r="A22" s="429"/>
      <c r="B22" s="452" t="s">
        <v>2709</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159"/>
      <c r="Q22" s="1815" t="str">
        <f>B22</f>
        <v>楼层</v>
      </c>
      <c r="R22" s="775" t="s">
        <v>17</v>
      </c>
      <c r="S22" s="776">
        <f>F22</f>
        <v>100</v>
      </c>
      <c r="T22" s="775" t="s">
        <v>17</v>
      </c>
      <c r="U22" s="776">
        <f>H22</f>
        <v>100</v>
      </c>
      <c r="V22" s="775" t="s">
        <v>17</v>
      </c>
      <c r="W22" s="776">
        <f>J22</f>
        <v>100</v>
      </c>
      <c r="X22" s="1818"/>
      <c r="Y22" s="3159"/>
      <c r="Z22" s="1819" t="str">
        <f>Q22</f>
        <v>楼层</v>
      </c>
      <c r="AA22" s="1816">
        <f t="shared" si="3"/>
        <v>1</v>
      </c>
      <c r="AB22" s="1816">
        <f t="shared" si="4"/>
        <v>1</v>
      </c>
      <c r="AC22" s="1816">
        <f t="shared" si="5"/>
        <v>1</v>
      </c>
    </row>
    <row r="23" spans="1:29" ht="15">
      <c r="A23" s="405"/>
      <c r="B23" s="2606">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159"/>
      <c r="Q23" s="1815">
        <f>B23</f>
        <v>111</v>
      </c>
      <c r="R23" s="775" t="s">
        <v>17</v>
      </c>
      <c r="S23" s="776">
        <f>F23</f>
        <v>100</v>
      </c>
      <c r="T23" s="775" t="s">
        <v>17</v>
      </c>
      <c r="U23" s="776">
        <f>H23</f>
        <v>100</v>
      </c>
      <c r="V23" s="775" t="s">
        <v>17</v>
      </c>
      <c r="W23" s="776">
        <f>J23</f>
        <v>100</v>
      </c>
      <c r="X23" s="1818"/>
      <c r="Y23" s="3159"/>
      <c r="Z23" s="1819">
        <f>Q23</f>
        <v>111</v>
      </c>
      <c r="AA23" s="1816">
        <f t="shared" si="3"/>
        <v>1</v>
      </c>
      <c r="AB23" s="1816">
        <f t="shared" si="4"/>
        <v>1</v>
      </c>
      <c r="AC23" s="1816">
        <f t="shared" si="5"/>
        <v>1</v>
      </c>
    </row>
    <row r="24" spans="1:29" ht="15">
      <c r="A24" s="429"/>
      <c r="B24" s="2606">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159"/>
      <c r="Q24" s="1815">
        <f t="shared" ref="Q24:Q34" si="11">B24</f>
        <v>111</v>
      </c>
      <c r="R24" s="775" t="s">
        <v>17</v>
      </c>
      <c r="S24" s="776">
        <f>F24</f>
        <v>100</v>
      </c>
      <c r="T24" s="775" t="s">
        <v>17</v>
      </c>
      <c r="U24" s="776">
        <f>H24</f>
        <v>100</v>
      </c>
      <c r="V24" s="775" t="s">
        <v>17</v>
      </c>
      <c r="W24" s="776">
        <f>J24</f>
        <v>100</v>
      </c>
      <c r="X24" s="1818"/>
      <c r="Y24" s="3159"/>
      <c r="Z24" s="1819">
        <f>Q24</f>
        <v>111</v>
      </c>
      <c r="AA24" s="1816">
        <f t="shared" si="3"/>
        <v>1</v>
      </c>
      <c r="AB24" s="1816">
        <f t="shared" si="4"/>
        <v>1</v>
      </c>
      <c r="AC24" s="1816">
        <f t="shared" si="5"/>
        <v>1</v>
      </c>
    </row>
    <row r="25" spans="1:29" s="117" customFormat="1" ht="15.75" thickBot="1">
      <c r="A25" s="432"/>
      <c r="B25" s="2606">
        <v>111</v>
      </c>
      <c r="C25" s="2704"/>
      <c r="D25" s="666">
        <v>100</v>
      </c>
      <c r="E25" s="2704"/>
      <c r="F25" s="667">
        <f>SUMIF(75:75,E25,76:76)-SUMIF(75:75,C25,76:76)+100</f>
        <v>100</v>
      </c>
      <c r="G25" s="2704"/>
      <c r="H25" s="666">
        <f>SUMIF(75:75,G25,76:76)-SUMIF(75:75,C25,76:76)+100</f>
        <v>100</v>
      </c>
      <c r="I25" s="2704"/>
      <c r="J25" s="666">
        <f>SUMIF(75:75,I25,76:76)-SUMIF(75:75,C25,76:76)+100</f>
        <v>100</v>
      </c>
      <c r="K25" s="614"/>
      <c r="L25" s="1136"/>
      <c r="M25" s="1137"/>
      <c r="N25" s="1137"/>
      <c r="O25" s="1138"/>
      <c r="P25" s="3159"/>
      <c r="Q25" s="1800">
        <f t="shared" si="11"/>
        <v>111</v>
      </c>
      <c r="R25" s="771" t="s">
        <v>17</v>
      </c>
      <c r="S25" s="772">
        <f>F25</f>
        <v>100</v>
      </c>
      <c r="T25" s="771" t="s">
        <v>17</v>
      </c>
      <c r="U25" s="772">
        <f>H25</f>
        <v>100</v>
      </c>
      <c r="V25" s="771" t="s">
        <v>17</v>
      </c>
      <c r="W25" s="772">
        <f>J25</f>
        <v>100</v>
      </c>
      <c r="X25" s="773"/>
      <c r="Y25" s="3159"/>
      <c r="Z25" s="55">
        <f>Q25</f>
        <v>111</v>
      </c>
      <c r="AA25" s="1816">
        <f>D25/F25</f>
        <v>1</v>
      </c>
      <c r="AB25" s="1816">
        <f>D25/H25</f>
        <v>1</v>
      </c>
      <c r="AC25" s="1816">
        <f>D25/J25</f>
        <v>1</v>
      </c>
    </row>
    <row r="26" spans="1:29" ht="15">
      <c r="A26" s="467" t="s">
        <v>2561</v>
      </c>
      <c r="B26" s="71" t="s">
        <v>2712</v>
      </c>
      <c r="C26" s="2685"/>
      <c r="D26" s="468">
        <v>100</v>
      </c>
      <c r="E26" s="2685"/>
      <c r="F26" s="668">
        <f>SUMIF(77:77,E26,78:78)-SUMIF(77:77,C26,78:78)+100</f>
        <v>100</v>
      </c>
      <c r="G26" s="2685"/>
      <c r="H26" s="468">
        <f>SUMIF(77:77,G26,78:78)-SUMIF(77:77,C26,78:78)+100</f>
        <v>100</v>
      </c>
      <c r="I26" s="2685"/>
      <c r="J26" s="468">
        <f>SUMIF(77:77,I26,78:78)-SUMIF(77:77,C26,78:78)+100</f>
        <v>100</v>
      </c>
      <c r="K26" s="613"/>
      <c r="L26" s="1144"/>
      <c r="M26" s="1135"/>
      <c r="N26" s="1135"/>
      <c r="O26" s="1143"/>
      <c r="P26" s="3240" t="s">
        <v>2563</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163" t="s">
        <v>2563</v>
      </c>
      <c r="Z26" s="1819" t="str">
        <f t="shared" ref="Z26:Z34" si="15">Q26</f>
        <v>公共部分装修</v>
      </c>
      <c r="AA26" s="1816">
        <f t="shared" si="3"/>
        <v>1</v>
      </c>
      <c r="AB26" s="1816">
        <f t="shared" si="4"/>
        <v>1</v>
      </c>
      <c r="AC26" s="1816">
        <f t="shared" si="5"/>
        <v>1</v>
      </c>
    </row>
    <row r="27" spans="1:29" s="472" customFormat="1" ht="15">
      <c r="A27" s="469"/>
      <c r="B27" s="423" t="s">
        <v>2713</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163"/>
      <c r="Q27" s="777" t="str">
        <f t="shared" si="11"/>
        <v>成新率</v>
      </c>
      <c r="R27" s="778" t="s">
        <v>17</v>
      </c>
      <c r="S27" s="779" t="e">
        <f t="shared" si="12"/>
        <v>#N/A</v>
      </c>
      <c r="T27" s="778" t="s">
        <v>17</v>
      </c>
      <c r="U27" s="779" t="e">
        <f t="shared" si="13"/>
        <v>#N/A</v>
      </c>
      <c r="V27" s="778" t="s">
        <v>17</v>
      </c>
      <c r="W27" s="779" t="e">
        <f t="shared" si="14"/>
        <v>#N/A</v>
      </c>
      <c r="X27" s="780"/>
      <c r="Y27" s="3163"/>
      <c r="Z27" s="781" t="str">
        <f t="shared" si="15"/>
        <v>成新率</v>
      </c>
      <c r="AA27" s="1816" t="e">
        <f t="shared" si="3"/>
        <v>#N/A</v>
      </c>
      <c r="AB27" s="1816" t="e">
        <f t="shared" si="4"/>
        <v>#N/A</v>
      </c>
      <c r="AC27" s="1816" t="e">
        <f t="shared" si="5"/>
        <v>#N/A</v>
      </c>
    </row>
    <row r="28" spans="1:29" ht="15">
      <c r="A28" s="473"/>
      <c r="B28" s="423" t="s">
        <v>2714</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163"/>
      <c r="Q28" s="1815" t="str">
        <f t="shared" si="11"/>
        <v>物业等级</v>
      </c>
      <c r="R28" s="775" t="s">
        <v>17</v>
      </c>
      <c r="S28" s="776">
        <f t="shared" si="12"/>
        <v>100</v>
      </c>
      <c r="T28" s="775" t="s">
        <v>17</v>
      </c>
      <c r="U28" s="776">
        <f t="shared" si="13"/>
        <v>100</v>
      </c>
      <c r="V28" s="775" t="s">
        <v>17</v>
      </c>
      <c r="W28" s="776">
        <f t="shared" si="14"/>
        <v>100</v>
      </c>
      <c r="X28" s="1818"/>
      <c r="Y28" s="3163"/>
      <c r="Z28" s="1819" t="str">
        <f t="shared" si="15"/>
        <v>物业等级</v>
      </c>
      <c r="AA28" s="1816">
        <f t="shared" si="3"/>
        <v>1</v>
      </c>
      <c r="AB28" s="1816">
        <f t="shared" si="4"/>
        <v>1</v>
      </c>
      <c r="AC28" s="1816">
        <f t="shared" si="5"/>
        <v>1</v>
      </c>
    </row>
    <row r="29" spans="1:29" ht="15">
      <c r="A29" s="473"/>
      <c r="B29" s="423" t="s">
        <v>2735</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163"/>
      <c r="Q29" s="1815" t="str">
        <f t="shared" si="11"/>
        <v>有无电梯</v>
      </c>
      <c r="R29" s="775" t="s">
        <v>17</v>
      </c>
      <c r="S29" s="776">
        <f t="shared" si="12"/>
        <v>100</v>
      </c>
      <c r="T29" s="775" t="s">
        <v>17</v>
      </c>
      <c r="U29" s="776">
        <f t="shared" si="13"/>
        <v>100</v>
      </c>
      <c r="V29" s="775" t="s">
        <v>17</v>
      </c>
      <c r="W29" s="776">
        <f t="shared" si="14"/>
        <v>100</v>
      </c>
      <c r="X29" s="1818"/>
      <c r="Y29" s="3163"/>
      <c r="Z29" s="1819" t="str">
        <f t="shared" si="15"/>
        <v>有无电梯</v>
      </c>
      <c r="AA29" s="1816">
        <f t="shared" si="3"/>
        <v>1</v>
      </c>
      <c r="AB29" s="1816">
        <f t="shared" si="4"/>
        <v>1</v>
      </c>
      <c r="AC29" s="1816">
        <f t="shared" si="5"/>
        <v>1</v>
      </c>
    </row>
    <row r="30" spans="1:29" ht="15">
      <c r="A30" s="473"/>
      <c r="B30" s="423" t="s">
        <v>2736</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163"/>
      <c r="Q30" s="1815" t="str">
        <f t="shared" si="11"/>
        <v>建筑面积</v>
      </c>
      <c r="R30" s="775" t="s">
        <v>17</v>
      </c>
      <c r="S30" s="776" t="e">
        <f t="shared" si="12"/>
        <v>#N/A</v>
      </c>
      <c r="T30" s="775" t="s">
        <v>17</v>
      </c>
      <c r="U30" s="776" t="e">
        <f t="shared" si="13"/>
        <v>#N/A</v>
      </c>
      <c r="V30" s="775" t="s">
        <v>17</v>
      </c>
      <c r="W30" s="776" t="e">
        <f t="shared" si="14"/>
        <v>#N/A</v>
      </c>
      <c r="X30" s="1818"/>
      <c r="Y30" s="3163"/>
      <c r="Z30" s="1819" t="str">
        <f t="shared" si="15"/>
        <v>建筑面积</v>
      </c>
      <c r="AA30" s="1816" t="e">
        <f t="shared" si="3"/>
        <v>#N/A</v>
      </c>
      <c r="AB30" s="1816" t="e">
        <f t="shared" si="4"/>
        <v>#N/A</v>
      </c>
      <c r="AC30" s="1816" t="e">
        <f t="shared" si="5"/>
        <v>#N/A</v>
      </c>
    </row>
    <row r="31" spans="1:29" s="117" customFormat="1" ht="15">
      <c r="A31" s="474"/>
      <c r="B31" s="423" t="s">
        <v>2737</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163"/>
      <c r="Q31" s="1800" t="str">
        <f t="shared" si="11"/>
        <v>是否封闭</v>
      </c>
      <c r="R31" s="771" t="s">
        <v>17</v>
      </c>
      <c r="S31" s="772">
        <f t="shared" si="12"/>
        <v>100</v>
      </c>
      <c r="T31" s="771" t="s">
        <v>17</v>
      </c>
      <c r="U31" s="772">
        <f t="shared" si="13"/>
        <v>100</v>
      </c>
      <c r="V31" s="771" t="s">
        <v>17</v>
      </c>
      <c r="W31" s="772">
        <f t="shared" si="14"/>
        <v>100</v>
      </c>
      <c r="X31" s="773"/>
      <c r="Y31" s="3163"/>
      <c r="Z31" s="55" t="str">
        <f t="shared" si="15"/>
        <v>是否封闭</v>
      </c>
      <c r="AA31" s="774">
        <f t="shared" si="3"/>
        <v>1</v>
      </c>
      <c r="AB31" s="774">
        <f t="shared" si="4"/>
        <v>1</v>
      </c>
      <c r="AC31" s="774">
        <f t="shared" si="5"/>
        <v>1</v>
      </c>
    </row>
    <row r="32" spans="1:29" ht="15">
      <c r="A32" s="473"/>
      <c r="B32" s="2606">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163" t="s">
        <v>2563</v>
      </c>
      <c r="Q32" s="1815">
        <f t="shared" si="11"/>
        <v>111</v>
      </c>
      <c r="R32" s="775" t="s">
        <v>17</v>
      </c>
      <c r="S32" s="776">
        <f t="shared" si="12"/>
        <v>100</v>
      </c>
      <c r="T32" s="775" t="s">
        <v>17</v>
      </c>
      <c r="U32" s="776">
        <f t="shared" si="13"/>
        <v>100</v>
      </c>
      <c r="V32" s="775" t="s">
        <v>17</v>
      </c>
      <c r="W32" s="776">
        <f t="shared" si="14"/>
        <v>100</v>
      </c>
      <c r="X32" s="1818"/>
      <c r="Y32" s="3163" t="s">
        <v>2563</v>
      </c>
      <c r="Z32" s="1819">
        <f t="shared" si="15"/>
        <v>111</v>
      </c>
      <c r="AA32" s="1816">
        <f t="shared" si="3"/>
        <v>1</v>
      </c>
      <c r="AB32" s="1816">
        <f t="shared" si="4"/>
        <v>1</v>
      </c>
      <c r="AC32" s="1816">
        <f t="shared" si="5"/>
        <v>1</v>
      </c>
    </row>
    <row r="33" spans="1:29" ht="15">
      <c r="A33" s="473"/>
      <c r="B33" s="2606">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163"/>
      <c r="Q33" s="1815">
        <f t="shared" si="11"/>
        <v>111</v>
      </c>
      <c r="R33" s="775" t="s">
        <v>17</v>
      </c>
      <c r="S33" s="776">
        <f t="shared" si="12"/>
        <v>100</v>
      </c>
      <c r="T33" s="775" t="s">
        <v>17</v>
      </c>
      <c r="U33" s="776">
        <f t="shared" si="13"/>
        <v>100</v>
      </c>
      <c r="V33" s="775" t="s">
        <v>17</v>
      </c>
      <c r="W33" s="776">
        <f t="shared" si="14"/>
        <v>100</v>
      </c>
      <c r="X33" s="1818"/>
      <c r="Y33" s="3163"/>
      <c r="Z33" s="1819">
        <f t="shared" si="15"/>
        <v>111</v>
      </c>
      <c r="AA33" s="1816">
        <f t="shared" si="3"/>
        <v>1</v>
      </c>
      <c r="AB33" s="1816">
        <f t="shared" si="4"/>
        <v>1</v>
      </c>
      <c r="AC33" s="1816">
        <f t="shared" si="5"/>
        <v>1</v>
      </c>
    </row>
    <row r="34" spans="1:29" ht="15.75" thickBot="1">
      <c r="A34" s="479"/>
      <c r="B34" s="2608">
        <v>111</v>
      </c>
      <c r="C34" s="438"/>
      <c r="D34" s="439">
        <v>100</v>
      </c>
      <c r="E34" s="2703"/>
      <c r="F34" s="440">
        <f>SUMIF(95:95,E34,96:96)-SUMIF(95:95,C34,96:96)+100</f>
        <v>100</v>
      </c>
      <c r="G34" s="2703"/>
      <c r="H34" s="439">
        <f>SUMIF(95:95,G34,96:96)-SUMIF(95:95,C34,96:96)+100</f>
        <v>100</v>
      </c>
      <c r="I34" s="2703"/>
      <c r="J34" s="439">
        <f>SUMIF(95:95,I34,96:96)-SUMIF(95:95,C34,96:96)+100</f>
        <v>100</v>
      </c>
      <c r="K34" s="614"/>
      <c r="L34" s="1144"/>
      <c r="M34" s="1135"/>
      <c r="N34" s="1135"/>
      <c r="O34" s="1143"/>
      <c r="P34" s="3163"/>
      <c r="Q34" s="1815">
        <f t="shared" si="11"/>
        <v>111</v>
      </c>
      <c r="R34" s="775" t="s">
        <v>17</v>
      </c>
      <c r="S34" s="776">
        <f t="shared" si="12"/>
        <v>100</v>
      </c>
      <c r="T34" s="775" t="s">
        <v>17</v>
      </c>
      <c r="U34" s="776">
        <f t="shared" si="13"/>
        <v>100</v>
      </c>
      <c r="V34" s="775" t="s">
        <v>17</v>
      </c>
      <c r="W34" s="776">
        <f t="shared" si="14"/>
        <v>100</v>
      </c>
      <c r="X34" s="1818"/>
      <c r="Y34" s="3163"/>
      <c r="Z34" s="1819">
        <f t="shared" si="15"/>
        <v>111</v>
      </c>
      <c r="AA34" s="1816">
        <f t="shared" si="3"/>
        <v>1</v>
      </c>
      <c r="AB34" s="1816">
        <f t="shared" si="4"/>
        <v>1</v>
      </c>
      <c r="AC34" s="1816">
        <f t="shared" si="5"/>
        <v>1</v>
      </c>
    </row>
    <row r="35" spans="1:29" ht="15">
      <c r="A35" s="480" t="s">
        <v>2575</v>
      </c>
      <c r="B35" s="481"/>
      <c r="C35" s="1411" t="s">
        <v>1</v>
      </c>
      <c r="D35" s="1412"/>
      <c r="E35" s="1413"/>
      <c r="F35" s="1414"/>
      <c r="G35" s="1415"/>
      <c r="H35" s="1416"/>
      <c r="I35" s="1413"/>
      <c r="J35" s="1416"/>
      <c r="K35" s="784"/>
      <c r="L35" s="1147"/>
      <c r="M35" s="1148"/>
      <c r="N35" s="1135"/>
      <c r="O35" s="1148"/>
      <c r="P35" s="3151" t="str">
        <f>A35</f>
        <v>成交单价（元/平方米）</v>
      </c>
      <c r="Q35" s="3151"/>
      <c r="R35" s="3152">
        <f>E35</f>
        <v>0</v>
      </c>
      <c r="S35" s="3152"/>
      <c r="T35" s="3152">
        <f>G35</f>
        <v>0</v>
      </c>
      <c r="U35" s="3152"/>
      <c r="V35" s="3152">
        <f>I35</f>
        <v>0</v>
      </c>
      <c r="W35" s="3152"/>
      <c r="X35" s="760"/>
      <c r="Y35" s="782"/>
      <c r="Z35" s="760"/>
      <c r="AA35" s="760"/>
      <c r="AB35" s="760"/>
      <c r="AC35" s="760"/>
    </row>
    <row r="36" spans="1:29" ht="15.75" thickBot="1">
      <c r="A36" s="487" t="s">
        <v>2667</v>
      </c>
      <c r="B36" s="488"/>
      <c r="C36" s="1417" t="e">
        <f>R37</f>
        <v>#DIV/0!</v>
      </c>
      <c r="D36" s="1418"/>
      <c r="E36" s="1419" t="e">
        <f>R36</f>
        <v>#DIV/0!</v>
      </c>
      <c r="F36" s="1419"/>
      <c r="G36" s="1417" t="e">
        <f>T36</f>
        <v>#DIV/0!</v>
      </c>
      <c r="H36" s="1418"/>
      <c r="I36" s="1419" t="e">
        <f>V36</f>
        <v>#DIV/0!</v>
      </c>
      <c r="J36" s="1418"/>
      <c r="K36" s="785"/>
      <c r="L36" s="1147"/>
      <c r="M36" s="1148"/>
      <c r="N36" s="1135"/>
      <c r="O36" s="1148"/>
      <c r="P36" s="3151" t="str">
        <f>A36</f>
        <v>比较价值（元/平方米）</v>
      </c>
      <c r="Q36" s="3151"/>
      <c r="R36" s="3152" t="e">
        <f>IF(F1="售价",ROUND(PRODUCT(R35,AA7:AA34),0),ROUND(PRODUCT(R35,AA7:AA34),1))</f>
        <v>#DIV/0!</v>
      </c>
      <c r="S36" s="3152"/>
      <c r="T36" s="3152" t="e">
        <f>IF(F1="售价",ROUND(PRODUCT(T35,AB7:AB34),0),ROUND(PRODUCT(T35,AB7:AB34),1))</f>
        <v>#DIV/0!</v>
      </c>
      <c r="U36" s="3152"/>
      <c r="V36" s="3152" t="e">
        <f>IF(F1="售价",ROUND(PRODUCT(V35,AC7:AC34),0),ROUND(PRODUCT(V35,AC7:AC34),1))</f>
        <v>#DIV/0!</v>
      </c>
      <c r="W36" s="3152"/>
      <c r="X36" s="760"/>
      <c r="Y36" s="760"/>
      <c r="Z36" s="760"/>
      <c r="AA36" s="760"/>
      <c r="AB36" s="760"/>
      <c r="AC36" s="760"/>
    </row>
    <row r="37" spans="1:29" ht="15.75" thickBot="1">
      <c r="A37" s="493" t="s">
        <v>2668</v>
      </c>
      <c r="B37" s="494"/>
      <c r="C37" s="1421" t="e">
        <f>R37</f>
        <v>#DIV/0!</v>
      </c>
      <c r="D37" s="1421"/>
      <c r="E37" s="1421"/>
      <c r="F37" s="1421"/>
      <c r="G37" s="1421"/>
      <c r="H37" s="1421"/>
      <c r="I37" s="1421"/>
      <c r="J37" s="1421"/>
      <c r="K37" s="786"/>
      <c r="L37" s="1147"/>
      <c r="M37" s="1148"/>
      <c r="N37" s="1148"/>
      <c r="O37" s="1148"/>
      <c r="P37" s="3229" t="str">
        <f>A37</f>
        <v>估价对象XX用房的比较价值（楼面单价，元/平方米）</v>
      </c>
      <c r="Q37" s="3230"/>
      <c r="R37" s="3231" t="e">
        <f>IF(F1="售价",ROUND(AVERAGE(R36:V36),0),ROUND(AVERAGE(R36:V36),1))</f>
        <v>#DIV/0!</v>
      </c>
      <c r="S37" s="3231"/>
      <c r="T37" s="3231"/>
      <c r="U37" s="3231"/>
      <c r="V37" s="3231"/>
      <c r="W37" s="3231"/>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2669</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2670</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2671</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2672</v>
      </c>
      <c r="B45" s="760"/>
      <c r="C45" s="765"/>
      <c r="D45" s="765"/>
      <c r="E45" s="765"/>
      <c r="F45" s="766"/>
      <c r="G45" s="766"/>
      <c r="H45" s="765"/>
      <c r="I45" s="765"/>
      <c r="J45" s="765"/>
      <c r="K45" s="767"/>
      <c r="L45" s="768"/>
      <c r="M45" s="765"/>
      <c r="N45" s="765"/>
      <c r="O45" s="765"/>
      <c r="P45" s="504"/>
      <c r="Q45" s="505"/>
    </row>
    <row r="46" spans="1:29" s="509" customFormat="1" ht="15">
      <c r="A46" s="506" t="s">
        <v>2546</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2583</v>
      </c>
      <c r="B48" s="517"/>
      <c r="C48" s="518"/>
      <c r="D48" s="519"/>
      <c r="E48" s="519"/>
      <c r="F48" s="519"/>
      <c r="G48" s="519"/>
      <c r="H48" s="519"/>
      <c r="I48" s="519"/>
      <c r="J48" s="519"/>
      <c r="K48" s="519"/>
      <c r="L48" s="519"/>
      <c r="M48" s="520"/>
      <c r="N48" s="519"/>
      <c r="O48" s="521"/>
      <c r="P48" s="505"/>
      <c r="Q48" s="505"/>
    </row>
    <row r="49" spans="1:17" s="117" customFormat="1" ht="15">
      <c r="A49" s="522" t="s">
        <v>2548</v>
      </c>
      <c r="B49" s="511"/>
      <c r="C49" s="523" t="s">
        <v>2650</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2586</v>
      </c>
      <c r="B51" s="529" t="s">
        <v>2552</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2555</v>
      </c>
      <c r="C53" s="540" t="s">
        <v>2587</v>
      </c>
      <c r="D53" s="540" t="s">
        <v>2588</v>
      </c>
      <c r="E53" s="540" t="s">
        <v>2589</v>
      </c>
      <c r="F53" s="540" t="s">
        <v>2590</v>
      </c>
      <c r="G53" s="540" t="s">
        <v>2591</v>
      </c>
      <c r="H53" s="540" t="s">
        <v>2592</v>
      </c>
      <c r="I53" s="540" t="s">
        <v>2593</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2557</v>
      </c>
      <c r="B61" s="529" t="s">
        <v>2600</v>
      </c>
      <c r="C61" s="574" t="s">
        <v>2595</v>
      </c>
      <c r="D61" s="574" t="s">
        <v>2596</v>
      </c>
      <c r="E61" s="574" t="s">
        <v>2597</v>
      </c>
      <c r="F61" s="574" t="s">
        <v>2598</v>
      </c>
      <c r="G61" s="574" t="s">
        <v>2599</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2738</v>
      </c>
      <c r="C63" s="579" t="s">
        <v>2595</v>
      </c>
      <c r="D63" s="579" t="s">
        <v>2596</v>
      </c>
      <c r="E63" s="579" t="s">
        <v>2597</v>
      </c>
      <c r="F63" s="579" t="s">
        <v>2598</v>
      </c>
      <c r="G63" s="579" t="s">
        <v>2599</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2687</v>
      </c>
      <c r="C65" s="661" t="s">
        <v>2673</v>
      </c>
      <c r="D65" s="661" t="s">
        <v>2674</v>
      </c>
      <c r="E65" s="661" t="s">
        <v>2675</v>
      </c>
      <c r="F65" s="661" t="s">
        <v>2676</v>
      </c>
      <c r="G65" s="661" t="s">
        <v>2677</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2607</v>
      </c>
      <c r="C67" s="579" t="s">
        <v>2595</v>
      </c>
      <c r="D67" s="579" t="s">
        <v>2596</v>
      </c>
      <c r="E67" s="579" t="s">
        <v>2597</v>
      </c>
      <c r="F67" s="579" t="s">
        <v>2598</v>
      </c>
      <c r="G67" s="579" t="s">
        <v>2599</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2727</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2561</v>
      </c>
      <c r="B77" s="529" t="s">
        <v>2614</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2730</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2731</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2739</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2740</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2741</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2742</v>
      </c>
      <c r="B1" s="396"/>
      <c r="C1" s="397" t="s">
        <v>2743</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2325</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2327</v>
      </c>
      <c r="B3" s="610" t="e">
        <f>ROUND(IF(D3="",B2*10000/'数据-汇总表'!E3,B2*10000/D3),0)</f>
        <v>#DIV/0!</v>
      </c>
      <c r="C3" s="248" t="s">
        <v>2744</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2643</v>
      </c>
      <c r="B4" s="403"/>
      <c r="C4" s="3168" t="s">
        <v>2644</v>
      </c>
      <c r="D4" s="3169"/>
      <c r="E4" s="3170" t="s">
        <v>2645</v>
      </c>
      <c r="F4" s="3171"/>
      <c r="G4" s="3168" t="s">
        <v>2646</v>
      </c>
      <c r="H4" s="3169"/>
      <c r="I4" s="3168" t="s">
        <v>2647</v>
      </c>
      <c r="J4" s="3169"/>
      <c r="K4" s="611" t="s">
        <v>2648</v>
      </c>
      <c r="L4" s="1134"/>
      <c r="M4" s="1135"/>
      <c r="N4" s="1135"/>
      <c r="O4" s="1135"/>
      <c r="P4" s="3233" t="s">
        <v>2649</v>
      </c>
      <c r="Q4" s="3234"/>
      <c r="R4" s="3237" t="s">
        <v>2645</v>
      </c>
      <c r="S4" s="3238"/>
      <c r="T4" s="3237" t="s">
        <v>2646</v>
      </c>
      <c r="U4" s="3238"/>
      <c r="V4" s="3185" t="s">
        <v>2647</v>
      </c>
      <c r="W4" s="3185"/>
      <c r="X4" s="1818"/>
      <c r="Y4" s="3237" t="s">
        <v>2649</v>
      </c>
      <c r="Z4" s="3238"/>
      <c r="AA4" s="3232" t="s">
        <v>2645</v>
      </c>
      <c r="AB4" s="3198" t="s">
        <v>2646</v>
      </c>
      <c r="AC4" s="3232" t="s">
        <v>2647</v>
      </c>
    </row>
    <row r="5" spans="1:30" ht="15">
      <c r="A5" s="405"/>
      <c r="B5" s="406"/>
      <c r="C5" s="3194" t="s">
        <v>2540</v>
      </c>
      <c r="D5" s="3189"/>
      <c r="E5" s="3239" t="s">
        <v>2541</v>
      </c>
      <c r="F5" s="3201"/>
      <c r="G5" s="3194" t="s">
        <v>2542</v>
      </c>
      <c r="H5" s="3189"/>
      <c r="I5" s="3194" t="s">
        <v>2543</v>
      </c>
      <c r="J5" s="3189"/>
      <c r="K5" s="611"/>
      <c r="L5" s="1134"/>
      <c r="M5" s="1135"/>
      <c r="N5" s="1135"/>
      <c r="O5" s="1135"/>
      <c r="P5" s="3235"/>
      <c r="Q5" s="3175"/>
      <c r="R5" s="3180"/>
      <c r="S5" s="3181"/>
      <c r="T5" s="3180"/>
      <c r="U5" s="3181"/>
      <c r="V5" s="3185"/>
      <c r="W5" s="3185"/>
      <c r="X5" s="1818"/>
      <c r="Y5" s="3180"/>
      <c r="Z5" s="3181"/>
      <c r="AA5" s="3198"/>
      <c r="AB5" s="3198"/>
      <c r="AC5" s="3198"/>
    </row>
    <row r="6" spans="1:30" ht="15.75" thickBot="1">
      <c r="A6" s="407"/>
      <c r="B6" s="408"/>
      <c r="C6" s="3186" t="s">
        <v>2544</v>
      </c>
      <c r="D6" s="3187"/>
      <c r="E6" s="3195" t="s">
        <v>2544</v>
      </c>
      <c r="F6" s="3196"/>
      <c r="G6" s="3186" t="s">
        <v>2544</v>
      </c>
      <c r="H6" s="3187"/>
      <c r="I6" s="3186" t="s">
        <v>2544</v>
      </c>
      <c r="J6" s="3187"/>
      <c r="K6" s="611" t="s">
        <v>2545</v>
      </c>
      <c r="L6" s="1134"/>
      <c r="M6" s="1135"/>
      <c r="N6" s="1135"/>
      <c r="O6" s="1135"/>
      <c r="P6" s="3236"/>
      <c r="Q6" s="3177"/>
      <c r="R6" s="3180"/>
      <c r="S6" s="3181"/>
      <c r="T6" s="3182"/>
      <c r="U6" s="3183"/>
      <c r="V6" s="3185"/>
      <c r="W6" s="3185"/>
      <c r="X6" s="1818"/>
      <c r="Y6" s="3182"/>
      <c r="Z6" s="3183"/>
      <c r="AA6" s="3199"/>
      <c r="AB6" s="3199"/>
      <c r="AC6" s="3199"/>
    </row>
    <row r="7" spans="1:30" s="117" customFormat="1" ht="15.75" thickBot="1">
      <c r="A7" s="409" t="s">
        <v>2546</v>
      </c>
      <c r="B7" s="410"/>
      <c r="C7" s="411">
        <f>'数据-取费表'!B2</f>
        <v>43053</v>
      </c>
      <c r="D7" s="412">
        <v>100</v>
      </c>
      <c r="E7" s="413">
        <v>42309</v>
      </c>
      <c r="F7" s="414">
        <f>SUMIF(70:70,YEAR(E7)&amp;"-"&amp;INT((MONTH(E7)+2)/3),71:71)</f>
        <v>0</v>
      </c>
      <c r="G7" s="2702">
        <v>42309</v>
      </c>
      <c r="H7" s="412">
        <f>SUMIF(70:70,YEAR(G7)&amp;"-"&amp;INT((MONTH(G7)+2)/3),71:71)</f>
        <v>0</v>
      </c>
      <c r="I7" s="2702">
        <v>42036</v>
      </c>
      <c r="J7" s="412">
        <f>SUMIF(70:70,YEAR(I7)&amp;"-"&amp;INT((MONTH(I7)+2)/3),71:71)</f>
        <v>0</v>
      </c>
      <c r="K7" s="612"/>
      <c r="L7" s="1136"/>
      <c r="M7" s="1137"/>
      <c r="N7" s="1137"/>
      <c r="O7" s="1137"/>
      <c r="P7" s="3192" t="s">
        <v>2547</v>
      </c>
      <c r="Q7" s="3193"/>
      <c r="R7" s="771" t="s">
        <v>17</v>
      </c>
      <c r="S7" s="772">
        <f t="shared" ref="S7:S15" si="0">F7</f>
        <v>0</v>
      </c>
      <c r="T7" s="771" t="s">
        <v>17</v>
      </c>
      <c r="U7" s="772">
        <f t="shared" ref="U7:U15" si="1">H7</f>
        <v>0</v>
      </c>
      <c r="V7" s="771" t="s">
        <v>17</v>
      </c>
      <c r="W7" s="772">
        <f t="shared" ref="W7:W15" si="2">J7</f>
        <v>0</v>
      </c>
      <c r="X7" s="773"/>
      <c r="Y7" s="3192" t="s">
        <v>2547</v>
      </c>
      <c r="Z7" s="3191"/>
      <c r="AA7" s="774" t="e">
        <f>D7/F7</f>
        <v>#DIV/0!</v>
      </c>
      <c r="AB7" s="774" t="e">
        <f>D7/H7</f>
        <v>#DIV/0!</v>
      </c>
      <c r="AC7" s="774" t="e">
        <f>D7/J7</f>
        <v>#DIV/0!</v>
      </c>
    </row>
    <row r="8" spans="1:30" s="117" customFormat="1" ht="15.75" thickBot="1">
      <c r="A8" s="409" t="s">
        <v>2548</v>
      </c>
      <c r="B8" s="410"/>
      <c r="C8" s="415" t="s">
        <v>2549</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192" t="s">
        <v>2550</v>
      </c>
      <c r="Q8" s="3191"/>
      <c r="R8" s="771" t="s">
        <v>17</v>
      </c>
      <c r="S8" s="772">
        <f t="shared" si="0"/>
        <v>0</v>
      </c>
      <c r="T8" s="771" t="s">
        <v>17</v>
      </c>
      <c r="U8" s="772">
        <f t="shared" si="1"/>
        <v>0</v>
      </c>
      <c r="V8" s="771" t="s">
        <v>17</v>
      </c>
      <c r="W8" s="772">
        <f t="shared" si="2"/>
        <v>0</v>
      </c>
      <c r="X8" s="773"/>
      <c r="Y8" s="3192" t="s">
        <v>2550</v>
      </c>
      <c r="Z8" s="3191"/>
      <c r="AA8" s="774" t="e">
        <f t="shared" ref="AA8:AA45" si="3">D8/F8</f>
        <v>#DIV/0!</v>
      </c>
      <c r="AB8" s="774" t="e">
        <f t="shared" ref="AB8:AB45" si="4">D8/H8</f>
        <v>#DIV/0!</v>
      </c>
      <c r="AC8" s="774" t="e">
        <f t="shared" ref="AC8:AC45" si="5">D8/J8</f>
        <v>#DIV/0!</v>
      </c>
    </row>
    <row r="9" spans="1:30" s="117" customFormat="1">
      <c r="A9" s="416" t="s">
        <v>2551</v>
      </c>
      <c r="B9" s="71" t="s">
        <v>2552</v>
      </c>
      <c r="C9" s="2705"/>
      <c r="D9" s="135">
        <v>100</v>
      </c>
      <c r="E9" s="2705"/>
      <c r="F9" s="135">
        <f>SUMIF(75:75,E9,76:76)-SUMIF(75:75,C9,76:76)+100</f>
        <v>100</v>
      </c>
      <c r="G9" s="2705"/>
      <c r="H9" s="135">
        <f>SUMIF(75:75,G9,76:76)-SUMIF(75:75,C9,76:76)+100</f>
        <v>100</v>
      </c>
      <c r="I9" s="2705"/>
      <c r="J9" s="135">
        <f>SUMIF(75:75,I9,76:76)-SUMIF(75:75,C9,76:76)+100</f>
        <v>100</v>
      </c>
      <c r="K9" s="612"/>
      <c r="L9" s="1136"/>
      <c r="M9" s="1137"/>
      <c r="N9" s="1137"/>
      <c r="O9" s="1138"/>
      <c r="P9" s="3151" t="s">
        <v>2553</v>
      </c>
      <c r="Q9" s="1800" t="str">
        <f t="shared" ref="Q9:Q15" si="6">B9</f>
        <v>用途</v>
      </c>
      <c r="R9" s="771" t="s">
        <v>17</v>
      </c>
      <c r="S9" s="772">
        <f t="shared" si="0"/>
        <v>100</v>
      </c>
      <c r="T9" s="771" t="s">
        <v>17</v>
      </c>
      <c r="U9" s="772">
        <f t="shared" si="1"/>
        <v>100</v>
      </c>
      <c r="V9" s="771" t="s">
        <v>17</v>
      </c>
      <c r="W9" s="772">
        <f t="shared" si="2"/>
        <v>100</v>
      </c>
      <c r="X9" s="773"/>
      <c r="Y9" s="3005" t="s">
        <v>2554</v>
      </c>
      <c r="Z9" s="55" t="str">
        <f t="shared" ref="Z9:Z15" si="7">Q9</f>
        <v>用途</v>
      </c>
      <c r="AA9" s="774">
        <f t="shared" si="3"/>
        <v>1</v>
      </c>
      <c r="AB9" s="774">
        <f t="shared" si="4"/>
        <v>1</v>
      </c>
      <c r="AC9" s="774">
        <f t="shared" si="5"/>
        <v>1</v>
      </c>
    </row>
    <row r="10" spans="1:30" s="428" customFormat="1" ht="27">
      <c r="A10" s="422"/>
      <c r="B10" s="423" t="s">
        <v>2555</v>
      </c>
      <c r="C10" s="433"/>
      <c r="D10" s="136">
        <v>100</v>
      </c>
      <c r="E10" s="466"/>
      <c r="F10" s="136">
        <f>ROUND(100/'数据-取费表'!G16,0)</f>
        <v>106</v>
      </c>
      <c r="G10" s="464"/>
      <c r="H10" s="136">
        <f>ROUND(100/'数据-取费表'!G16,0)</f>
        <v>106</v>
      </c>
      <c r="I10" s="464"/>
      <c r="J10" s="136">
        <f>ROUND(100/'数据-取费表'!G16,0)</f>
        <v>106</v>
      </c>
      <c r="K10" s="673"/>
      <c r="L10" s="1139"/>
      <c r="M10" s="1140"/>
      <c r="N10" s="1140"/>
      <c r="O10" s="1141"/>
      <c r="P10" s="3151"/>
      <c r="Q10" s="1800" t="str">
        <f t="shared" si="6"/>
        <v>土地使用年限（年）</v>
      </c>
      <c r="R10" s="771" t="s">
        <v>17</v>
      </c>
      <c r="S10" s="772">
        <f t="shared" si="0"/>
        <v>106</v>
      </c>
      <c r="T10" s="771" t="s">
        <v>17</v>
      </c>
      <c r="U10" s="772">
        <f t="shared" si="1"/>
        <v>106</v>
      </c>
      <c r="V10" s="771" t="s">
        <v>17</v>
      </c>
      <c r="W10" s="772">
        <f t="shared" si="2"/>
        <v>106</v>
      </c>
      <c r="X10" s="773"/>
      <c r="Y10" s="3005"/>
      <c r="Z10" s="55" t="str">
        <f t="shared" si="7"/>
        <v>土地使用年限（年）</v>
      </c>
      <c r="AA10" s="774">
        <f t="shared" si="3"/>
        <v>0.94339622641509435</v>
      </c>
      <c r="AB10" s="774">
        <f t="shared" si="4"/>
        <v>0.94339622641509435</v>
      </c>
      <c r="AC10" s="774">
        <f t="shared" si="5"/>
        <v>0.94339622641509435</v>
      </c>
    </row>
    <row r="11" spans="1:30" ht="15">
      <c r="A11" s="429"/>
      <c r="B11" s="423" t="s">
        <v>2556</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151"/>
      <c r="Q11" s="1800" t="str">
        <f t="shared" si="6"/>
        <v>容积率</v>
      </c>
      <c r="R11" s="771" t="s">
        <v>17</v>
      </c>
      <c r="S11" s="772" t="e">
        <f t="shared" si="0"/>
        <v>#N/A</v>
      </c>
      <c r="T11" s="771" t="s">
        <v>17</v>
      </c>
      <c r="U11" s="772" t="e">
        <f t="shared" si="1"/>
        <v>#N/A</v>
      </c>
      <c r="V11" s="771" t="s">
        <v>17</v>
      </c>
      <c r="W11" s="772" t="e">
        <f t="shared" si="2"/>
        <v>#N/A</v>
      </c>
      <c r="X11" s="773"/>
      <c r="Y11" s="3005"/>
      <c r="Z11" s="55" t="str">
        <f t="shared" si="7"/>
        <v>容积率</v>
      </c>
      <c r="AA11" s="774" t="e">
        <f t="shared" si="3"/>
        <v>#N/A</v>
      </c>
      <c r="AB11" s="774" t="e">
        <f t="shared" si="4"/>
        <v>#N/A</v>
      </c>
      <c r="AC11" s="774" t="e">
        <f t="shared" si="5"/>
        <v>#N/A</v>
      </c>
    </row>
    <row r="12" spans="1:30" s="117" customFormat="1" ht="15">
      <c r="A12" s="432"/>
      <c r="B12" s="2606" t="s">
        <v>2745</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51"/>
      <c r="Q12" s="1800" t="str">
        <f t="shared" si="6"/>
        <v>配建</v>
      </c>
      <c r="R12" s="771" t="s">
        <v>17</v>
      </c>
      <c r="S12" s="772">
        <f t="shared" si="0"/>
        <v>100</v>
      </c>
      <c r="T12" s="771" t="s">
        <v>17</v>
      </c>
      <c r="U12" s="772">
        <f t="shared" si="1"/>
        <v>100</v>
      </c>
      <c r="V12" s="771" t="s">
        <v>17</v>
      </c>
      <c r="W12" s="772">
        <f t="shared" si="2"/>
        <v>100</v>
      </c>
      <c r="X12" s="773"/>
      <c r="Y12" s="3005"/>
      <c r="Z12" s="55" t="str">
        <f t="shared" si="7"/>
        <v>配建</v>
      </c>
      <c r="AA12" s="774">
        <f>D12/F12</f>
        <v>1</v>
      </c>
      <c r="AB12" s="774">
        <f>D12/H12</f>
        <v>1</v>
      </c>
      <c r="AC12" s="774">
        <f>D12/J12</f>
        <v>1</v>
      </c>
    </row>
    <row r="13" spans="1:30" ht="15">
      <c r="A13" s="429"/>
      <c r="B13" s="2606">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51"/>
      <c r="Q13" s="1800">
        <f t="shared" si="6"/>
        <v>111</v>
      </c>
      <c r="R13" s="771" t="s">
        <v>17</v>
      </c>
      <c r="S13" s="772">
        <f t="shared" si="0"/>
        <v>100</v>
      </c>
      <c r="T13" s="771" t="s">
        <v>17</v>
      </c>
      <c r="U13" s="772">
        <f t="shared" si="1"/>
        <v>100</v>
      </c>
      <c r="V13" s="771" t="s">
        <v>17</v>
      </c>
      <c r="W13" s="772">
        <f t="shared" si="2"/>
        <v>100</v>
      </c>
      <c r="X13" s="773"/>
      <c r="Y13" s="3005"/>
      <c r="Z13" s="55">
        <f t="shared" si="7"/>
        <v>111</v>
      </c>
      <c r="AA13" s="774">
        <f>D13/F13</f>
        <v>1</v>
      </c>
      <c r="AB13" s="774">
        <f>D13/H13</f>
        <v>1</v>
      </c>
      <c r="AC13" s="774">
        <f>D13/J13</f>
        <v>1</v>
      </c>
    </row>
    <row r="14" spans="1:30" ht="15.75" thickBot="1">
      <c r="A14" s="437"/>
      <c r="B14" s="2608">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51"/>
      <c r="Q14" s="1800">
        <f t="shared" si="6"/>
        <v>111</v>
      </c>
      <c r="R14" s="771" t="s">
        <v>17</v>
      </c>
      <c r="S14" s="772">
        <f t="shared" si="0"/>
        <v>100</v>
      </c>
      <c r="T14" s="771" t="s">
        <v>17</v>
      </c>
      <c r="U14" s="772">
        <f t="shared" si="1"/>
        <v>100</v>
      </c>
      <c r="V14" s="771" t="s">
        <v>17</v>
      </c>
      <c r="W14" s="772">
        <f t="shared" si="2"/>
        <v>100</v>
      </c>
      <c r="X14" s="773"/>
      <c r="Y14" s="3005"/>
      <c r="Z14" s="55">
        <f t="shared" si="7"/>
        <v>111</v>
      </c>
      <c r="AA14" s="774">
        <f>D14/F14</f>
        <v>1</v>
      </c>
      <c r="AB14" s="774">
        <f>D14/H14</f>
        <v>1</v>
      </c>
      <c r="AC14" s="774">
        <f>D14/J14</f>
        <v>1</v>
      </c>
    </row>
    <row r="15" spans="1:30" ht="99.75">
      <c r="A15" s="441" t="s">
        <v>2557</v>
      </c>
      <c r="B15" s="69" t="s">
        <v>2084</v>
      </c>
      <c r="C15" s="2609"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158" t="s">
        <v>2558</v>
      </c>
      <c r="Q15" s="1815" t="str">
        <f t="shared" si="6"/>
        <v>居住社区成熟度</v>
      </c>
      <c r="R15" s="775" t="s">
        <v>17</v>
      </c>
      <c r="S15" s="776">
        <f t="shared" si="0"/>
        <v>100</v>
      </c>
      <c r="T15" s="775" t="s">
        <v>17</v>
      </c>
      <c r="U15" s="776">
        <f t="shared" si="1"/>
        <v>100</v>
      </c>
      <c r="V15" s="775" t="s">
        <v>17</v>
      </c>
      <c r="W15" s="776">
        <f t="shared" si="2"/>
        <v>100</v>
      </c>
      <c r="X15" s="1818"/>
      <c r="Y15" s="3158" t="s">
        <v>2558</v>
      </c>
      <c r="Z15" s="1819" t="str">
        <f t="shared" si="7"/>
        <v>居住社区成熟度</v>
      </c>
      <c r="AA15" s="1816">
        <f t="shared" si="3"/>
        <v>1</v>
      </c>
      <c r="AB15" s="1816">
        <f t="shared" si="4"/>
        <v>1</v>
      </c>
      <c r="AC15" s="1816">
        <f t="shared" si="5"/>
        <v>1</v>
      </c>
    </row>
    <row r="16" spans="1:30" ht="15">
      <c r="A16" s="429"/>
      <c r="B16" s="447"/>
      <c r="C16" s="448"/>
      <c r="D16" s="449"/>
      <c r="E16" s="2611"/>
      <c r="F16" s="449"/>
      <c r="G16" s="2611"/>
      <c r="H16" s="451"/>
      <c r="I16" s="2610"/>
      <c r="J16" s="449"/>
      <c r="K16" s="673"/>
      <c r="L16" s="1144"/>
      <c r="M16" s="1135"/>
      <c r="N16" s="1135"/>
      <c r="O16" s="1143"/>
      <c r="P16" s="3159"/>
      <c r="Q16" s="1815"/>
      <c r="R16" s="775"/>
      <c r="S16" s="776"/>
      <c r="T16" s="775"/>
      <c r="U16" s="776"/>
      <c r="V16" s="775"/>
      <c r="W16" s="776"/>
      <c r="X16" s="1818"/>
      <c r="Y16" s="3159"/>
      <c r="Z16" s="1819"/>
      <c r="AA16" s="1816">
        <v>1</v>
      </c>
      <c r="AB16" s="1816">
        <v>1</v>
      </c>
      <c r="AC16" s="1816">
        <v>1</v>
      </c>
    </row>
    <row r="17" spans="1:29" ht="71.25">
      <c r="A17" s="429"/>
      <c r="B17" s="452" t="s">
        <v>2651</v>
      </c>
      <c r="C17" s="2670"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159"/>
      <c r="Q17" s="1815" t="str">
        <f>B17</f>
        <v>商业繁华度</v>
      </c>
      <c r="R17" s="775" t="s">
        <v>17</v>
      </c>
      <c r="S17" s="776">
        <f>F17</f>
        <v>100</v>
      </c>
      <c r="T17" s="775" t="s">
        <v>17</v>
      </c>
      <c r="U17" s="776">
        <f>H17</f>
        <v>100</v>
      </c>
      <c r="V17" s="775" t="s">
        <v>17</v>
      </c>
      <c r="W17" s="776">
        <f>J17</f>
        <v>100</v>
      </c>
      <c r="X17" s="1818"/>
      <c r="Y17" s="3159"/>
      <c r="Z17" s="1819" t="str">
        <f>Q17</f>
        <v>商业繁华度</v>
      </c>
      <c r="AA17" s="1816">
        <f t="shared" si="3"/>
        <v>1</v>
      </c>
      <c r="AB17" s="1816">
        <f t="shared" si="4"/>
        <v>1</v>
      </c>
      <c r="AC17" s="1816">
        <f t="shared" si="5"/>
        <v>1</v>
      </c>
    </row>
    <row r="18" spans="1:29" ht="15">
      <c r="A18" s="429"/>
      <c r="B18" s="457"/>
      <c r="C18" s="2614"/>
      <c r="D18" s="451"/>
      <c r="E18" s="2616"/>
      <c r="F18" s="451"/>
      <c r="G18" s="2616"/>
      <c r="H18" s="449"/>
      <c r="I18" s="2615"/>
      <c r="J18" s="449"/>
      <c r="K18" s="673"/>
      <c r="L18" s="1144"/>
      <c r="M18" s="1135"/>
      <c r="N18" s="1135"/>
      <c r="O18" s="1143"/>
      <c r="P18" s="3159"/>
      <c r="Q18" s="1815"/>
      <c r="R18" s="775"/>
      <c r="S18" s="776"/>
      <c r="T18" s="775"/>
      <c r="U18" s="776"/>
      <c r="V18" s="775"/>
      <c r="W18" s="776"/>
      <c r="X18" s="1818"/>
      <c r="Y18" s="3159"/>
      <c r="Z18" s="1819"/>
      <c r="AA18" s="1816">
        <v>1</v>
      </c>
      <c r="AB18" s="1816">
        <v>1</v>
      </c>
      <c r="AC18" s="1816">
        <v>1</v>
      </c>
    </row>
    <row r="19" spans="1:29" ht="57">
      <c r="A19" s="429"/>
      <c r="B19" s="452" t="s">
        <v>2685</v>
      </c>
      <c r="C19" s="2670" t="str">
        <f>估价对象房地状况!C17</f>
        <v>估价对象周边办公楼项目较多，入驻率高，办公集聚程度较好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159"/>
      <c r="Q19" s="1815" t="str">
        <f>B19</f>
        <v>办公集聚程度</v>
      </c>
      <c r="R19" s="775" t="s">
        <v>17</v>
      </c>
      <c r="S19" s="776">
        <f>F19</f>
        <v>100</v>
      </c>
      <c r="T19" s="775" t="s">
        <v>17</v>
      </c>
      <c r="U19" s="776">
        <f>H19</f>
        <v>100</v>
      </c>
      <c r="V19" s="775" t="s">
        <v>17</v>
      </c>
      <c r="W19" s="776">
        <f>J19</f>
        <v>100</v>
      </c>
      <c r="X19" s="1818"/>
      <c r="Y19" s="3159"/>
      <c r="Z19" s="1819" t="str">
        <f>Q19</f>
        <v>办公集聚程度</v>
      </c>
      <c r="AA19" s="1816">
        <f t="shared" si="3"/>
        <v>1</v>
      </c>
      <c r="AB19" s="1816">
        <f t="shared" si="4"/>
        <v>1</v>
      </c>
      <c r="AC19" s="1816">
        <f t="shared" si="5"/>
        <v>1</v>
      </c>
    </row>
    <row r="20" spans="1:29" ht="15">
      <c r="A20" s="429"/>
      <c r="B20" s="457"/>
      <c r="C20" s="448"/>
      <c r="D20" s="449"/>
      <c r="E20" s="2611"/>
      <c r="F20" s="449"/>
      <c r="G20" s="2611"/>
      <c r="H20" s="449"/>
      <c r="I20" s="2610"/>
      <c r="J20" s="449"/>
      <c r="K20" s="673"/>
      <c r="L20" s="1144"/>
      <c r="M20" s="1135"/>
      <c r="N20" s="1135"/>
      <c r="O20" s="1143"/>
      <c r="P20" s="3159"/>
      <c r="Q20" s="1815"/>
      <c r="R20" s="775"/>
      <c r="S20" s="776"/>
      <c r="T20" s="775"/>
      <c r="U20" s="776"/>
      <c r="V20" s="775"/>
      <c r="W20" s="776"/>
      <c r="X20" s="1818"/>
      <c r="Y20" s="3159"/>
      <c r="Z20" s="1819"/>
      <c r="AA20" s="1816">
        <v>1</v>
      </c>
      <c r="AB20" s="1816">
        <v>1</v>
      </c>
      <c r="AC20" s="1816">
        <v>1</v>
      </c>
    </row>
    <row r="21" spans="1:29" ht="71.25">
      <c r="A21" s="429"/>
      <c r="B21" s="452" t="s">
        <v>2707</v>
      </c>
      <c r="C21" s="2613" t="str">
        <f>估价对象房地状况!C18</f>
        <v>估价对象周边道路通达、公共交通通达、停车便捷，综合评价交通便捷度较好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159"/>
      <c r="Q21" s="1815" t="str">
        <f>B21</f>
        <v>交通便捷度</v>
      </c>
      <c r="R21" s="775" t="s">
        <v>17</v>
      </c>
      <c r="S21" s="776">
        <f>F21</f>
        <v>100</v>
      </c>
      <c r="T21" s="775" t="s">
        <v>17</v>
      </c>
      <c r="U21" s="776">
        <f>H21</f>
        <v>100</v>
      </c>
      <c r="V21" s="775" t="s">
        <v>17</v>
      </c>
      <c r="W21" s="776">
        <f>J21</f>
        <v>100</v>
      </c>
      <c r="X21" s="1818"/>
      <c r="Y21" s="3159"/>
      <c r="Z21" s="1819" t="str">
        <f>Q21</f>
        <v>交通便捷度</v>
      </c>
      <c r="AA21" s="1816">
        <f t="shared" si="3"/>
        <v>1</v>
      </c>
      <c r="AB21" s="1816">
        <f t="shared" si="4"/>
        <v>1</v>
      </c>
      <c r="AC21" s="1816">
        <f t="shared" si="5"/>
        <v>1</v>
      </c>
    </row>
    <row r="22" spans="1:29" ht="15">
      <c r="A22" s="429"/>
      <c r="B22" s="1388"/>
      <c r="C22" s="448"/>
      <c r="D22" s="451"/>
      <c r="E22" s="2611"/>
      <c r="F22" s="449"/>
      <c r="G22" s="2611"/>
      <c r="H22" s="449"/>
      <c r="I22" s="2610"/>
      <c r="J22" s="449"/>
      <c r="K22" s="673"/>
      <c r="L22" s="1144"/>
      <c r="M22" s="1135"/>
      <c r="N22" s="1135"/>
      <c r="O22" s="1143"/>
      <c r="P22" s="3159"/>
      <c r="Q22" s="1815"/>
      <c r="R22" s="775"/>
      <c r="S22" s="776"/>
      <c r="T22" s="775"/>
      <c r="U22" s="776"/>
      <c r="V22" s="775"/>
      <c r="W22" s="776"/>
      <c r="X22" s="1818"/>
      <c r="Y22" s="3159"/>
      <c r="Z22" s="1819"/>
      <c r="AA22" s="1816">
        <v>1</v>
      </c>
      <c r="AB22" s="1816">
        <v>1</v>
      </c>
      <c r="AC22" s="1816">
        <v>1</v>
      </c>
    </row>
    <row r="23" spans="1:29" ht="15">
      <c r="A23" s="405"/>
      <c r="B23" s="452" t="s">
        <v>2746</v>
      </c>
      <c r="C23" s="1393" t="str">
        <f>估价对象房地状况!C19</f>
        <v>较一致</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159"/>
      <c r="Q23" s="1815" t="str">
        <f t="shared" ref="Q23:Q37" si="8">B23</f>
        <v>区域土地利用方向</v>
      </c>
      <c r="R23" s="775" t="s">
        <v>17</v>
      </c>
      <c r="S23" s="776">
        <f>F23</f>
        <v>100</v>
      </c>
      <c r="T23" s="775" t="s">
        <v>17</v>
      </c>
      <c r="U23" s="776">
        <f>H23</f>
        <v>100</v>
      </c>
      <c r="V23" s="775" t="s">
        <v>17</v>
      </c>
      <c r="W23" s="776">
        <f>J23</f>
        <v>100</v>
      </c>
      <c r="X23" s="1818"/>
      <c r="Y23" s="3159"/>
      <c r="Z23" s="1819" t="str">
        <f>Q23</f>
        <v>区域土地利用方向</v>
      </c>
      <c r="AA23" s="1816">
        <f t="shared" si="3"/>
        <v>1</v>
      </c>
      <c r="AB23" s="1816">
        <f t="shared" si="4"/>
        <v>1</v>
      </c>
      <c r="AC23" s="1816">
        <f t="shared" si="5"/>
        <v>1</v>
      </c>
    </row>
    <row r="24" spans="1:29" ht="15">
      <c r="A24" s="405"/>
      <c r="B24" s="457"/>
      <c r="C24" s="617"/>
      <c r="D24" s="449"/>
      <c r="E24" s="2611"/>
      <c r="F24" s="449"/>
      <c r="G24" s="2610"/>
      <c r="H24" s="449"/>
      <c r="I24" s="2610"/>
      <c r="J24" s="449"/>
      <c r="K24" s="813"/>
      <c r="L24" s="1144"/>
      <c r="M24" s="1135"/>
      <c r="N24" s="1135"/>
      <c r="O24" s="1143"/>
      <c r="P24" s="3159"/>
      <c r="Q24" s="1815"/>
      <c r="R24" s="775"/>
      <c r="S24" s="776"/>
      <c r="T24" s="775"/>
      <c r="U24" s="776"/>
      <c r="V24" s="775"/>
      <c r="W24" s="776"/>
      <c r="X24" s="1818"/>
      <c r="Y24" s="3159"/>
      <c r="Z24" s="1819"/>
      <c r="AA24" s="1816"/>
      <c r="AB24" s="1816"/>
      <c r="AC24" s="1816"/>
    </row>
    <row r="25" spans="1:29" ht="57">
      <c r="A25" s="405"/>
      <c r="B25" s="1388" t="s">
        <v>2747</v>
      </c>
      <c r="C25" s="2670" t="str">
        <f>估价对象房地状况!C20</f>
        <v>区域自然环境较好；人文环境较好；综合评价环境状况较好</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159"/>
      <c r="Q25" s="1815" t="str">
        <f t="shared" si="8"/>
        <v>自然及人文环境状况</v>
      </c>
      <c r="R25" s="775" t="s">
        <v>17</v>
      </c>
      <c r="S25" s="776">
        <f>F25</f>
        <v>100</v>
      </c>
      <c r="T25" s="775" t="s">
        <v>17</v>
      </c>
      <c r="U25" s="776">
        <f>H25</f>
        <v>100</v>
      </c>
      <c r="V25" s="775" t="s">
        <v>17</v>
      </c>
      <c r="W25" s="776">
        <f>J25</f>
        <v>100</v>
      </c>
      <c r="X25" s="1818"/>
      <c r="Y25" s="3159"/>
      <c r="Z25" s="1819" t="str">
        <f>Q25</f>
        <v>自然及人文环境状况</v>
      </c>
      <c r="AA25" s="1816">
        <f t="shared" si="3"/>
        <v>1</v>
      </c>
      <c r="AB25" s="1816">
        <f t="shared" si="4"/>
        <v>1</v>
      </c>
      <c r="AC25" s="1816">
        <f t="shared" si="5"/>
        <v>1</v>
      </c>
    </row>
    <row r="26" spans="1:29" ht="15">
      <c r="A26" s="405"/>
      <c r="B26" s="457"/>
      <c r="C26" s="448"/>
      <c r="D26" s="449"/>
      <c r="E26" s="2617"/>
      <c r="F26" s="449"/>
      <c r="G26" s="2617"/>
      <c r="H26" s="449"/>
      <c r="I26" s="448"/>
      <c r="J26" s="449"/>
      <c r="K26" s="673"/>
      <c r="L26" s="1144"/>
      <c r="M26" s="1135"/>
      <c r="N26" s="1135"/>
      <c r="O26" s="1143"/>
      <c r="P26" s="3159"/>
      <c r="Q26" s="1815"/>
      <c r="R26" s="775"/>
      <c r="S26" s="776"/>
      <c r="T26" s="775"/>
      <c r="U26" s="776"/>
      <c r="V26" s="775"/>
      <c r="W26" s="776"/>
      <c r="X26" s="1818"/>
      <c r="Y26" s="3159"/>
      <c r="Z26" s="1819"/>
      <c r="AA26" s="1816">
        <v>1</v>
      </c>
      <c r="AB26" s="1816">
        <v>1</v>
      </c>
      <c r="AC26" s="1816">
        <v>1</v>
      </c>
    </row>
    <row r="27" spans="1:29" s="117" customFormat="1" ht="42.75">
      <c r="A27" s="650"/>
      <c r="B27" s="1388" t="s">
        <v>2652</v>
      </c>
      <c r="C27" s="2613" t="str">
        <f>估价对象房地状况!C21</f>
        <v>估价对象所在区域公共配套设施齐备</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159"/>
      <c r="Q27" s="1800" t="str">
        <f t="shared" si="8"/>
        <v>公共配套设施</v>
      </c>
      <c r="R27" s="771" t="s">
        <v>17</v>
      </c>
      <c r="S27" s="772">
        <f>F27</f>
        <v>100</v>
      </c>
      <c r="T27" s="771" t="s">
        <v>17</v>
      </c>
      <c r="U27" s="772">
        <f>H27</f>
        <v>100</v>
      </c>
      <c r="V27" s="771" t="s">
        <v>17</v>
      </c>
      <c r="W27" s="772">
        <f>J27</f>
        <v>100</v>
      </c>
      <c r="X27" s="773"/>
      <c r="Y27" s="3159"/>
      <c r="Z27" s="55" t="str">
        <f>Q27</f>
        <v>公共配套设施</v>
      </c>
      <c r="AA27" s="1816">
        <f>D27/F27</f>
        <v>1</v>
      </c>
      <c r="AB27" s="1816">
        <f>D27/H27</f>
        <v>1</v>
      </c>
      <c r="AC27" s="1816">
        <f>D27/J27</f>
        <v>1</v>
      </c>
    </row>
    <row r="28" spans="1:29" s="117" customFormat="1" ht="15">
      <c r="A28" s="650"/>
      <c r="B28" s="457"/>
      <c r="C28" s="2706"/>
      <c r="D28" s="449"/>
      <c r="E28" s="2617"/>
      <c r="F28" s="449"/>
      <c r="G28" s="2617"/>
      <c r="H28" s="449"/>
      <c r="I28" s="448"/>
      <c r="J28" s="449"/>
      <c r="K28" s="673"/>
      <c r="L28" s="1136"/>
      <c r="M28" s="1137"/>
      <c r="N28" s="1137"/>
      <c r="O28" s="1138"/>
      <c r="P28" s="3159"/>
      <c r="Q28" s="1800"/>
      <c r="R28" s="771"/>
      <c r="S28" s="772"/>
      <c r="T28" s="771"/>
      <c r="U28" s="772"/>
      <c r="V28" s="771"/>
      <c r="W28" s="772"/>
      <c r="X28" s="773"/>
      <c r="Y28" s="3159"/>
      <c r="Z28" s="55"/>
      <c r="AA28" s="1816">
        <v>1</v>
      </c>
      <c r="AB28" s="1816">
        <v>1</v>
      </c>
      <c r="AC28" s="1816">
        <v>1</v>
      </c>
    </row>
    <row r="29" spans="1:29" s="117" customFormat="1" ht="42.75">
      <c r="A29" s="650"/>
      <c r="B29" s="1388" t="s">
        <v>2653</v>
      </c>
      <c r="C29" s="2613" t="str">
        <f>估价对象房地状况!C22</f>
        <v>估价对象所在区域基础设施水平达七通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159"/>
      <c r="Q29" s="1800" t="str">
        <f t="shared" ref="Q29" si="9">B29</f>
        <v>基础设施水平</v>
      </c>
      <c r="R29" s="771" t="s">
        <v>17</v>
      </c>
      <c r="S29" s="772">
        <f>F29</f>
        <v>100</v>
      </c>
      <c r="T29" s="771" t="s">
        <v>17</v>
      </c>
      <c r="U29" s="772">
        <f>H29</f>
        <v>100</v>
      </c>
      <c r="V29" s="771" t="s">
        <v>17</v>
      </c>
      <c r="W29" s="772">
        <f>J29</f>
        <v>100</v>
      </c>
      <c r="X29" s="773"/>
      <c r="Y29" s="3159"/>
      <c r="Z29" s="55" t="str">
        <f>Q29</f>
        <v>基础设施水平</v>
      </c>
      <c r="AA29" s="1816">
        <f>D29/F29</f>
        <v>1</v>
      </c>
      <c r="AB29" s="1816">
        <f>D29/H29</f>
        <v>1</v>
      </c>
      <c r="AC29" s="1816">
        <f>D29/J29</f>
        <v>1</v>
      </c>
    </row>
    <row r="30" spans="1:29" s="117" customFormat="1" ht="15">
      <c r="A30" s="650"/>
      <c r="B30" s="457"/>
      <c r="C30" s="2706"/>
      <c r="D30" s="449"/>
      <c r="E30" s="2707"/>
      <c r="F30" s="449"/>
      <c r="G30" s="2707"/>
      <c r="H30" s="449"/>
      <c r="I30" s="2707"/>
      <c r="J30" s="449"/>
      <c r="K30" s="673"/>
      <c r="L30" s="1136"/>
      <c r="M30" s="1137"/>
      <c r="N30" s="1137"/>
      <c r="O30" s="1138"/>
      <c r="P30" s="3159"/>
      <c r="Q30" s="1800"/>
      <c r="R30" s="771"/>
      <c r="S30" s="772"/>
      <c r="T30" s="771"/>
      <c r="U30" s="772"/>
      <c r="V30" s="771"/>
      <c r="W30" s="772"/>
      <c r="X30" s="773"/>
      <c r="Y30" s="3159"/>
      <c r="Z30" s="55"/>
      <c r="AA30" s="1816">
        <v>1</v>
      </c>
      <c r="AB30" s="1816">
        <v>1</v>
      </c>
      <c r="AC30" s="1816">
        <v>1</v>
      </c>
    </row>
    <row r="31" spans="1:29" ht="15">
      <c r="A31" s="429"/>
      <c r="B31" s="457" t="s">
        <v>2654</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159"/>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159"/>
      <c r="Z31" s="1819" t="str">
        <f t="shared" ref="Z31:Z45" si="13">Q31</f>
        <v>临街状况</v>
      </c>
      <c r="AA31" s="1816">
        <f t="shared" si="3"/>
        <v>1</v>
      </c>
      <c r="AB31" s="1816">
        <f t="shared" si="4"/>
        <v>1</v>
      </c>
      <c r="AC31" s="1816">
        <f t="shared" si="5"/>
        <v>1</v>
      </c>
    </row>
    <row r="32" spans="1:29" ht="27">
      <c r="A32" s="429"/>
      <c r="B32" s="1388" t="s">
        <v>2689</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159"/>
      <c r="Q32" s="1815" t="str">
        <f t="shared" si="8"/>
        <v>毗邻道路的类型与等级</v>
      </c>
      <c r="R32" s="775" t="s">
        <v>17</v>
      </c>
      <c r="S32" s="776">
        <f t="shared" si="10"/>
        <v>100</v>
      </c>
      <c r="T32" s="775" t="s">
        <v>17</v>
      </c>
      <c r="U32" s="776">
        <f t="shared" si="11"/>
        <v>100</v>
      </c>
      <c r="V32" s="775" t="s">
        <v>17</v>
      </c>
      <c r="W32" s="776">
        <f t="shared" si="12"/>
        <v>100</v>
      </c>
      <c r="X32" s="1818"/>
      <c r="Y32" s="3159"/>
      <c r="Z32" s="1819" t="str">
        <f t="shared" si="13"/>
        <v>毗邻道路的类型与等级</v>
      </c>
      <c r="AA32" s="1816">
        <f t="shared" si="3"/>
        <v>1</v>
      </c>
      <c r="AB32" s="1816">
        <f t="shared" si="4"/>
        <v>1</v>
      </c>
      <c r="AC32" s="1816">
        <f t="shared" si="5"/>
        <v>1</v>
      </c>
    </row>
    <row r="33" spans="1:29" ht="15">
      <c r="A33" s="429"/>
      <c r="B33" s="457"/>
      <c r="C33" s="448"/>
      <c r="D33" s="449"/>
      <c r="E33" s="2617"/>
      <c r="F33" s="449"/>
      <c r="G33" s="2617"/>
      <c r="H33" s="449"/>
      <c r="I33" s="448"/>
      <c r="J33" s="449"/>
      <c r="K33" s="614"/>
      <c r="L33" s="1144"/>
      <c r="M33" s="1135"/>
      <c r="N33" s="1135"/>
      <c r="O33" s="1143"/>
      <c r="P33" s="3159"/>
      <c r="Q33" s="1815"/>
      <c r="R33" s="775"/>
      <c r="S33" s="776"/>
      <c r="T33" s="775"/>
      <c r="U33" s="776"/>
      <c r="V33" s="775"/>
      <c r="W33" s="776"/>
      <c r="X33" s="1818"/>
      <c r="Y33" s="3159"/>
      <c r="Z33" s="1819"/>
      <c r="AA33" s="1816">
        <v>1</v>
      </c>
      <c r="AB33" s="1816">
        <v>1</v>
      </c>
      <c r="AC33" s="1816">
        <v>1</v>
      </c>
    </row>
    <row r="34" spans="1:29" ht="15">
      <c r="A34" s="429"/>
      <c r="B34" s="423" t="s">
        <v>2748</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159"/>
      <c r="Q34" s="1815" t="str">
        <f t="shared" si="8"/>
        <v>土地级别</v>
      </c>
      <c r="R34" s="775" t="s">
        <v>17</v>
      </c>
      <c r="S34" s="776">
        <f t="shared" si="10"/>
        <v>100</v>
      </c>
      <c r="T34" s="775" t="s">
        <v>17</v>
      </c>
      <c r="U34" s="776">
        <f t="shared" si="11"/>
        <v>100</v>
      </c>
      <c r="V34" s="775" t="s">
        <v>17</v>
      </c>
      <c r="W34" s="776">
        <f t="shared" si="12"/>
        <v>100</v>
      </c>
      <c r="X34" s="1818"/>
      <c r="Y34" s="3159"/>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59"/>
      <c r="Q35" s="1815">
        <f t="shared" si="8"/>
        <v>111</v>
      </c>
      <c r="R35" s="775" t="s">
        <v>17</v>
      </c>
      <c r="S35" s="776">
        <f t="shared" si="10"/>
        <v>100</v>
      </c>
      <c r="T35" s="775" t="s">
        <v>17</v>
      </c>
      <c r="U35" s="776">
        <f t="shared" si="11"/>
        <v>100</v>
      </c>
      <c r="V35" s="775" t="s">
        <v>17</v>
      </c>
      <c r="W35" s="776">
        <f t="shared" si="12"/>
        <v>100</v>
      </c>
      <c r="X35" s="1818"/>
      <c r="Y35" s="3159"/>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40" t="s">
        <v>2563</v>
      </c>
      <c r="Q36" s="1815">
        <f t="shared" si="8"/>
        <v>111</v>
      </c>
      <c r="R36" s="775" t="s">
        <v>17</v>
      </c>
      <c r="S36" s="776">
        <f t="shared" si="10"/>
        <v>100</v>
      </c>
      <c r="T36" s="775" t="s">
        <v>17</v>
      </c>
      <c r="U36" s="776">
        <f t="shared" si="11"/>
        <v>100</v>
      </c>
      <c r="V36" s="775" t="s">
        <v>17</v>
      </c>
      <c r="W36" s="776">
        <f t="shared" si="12"/>
        <v>100</v>
      </c>
      <c r="X36" s="1818"/>
      <c r="Y36" s="3163" t="s">
        <v>2563</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163"/>
      <c r="Q37" s="1815">
        <f t="shared" si="8"/>
        <v>111</v>
      </c>
      <c r="R37" s="778" t="s">
        <v>17</v>
      </c>
      <c r="S37" s="779">
        <f t="shared" si="10"/>
        <v>100</v>
      </c>
      <c r="T37" s="778" t="s">
        <v>17</v>
      </c>
      <c r="U37" s="779">
        <f t="shared" si="11"/>
        <v>100</v>
      </c>
      <c r="V37" s="778" t="s">
        <v>17</v>
      </c>
      <c r="W37" s="779">
        <f t="shared" si="12"/>
        <v>100</v>
      </c>
      <c r="X37" s="780"/>
      <c r="Y37" s="3163"/>
      <c r="Z37" s="781">
        <f t="shared" si="13"/>
        <v>111</v>
      </c>
      <c r="AA37" s="1816">
        <f t="shared" si="3"/>
        <v>1</v>
      </c>
      <c r="AB37" s="1816">
        <f t="shared" si="4"/>
        <v>1</v>
      </c>
      <c r="AC37" s="1816">
        <f t="shared" si="5"/>
        <v>1</v>
      </c>
    </row>
    <row r="38" spans="1:29" ht="15">
      <c r="A38" s="473" t="s">
        <v>2561</v>
      </c>
      <c r="B38" s="457" t="s">
        <v>2749</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163"/>
      <c r="Q38" s="1815" t="str">
        <f>B38</f>
        <v>宗地面积</v>
      </c>
      <c r="R38" s="775" t="s">
        <v>17</v>
      </c>
      <c r="S38" s="776" t="e">
        <f t="shared" si="10"/>
        <v>#N/A</v>
      </c>
      <c r="T38" s="775" t="s">
        <v>17</v>
      </c>
      <c r="U38" s="776" t="e">
        <f t="shared" si="11"/>
        <v>#N/A</v>
      </c>
      <c r="V38" s="775" t="s">
        <v>17</v>
      </c>
      <c r="W38" s="776" t="e">
        <f t="shared" si="12"/>
        <v>#N/A</v>
      </c>
      <c r="X38" s="1818"/>
      <c r="Y38" s="3163"/>
      <c r="Z38" s="1819" t="str">
        <f t="shared" si="13"/>
        <v>宗地面积</v>
      </c>
      <c r="AA38" s="1816" t="e">
        <f t="shared" si="3"/>
        <v>#N/A</v>
      </c>
      <c r="AB38" s="1816" t="e">
        <f t="shared" si="4"/>
        <v>#N/A</v>
      </c>
      <c r="AC38" s="1816" t="e">
        <f t="shared" si="5"/>
        <v>#N/A</v>
      </c>
    </row>
    <row r="39" spans="1:29" ht="15">
      <c r="A39" s="473"/>
      <c r="B39" s="423" t="s">
        <v>2750</v>
      </c>
      <c r="C39" s="2619"/>
      <c r="D39" s="436">
        <v>100</v>
      </c>
      <c r="E39" s="2619"/>
      <c r="F39" s="436">
        <f>SUMIF(119:119,E39,120:120)-SUMIF(119:119,C39,120:120)+100</f>
        <v>100</v>
      </c>
      <c r="G39" s="2619"/>
      <c r="H39" s="436">
        <f>SUMIF(119:119,G39,120:120)-SUMIF(119:119,C39,120:120)+100</f>
        <v>100</v>
      </c>
      <c r="I39" s="2619"/>
      <c r="J39" s="436">
        <f>SUMIF(119:119,I39,120:120)-SUMIF(119:119,C39,120:120)+100</f>
        <v>100</v>
      </c>
      <c r="K39" s="613"/>
      <c r="L39" s="1144"/>
      <c r="M39" s="1135"/>
      <c r="N39" s="1135"/>
      <c r="O39" s="1143"/>
      <c r="P39" s="3163"/>
      <c r="Q39" s="1815" t="str">
        <f t="shared" ref="Q39:Q45" si="14">B39</f>
        <v>宗地形状</v>
      </c>
      <c r="R39" s="775" t="s">
        <v>17</v>
      </c>
      <c r="S39" s="776">
        <f t="shared" si="10"/>
        <v>100</v>
      </c>
      <c r="T39" s="775" t="s">
        <v>17</v>
      </c>
      <c r="U39" s="776">
        <f t="shared" si="11"/>
        <v>100</v>
      </c>
      <c r="V39" s="775" t="s">
        <v>17</v>
      </c>
      <c r="W39" s="776">
        <f t="shared" si="12"/>
        <v>100</v>
      </c>
      <c r="X39" s="1818"/>
      <c r="Y39" s="3163"/>
      <c r="Z39" s="1819" t="str">
        <f t="shared" si="13"/>
        <v>宗地形状</v>
      </c>
      <c r="AA39" s="1816">
        <f t="shared" si="3"/>
        <v>1</v>
      </c>
      <c r="AB39" s="1816">
        <f t="shared" si="4"/>
        <v>1</v>
      </c>
      <c r="AC39" s="1816">
        <f t="shared" si="5"/>
        <v>1</v>
      </c>
    </row>
    <row r="40" spans="1:29" ht="15">
      <c r="A40" s="473"/>
      <c r="B40" s="423" t="s">
        <v>2751</v>
      </c>
      <c r="C40" s="2619"/>
      <c r="D40" s="436">
        <v>100</v>
      </c>
      <c r="E40" s="2619"/>
      <c r="F40" s="436">
        <f>SUMIF(121:121,E40,122:122)-SUMIF(121:121,C40,122:122)+100</f>
        <v>100</v>
      </c>
      <c r="G40" s="2619"/>
      <c r="H40" s="436">
        <f>SUMIF(121:121,G40,122:122)-SUMIF(121:121,C40,122:122)+100</f>
        <v>100</v>
      </c>
      <c r="I40" s="2619"/>
      <c r="J40" s="436">
        <f>SUMIF(121:121,I40,122:122)-SUMIF(121:121,C40,122:122)+100</f>
        <v>100</v>
      </c>
      <c r="K40" s="613"/>
      <c r="L40" s="1144"/>
      <c r="M40" s="1135"/>
      <c r="N40" s="1135"/>
      <c r="O40" s="1143"/>
      <c r="P40" s="3163"/>
      <c r="Q40" s="1815" t="str">
        <f t="shared" si="14"/>
        <v>临街宽度及深度</v>
      </c>
      <c r="R40" s="775" t="s">
        <v>17</v>
      </c>
      <c r="S40" s="776">
        <f t="shared" si="10"/>
        <v>100</v>
      </c>
      <c r="T40" s="775" t="s">
        <v>17</v>
      </c>
      <c r="U40" s="776">
        <f t="shared" si="11"/>
        <v>100</v>
      </c>
      <c r="V40" s="775" t="s">
        <v>17</v>
      </c>
      <c r="W40" s="776">
        <f t="shared" si="12"/>
        <v>100</v>
      </c>
      <c r="X40" s="1818"/>
      <c r="Y40" s="3163"/>
      <c r="Z40" s="1819" t="str">
        <f t="shared" si="13"/>
        <v>临街宽度及深度</v>
      </c>
      <c r="AA40" s="1816">
        <f t="shared" si="3"/>
        <v>1</v>
      </c>
      <c r="AB40" s="1816">
        <f t="shared" si="4"/>
        <v>1</v>
      </c>
      <c r="AC40" s="1816">
        <f t="shared" si="5"/>
        <v>1</v>
      </c>
    </row>
    <row r="41" spans="1:29" s="117" customFormat="1" ht="15">
      <c r="A41" s="474"/>
      <c r="B41" s="423" t="s">
        <v>2752</v>
      </c>
      <c r="C41" s="2708"/>
      <c r="D41" s="136">
        <v>100</v>
      </c>
      <c r="E41" s="2708"/>
      <c r="F41" s="436">
        <f>SUMIF(123:123,E41,124:124)-SUMIF(123:123,C41,124:124)+100</f>
        <v>100</v>
      </c>
      <c r="G41" s="2708"/>
      <c r="H41" s="436">
        <f>SUMIF(123:123,G41,124:124)-SUMIF(123:123,C41,124:124)+100</f>
        <v>100</v>
      </c>
      <c r="I41" s="2708"/>
      <c r="J41" s="436">
        <f>SUMIF(123:123,I41,124:124)-SUMIF(123:123,C41,124:124)+100</f>
        <v>100</v>
      </c>
      <c r="K41" s="613"/>
      <c r="L41" s="1136"/>
      <c r="M41" s="1137"/>
      <c r="N41" s="1137"/>
      <c r="O41" s="1138"/>
      <c r="P41" s="3163"/>
      <c r="Q41" s="1815" t="str">
        <f t="shared" si="14"/>
        <v>宗地开发程度</v>
      </c>
      <c r="R41" s="771" t="s">
        <v>17</v>
      </c>
      <c r="S41" s="772">
        <f t="shared" si="10"/>
        <v>100</v>
      </c>
      <c r="T41" s="771" t="s">
        <v>17</v>
      </c>
      <c r="U41" s="772">
        <f t="shared" si="11"/>
        <v>100</v>
      </c>
      <c r="V41" s="771" t="s">
        <v>17</v>
      </c>
      <c r="W41" s="772">
        <f t="shared" si="12"/>
        <v>100</v>
      </c>
      <c r="X41" s="773"/>
      <c r="Y41" s="3163"/>
      <c r="Z41" s="55" t="str">
        <f t="shared" si="13"/>
        <v>宗地开发程度</v>
      </c>
      <c r="AA41" s="774">
        <f t="shared" si="3"/>
        <v>1</v>
      </c>
      <c r="AB41" s="774">
        <f t="shared" si="4"/>
        <v>1</v>
      </c>
      <c r="AC41" s="774">
        <f t="shared" si="5"/>
        <v>1</v>
      </c>
    </row>
    <row r="42" spans="1:29" ht="15">
      <c r="A42" s="473"/>
      <c r="B42" s="423" t="s">
        <v>2753</v>
      </c>
      <c r="C42" s="2619"/>
      <c r="D42" s="436">
        <v>100</v>
      </c>
      <c r="E42" s="2619"/>
      <c r="F42" s="436">
        <f>SUMIF(125:125,E42,126:126)-SUMIF(125:125,C42,126:126)+100</f>
        <v>100</v>
      </c>
      <c r="G42" s="2619"/>
      <c r="H42" s="436">
        <f>SUMIF(125:125,G42,126:126)-SUMIF(125:125,C42,126:126)+100</f>
        <v>100</v>
      </c>
      <c r="I42" s="2619"/>
      <c r="J42" s="436">
        <f>SUMIF(125:125,I42,126:126)-SUMIF(125:125,C42,126:126)+100</f>
        <v>100</v>
      </c>
      <c r="K42" s="613"/>
      <c r="L42" s="1144"/>
      <c r="M42" s="1135"/>
      <c r="N42" s="1135"/>
      <c r="O42" s="1143"/>
      <c r="P42" s="3163" t="s">
        <v>2563</v>
      </c>
      <c r="Q42" s="1815" t="str">
        <f t="shared" si="14"/>
        <v>工程地质条件</v>
      </c>
      <c r="R42" s="775" t="s">
        <v>17</v>
      </c>
      <c r="S42" s="776">
        <f t="shared" si="10"/>
        <v>100</v>
      </c>
      <c r="T42" s="775" t="s">
        <v>17</v>
      </c>
      <c r="U42" s="776">
        <f t="shared" si="11"/>
        <v>100</v>
      </c>
      <c r="V42" s="775" t="s">
        <v>17</v>
      </c>
      <c r="W42" s="776">
        <f t="shared" si="12"/>
        <v>100</v>
      </c>
      <c r="X42" s="1818"/>
      <c r="Y42" s="3163" t="s">
        <v>2563</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163"/>
      <c r="Q43" s="1815">
        <f t="shared" si="14"/>
        <v>111</v>
      </c>
      <c r="R43" s="775" t="s">
        <v>17</v>
      </c>
      <c r="S43" s="776">
        <f t="shared" si="10"/>
        <v>100</v>
      </c>
      <c r="T43" s="775" t="s">
        <v>17</v>
      </c>
      <c r="U43" s="776">
        <f t="shared" si="11"/>
        <v>100</v>
      </c>
      <c r="V43" s="775" t="s">
        <v>17</v>
      </c>
      <c r="W43" s="776">
        <f t="shared" si="12"/>
        <v>100</v>
      </c>
      <c r="X43" s="1818"/>
      <c r="Y43" s="3163"/>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163"/>
      <c r="Q44" s="1815">
        <f t="shared" si="14"/>
        <v>111</v>
      </c>
      <c r="R44" s="775" t="s">
        <v>17</v>
      </c>
      <c r="S44" s="776">
        <f t="shared" si="10"/>
        <v>100</v>
      </c>
      <c r="T44" s="775" t="s">
        <v>17</v>
      </c>
      <c r="U44" s="776">
        <f t="shared" si="11"/>
        <v>100</v>
      </c>
      <c r="V44" s="775" t="s">
        <v>17</v>
      </c>
      <c r="W44" s="776">
        <f t="shared" si="12"/>
        <v>100</v>
      </c>
      <c r="X44" s="1818"/>
      <c r="Y44" s="3163"/>
      <c r="Z44" s="1819">
        <f t="shared" si="13"/>
        <v>111</v>
      </c>
      <c r="AA44" s="1816">
        <f t="shared" si="3"/>
        <v>1</v>
      </c>
      <c r="AB44" s="1816">
        <f t="shared" si="4"/>
        <v>1</v>
      </c>
      <c r="AC44" s="1816">
        <f t="shared" si="5"/>
        <v>1</v>
      </c>
    </row>
    <row r="45" spans="1:29" s="472" customFormat="1" ht="15.75" thickBot="1">
      <c r="A45" s="469"/>
      <c r="B45" s="1391">
        <v>111</v>
      </c>
      <c r="C45" s="2709"/>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163"/>
      <c r="Q45" s="1815">
        <f t="shared" si="14"/>
        <v>111</v>
      </c>
      <c r="R45" s="778" t="s">
        <v>17</v>
      </c>
      <c r="S45" s="779">
        <f t="shared" si="10"/>
        <v>100</v>
      </c>
      <c r="T45" s="778" t="s">
        <v>17</v>
      </c>
      <c r="U45" s="779">
        <f t="shared" si="11"/>
        <v>100</v>
      </c>
      <c r="V45" s="778" t="s">
        <v>17</v>
      </c>
      <c r="W45" s="779">
        <f t="shared" si="12"/>
        <v>100</v>
      </c>
      <c r="X45" s="780"/>
      <c r="Y45" s="3163"/>
      <c r="Z45" s="781">
        <f t="shared" si="13"/>
        <v>111</v>
      </c>
      <c r="AA45" s="1816">
        <f t="shared" si="3"/>
        <v>1</v>
      </c>
      <c r="AB45" s="1816">
        <f t="shared" si="4"/>
        <v>1</v>
      </c>
      <c r="AC45" s="1816">
        <f t="shared" si="5"/>
        <v>1</v>
      </c>
    </row>
    <row r="46" spans="1:29" ht="15">
      <c r="A46" s="480" t="s">
        <v>2718</v>
      </c>
      <c r="B46" s="2710" t="s">
        <v>2754</v>
      </c>
      <c r="C46" s="683" t="s">
        <v>1</v>
      </c>
      <c r="D46" s="482"/>
      <c r="E46" s="483"/>
      <c r="F46" s="484"/>
      <c r="G46" s="485"/>
      <c r="H46" s="486"/>
      <c r="I46" s="483"/>
      <c r="J46" s="486"/>
      <c r="K46" s="784"/>
      <c r="L46" s="1147"/>
      <c r="M46" s="1148"/>
      <c r="N46" s="1135"/>
      <c r="O46" s="1148"/>
      <c r="P46" s="3151" t="str">
        <f>A46</f>
        <v>成交单价</v>
      </c>
      <c r="Q46" s="3151"/>
      <c r="R46" s="3185">
        <f>E46</f>
        <v>0</v>
      </c>
      <c r="S46" s="3185"/>
      <c r="T46" s="3185">
        <f>G46</f>
        <v>0</v>
      </c>
      <c r="U46" s="3185"/>
      <c r="V46" s="3185">
        <f>I46</f>
        <v>0</v>
      </c>
      <c r="W46" s="3185"/>
      <c r="X46" s="760"/>
      <c r="Y46" s="782"/>
      <c r="Z46" s="760"/>
      <c r="AA46" s="760"/>
      <c r="AB46" s="760"/>
      <c r="AC46" s="760"/>
    </row>
    <row r="47" spans="1:29" ht="15.75" thickBot="1">
      <c r="A47" s="487" t="s">
        <v>2667</v>
      </c>
      <c r="B47" s="684"/>
      <c r="C47" s="491" t="e">
        <f>R48</f>
        <v>#DIV/0!</v>
      </c>
      <c r="D47" s="490"/>
      <c r="E47" s="491" t="e">
        <f>R47</f>
        <v>#DIV/0!</v>
      </c>
      <c r="F47" s="492"/>
      <c r="G47" s="489" t="e">
        <f>T47</f>
        <v>#DIV/0!</v>
      </c>
      <c r="H47" s="490"/>
      <c r="I47" s="491" t="e">
        <f>V47</f>
        <v>#DIV/0!</v>
      </c>
      <c r="J47" s="490"/>
      <c r="K47" s="785"/>
      <c r="L47" s="1147"/>
      <c r="M47" s="1148"/>
      <c r="N47" s="1148"/>
      <c r="O47" s="1148"/>
      <c r="P47" s="3151" t="str">
        <f>A47</f>
        <v>比较价值（元/平方米）</v>
      </c>
      <c r="Q47" s="3151"/>
      <c r="R47" s="3241" t="e">
        <f>ROUND(PRODUCT(R46,AA7:AA45),0)</f>
        <v>#DIV/0!</v>
      </c>
      <c r="S47" s="3241"/>
      <c r="T47" s="3241" t="e">
        <f>ROUND(PRODUCT(T46,AB7:AB45),0)</f>
        <v>#DIV/0!</v>
      </c>
      <c r="U47" s="3241"/>
      <c r="V47" s="3241" t="e">
        <f>ROUND(PRODUCT(V46,AC7:AC45),0)</f>
        <v>#DIV/0!</v>
      </c>
      <c r="W47" s="3241"/>
      <c r="X47" s="760"/>
      <c r="Y47" s="760"/>
      <c r="Z47" s="760"/>
      <c r="AA47" s="760"/>
      <c r="AB47" s="760"/>
      <c r="AC47" s="760"/>
    </row>
    <row r="48" spans="1:29" ht="15.75" thickBot="1">
      <c r="A48" s="493" t="s">
        <v>2755</v>
      </c>
      <c r="B48" s="494"/>
      <c r="C48" s="495" t="e">
        <f>R48</f>
        <v>#DIV/0!</v>
      </c>
      <c r="D48" s="495"/>
      <c r="E48" s="495"/>
      <c r="F48" s="495"/>
      <c r="G48" s="495"/>
      <c r="H48" s="495"/>
      <c r="I48" s="495"/>
      <c r="J48" s="495"/>
      <c r="K48" s="786"/>
      <c r="L48" s="1147"/>
      <c r="M48" s="1148"/>
      <c r="N48" s="1148"/>
      <c r="O48" s="1148"/>
      <c r="P48" s="3229" t="str">
        <f>A48</f>
        <v>估价对象XX用房的比较价值（楼面单价，元/平方米）</v>
      </c>
      <c r="Q48" s="3230"/>
      <c r="R48" s="3242" t="e">
        <f>ROUND(AVERAGE(R47:V47),0)</f>
        <v>#DIV/0!</v>
      </c>
      <c r="S48" s="3242"/>
      <c r="T48" s="3242"/>
      <c r="U48" s="3242"/>
      <c r="V48" s="3242"/>
      <c r="W48" s="3242"/>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2669</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2670</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2671</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2756</v>
      </c>
      <c r="B55" s="686" t="s">
        <v>2757</v>
      </c>
      <c r="C55" s="2711" t="s">
        <v>2758</v>
      </c>
      <c r="D55" s="2712" t="s">
        <v>2759</v>
      </c>
      <c r="E55" s="687" t="s">
        <v>2760</v>
      </c>
      <c r="F55" s="1111" t="s">
        <v>2761</v>
      </c>
      <c r="G55" s="3168" t="s">
        <v>2762</v>
      </c>
      <c r="H55" s="3243"/>
      <c r="I55" s="144" t="s">
        <v>2763</v>
      </c>
      <c r="J55" s="2713">
        <f>项目基本情况!F35</f>
        <v>0</v>
      </c>
      <c r="K55" s="2714" t="s">
        <v>2764</v>
      </c>
      <c r="L55" s="1110"/>
      <c r="M55" s="1148"/>
      <c r="N55" s="1148"/>
      <c r="O55" s="1148"/>
    </row>
    <row r="56" spans="1:15" s="693" customFormat="1">
      <c r="A56" s="689" t="s">
        <v>2765</v>
      </c>
      <c r="B56" s="690" t="e">
        <f>C48</f>
        <v>#DIV/0!</v>
      </c>
      <c r="C56" s="691">
        <v>1</v>
      </c>
      <c r="D56" s="1167">
        <v>1</v>
      </c>
      <c r="E56" s="691">
        <f>'数据-汇总表'!E8+'数据-汇总表'!E9</f>
        <v>898.32</v>
      </c>
      <c r="F56" s="1107" t="e">
        <f t="shared" ref="F56:F65" si="15">ROUND(B56*E56/10000,0)</f>
        <v>#DIV/0!</v>
      </c>
      <c r="G56" s="3150"/>
      <c r="H56" s="3151"/>
      <c r="I56" s="1112">
        <v>1</v>
      </c>
      <c r="J56" s="1115">
        <v>1</v>
      </c>
      <c r="K56" s="1149"/>
      <c r="L56" s="945"/>
      <c r="M56" s="945"/>
      <c r="N56" s="945"/>
      <c r="O56" s="945"/>
    </row>
    <row r="57" spans="1:15" s="693" customFormat="1">
      <c r="A57" s="694" t="s">
        <v>2766</v>
      </c>
      <c r="B57" s="263" t="e">
        <f>ROUND($C$48*C57*D57,0)</f>
        <v>#DIV/0!</v>
      </c>
      <c r="C57" s="201">
        <f t="shared" ref="C57:C65" si="16">IF($C$55="北京市系数",I57,J57)</f>
        <v>0</v>
      </c>
      <c r="D57" s="1168">
        <v>0.25</v>
      </c>
      <c r="E57" s="695"/>
      <c r="F57" s="1107" t="e">
        <f t="shared" si="15"/>
        <v>#DIV/0!</v>
      </c>
      <c r="G57" s="3244" t="s">
        <v>2767</v>
      </c>
      <c r="H57" s="1108">
        <f>项目基本情况!B37</f>
        <v>0</v>
      </c>
      <c r="I57" s="1112">
        <f>SUMIF(修正!A45:A56,H57,修正!B45:B56)</f>
        <v>0</v>
      </c>
      <c r="J57" s="1116"/>
      <c r="K57" s="1148"/>
      <c r="L57" s="945"/>
      <c r="M57" s="945"/>
      <c r="N57" s="945"/>
      <c r="O57" s="945"/>
    </row>
    <row r="58" spans="1:15" s="693" customFormat="1">
      <c r="A58" s="694" t="s">
        <v>2768</v>
      </c>
      <c r="B58" s="263" t="e">
        <f t="shared" ref="B58:B65" si="17">ROUND($C$48*C58*D58,0)</f>
        <v>#DIV/0!</v>
      </c>
      <c r="C58" s="201">
        <f t="shared" si="16"/>
        <v>0</v>
      </c>
      <c r="D58" s="1168">
        <v>0.25</v>
      </c>
      <c r="E58" s="695"/>
      <c r="F58" s="1107" t="e">
        <f t="shared" si="15"/>
        <v>#DIV/0!</v>
      </c>
      <c r="G58" s="3244"/>
      <c r="H58" s="1108">
        <f>项目基本情况!B37</f>
        <v>0</v>
      </c>
      <c r="I58" s="1112">
        <f>SUMIF(修正!A45:A56,H58,修正!C45:C56)</f>
        <v>0</v>
      </c>
      <c r="J58" s="1116"/>
      <c r="K58" s="1149"/>
      <c r="L58" s="945"/>
      <c r="M58" s="945"/>
      <c r="N58" s="945"/>
      <c r="O58" s="945"/>
    </row>
    <row r="59" spans="1:15" s="693" customFormat="1">
      <c r="A59" s="694" t="s">
        <v>2769</v>
      </c>
      <c r="B59" s="263" t="e">
        <f t="shared" si="17"/>
        <v>#DIV/0!</v>
      </c>
      <c r="C59" s="201">
        <f t="shared" si="16"/>
        <v>0</v>
      </c>
      <c r="D59" s="1168">
        <v>0.25</v>
      </c>
      <c r="E59" s="695"/>
      <c r="F59" s="1107" t="e">
        <f t="shared" si="15"/>
        <v>#DIV/0!</v>
      </c>
      <c r="G59" s="3244"/>
      <c r="H59" s="1108">
        <f>项目基本情况!B37</f>
        <v>0</v>
      </c>
      <c r="I59" s="1112">
        <f>SUMIF(修正!A45:A56,H59,修正!D45:D56)</f>
        <v>0</v>
      </c>
      <c r="J59" s="1116"/>
      <c r="K59" s="1148"/>
      <c r="L59" s="945"/>
      <c r="M59" s="945"/>
      <c r="N59" s="945"/>
      <c r="O59" s="945"/>
    </row>
    <row r="60" spans="1:15" s="693" customFormat="1">
      <c r="A60" s="694" t="s">
        <v>2770</v>
      </c>
      <c r="B60" s="263" t="e">
        <f t="shared" si="17"/>
        <v>#DIV/0!</v>
      </c>
      <c r="C60" s="201">
        <f t="shared" si="16"/>
        <v>0</v>
      </c>
      <c r="D60" s="1168">
        <v>0.25</v>
      </c>
      <c r="E60" s="695"/>
      <c r="F60" s="1107" t="e">
        <f t="shared" si="15"/>
        <v>#DIV/0!</v>
      </c>
      <c r="G60" s="3244"/>
      <c r="H60" s="1108">
        <f>项目基本情况!B37</f>
        <v>0</v>
      </c>
      <c r="I60" s="1112">
        <f>SUMIF(修正!A45:A56,H60,修正!E45:E56)</f>
        <v>0</v>
      </c>
      <c r="J60" s="1116"/>
      <c r="K60" s="1149"/>
      <c r="L60" s="945"/>
      <c r="M60" s="945"/>
      <c r="N60" s="945"/>
      <c r="O60" s="945"/>
    </row>
    <row r="61" spans="1:15" s="693" customFormat="1">
      <c r="A61" s="694" t="s">
        <v>2771</v>
      </c>
      <c r="B61" s="263" t="e">
        <f t="shared" si="17"/>
        <v>#DIV/0!</v>
      </c>
      <c r="C61" s="201">
        <f t="shared" si="16"/>
        <v>0</v>
      </c>
      <c r="D61" s="1168">
        <v>0.25</v>
      </c>
      <c r="E61" s="262">
        <f>'数据-汇总表'!E11</f>
        <v>0</v>
      </c>
      <c r="F61" s="1107" t="e">
        <f t="shared" si="15"/>
        <v>#DIV/0!</v>
      </c>
      <c r="G61" s="2715" t="s">
        <v>2772</v>
      </c>
      <c r="H61" s="1108">
        <f>项目基本情况!C37</f>
        <v>0</v>
      </c>
      <c r="I61" s="1112">
        <f>SUMIF(修正!A45:A56,H61,修正!F45:F56)</f>
        <v>0</v>
      </c>
      <c r="J61" s="1116"/>
      <c r="K61" s="1148"/>
      <c r="L61" s="945"/>
      <c r="M61" s="945"/>
      <c r="N61" s="945"/>
      <c r="O61" s="945"/>
    </row>
    <row r="62" spans="1:15" s="693" customFormat="1">
      <c r="A62" s="694" t="s">
        <v>2773</v>
      </c>
      <c r="B62" s="263" t="e">
        <f t="shared" si="17"/>
        <v>#DIV/0!</v>
      </c>
      <c r="C62" s="201">
        <f t="shared" si="16"/>
        <v>0</v>
      </c>
      <c r="D62" s="1168">
        <v>0.25</v>
      </c>
      <c r="E62" s="262">
        <f>'数据-汇总表'!E12</f>
        <v>0</v>
      </c>
      <c r="F62" s="1107" t="e">
        <f t="shared" si="15"/>
        <v>#DIV/0!</v>
      </c>
      <c r="G62" s="1113" t="s">
        <v>2774</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2775</v>
      </c>
      <c r="B63" s="263" t="e">
        <f t="shared" si="17"/>
        <v>#DIV/0!</v>
      </c>
      <c r="C63" s="201">
        <f t="shared" si="16"/>
        <v>0</v>
      </c>
      <c r="D63" s="1168">
        <v>0.25</v>
      </c>
      <c r="E63" s="262">
        <f>'数据-汇总表'!E13</f>
        <v>0</v>
      </c>
      <c r="F63" s="1107" t="e">
        <f t="shared" si="15"/>
        <v>#DIV/0!</v>
      </c>
      <c r="G63" s="1113" t="s">
        <v>2776</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2777</v>
      </c>
      <c r="B64" s="263" t="e">
        <f t="shared" si="17"/>
        <v>#DIV/0!</v>
      </c>
      <c r="C64" s="201">
        <f t="shared" si="16"/>
        <v>0</v>
      </c>
      <c r="D64" s="1168">
        <v>0.25</v>
      </c>
      <c r="E64" s="262">
        <f>'数据-汇总表'!E14</f>
        <v>0</v>
      </c>
      <c r="F64" s="1107" t="e">
        <f t="shared" si="15"/>
        <v>#DIV/0!</v>
      </c>
      <c r="G64" s="2715" t="s">
        <v>2767</v>
      </c>
      <c r="H64" s="1108">
        <f>项目基本情况!B37</f>
        <v>0</v>
      </c>
      <c r="I64" s="1112">
        <f>SUMIF(修正!A45:A56,H64,修正!H45:H56)</f>
        <v>0</v>
      </c>
      <c r="J64" s="1116"/>
      <c r="K64" s="1149"/>
      <c r="L64" s="945"/>
      <c r="M64" s="945"/>
      <c r="N64" s="945"/>
      <c r="O64" s="945"/>
    </row>
    <row r="65" spans="1:17" s="693" customFormat="1" ht="15" thickBot="1">
      <c r="A65" s="694" t="s">
        <v>2778</v>
      </c>
      <c r="B65" s="263" t="e">
        <f t="shared" si="17"/>
        <v>#DIV/0!</v>
      </c>
      <c r="C65" s="201">
        <f t="shared" si="16"/>
        <v>0</v>
      </c>
      <c r="D65" s="1168">
        <v>0.25</v>
      </c>
      <c r="E65" s="262">
        <f>'数据-汇总表'!E15</f>
        <v>0</v>
      </c>
      <c r="F65" s="1107" t="e">
        <f t="shared" si="15"/>
        <v>#DIV/0!</v>
      </c>
      <c r="G65" s="2716" t="s">
        <v>2772</v>
      </c>
      <c r="H65" s="1118">
        <f>项目基本情况!C37</f>
        <v>0</v>
      </c>
      <c r="I65" s="1114">
        <f>SUMIF(修正!A45:A56,H65,修正!H45:H56)</f>
        <v>0</v>
      </c>
      <c r="J65" s="1117"/>
      <c r="K65" s="1148"/>
      <c r="L65" s="945"/>
      <c r="M65" s="945"/>
      <c r="N65" s="945"/>
      <c r="O65" s="945"/>
    </row>
    <row r="66" spans="1:17" s="693" customFormat="1" ht="13.5" thickBot="1">
      <c r="A66" s="696" t="s">
        <v>2779</v>
      </c>
      <c r="B66" s="697" t="s">
        <v>28</v>
      </c>
      <c r="C66" s="697" t="s">
        <v>29</v>
      </c>
      <c r="D66" s="697" t="s">
        <v>1029</v>
      </c>
      <c r="E66" s="697">
        <f>IF(B46="楼面地价",SUM(E56:E65),'数据-汇总表'!D3)</f>
        <v>898.32</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2672</v>
      </c>
      <c r="B69" s="760"/>
      <c r="C69" s="765"/>
      <c r="D69" s="765"/>
      <c r="E69" s="765"/>
      <c r="F69" s="766"/>
      <c r="G69" s="766"/>
      <c r="H69" s="765"/>
      <c r="I69" s="765"/>
      <c r="J69" s="1163"/>
      <c r="K69" s="1164"/>
      <c r="L69" s="1165"/>
      <c r="M69" s="1163"/>
      <c r="N69" s="1163"/>
      <c r="O69" s="1163"/>
      <c r="P69" s="504"/>
      <c r="Q69" s="505"/>
    </row>
    <row r="70" spans="1:17" s="509" customFormat="1" ht="15">
      <c r="A70" s="2717" t="s">
        <v>2780</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8" t="s">
        <v>2781</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2583</v>
      </c>
      <c r="B72" s="517"/>
      <c r="C72" s="518"/>
      <c r="D72" s="519"/>
      <c r="E72" s="519"/>
      <c r="F72" s="519"/>
      <c r="G72" s="519"/>
      <c r="H72" s="519"/>
      <c r="I72" s="519"/>
      <c r="J72" s="519"/>
      <c r="K72" s="519"/>
      <c r="L72" s="519"/>
      <c r="M72" s="520"/>
      <c r="N72" s="519"/>
      <c r="O72" s="1166"/>
      <c r="P72" s="505"/>
      <c r="Q72" s="505"/>
    </row>
    <row r="73" spans="1:17" s="117" customFormat="1" ht="15">
      <c r="A73" s="522" t="s">
        <v>2548</v>
      </c>
      <c r="B73" s="511"/>
      <c r="C73" s="523" t="s">
        <v>2650</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2586</v>
      </c>
      <c r="B75" s="529" t="s">
        <v>2552</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2555</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2556</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2557</v>
      </c>
      <c r="B88" s="529" t="s">
        <v>2594</v>
      </c>
      <c r="C88" s="574" t="s">
        <v>2595</v>
      </c>
      <c r="D88" s="574" t="s">
        <v>2596</v>
      </c>
      <c r="E88" s="574" t="s">
        <v>2597</v>
      </c>
      <c r="F88" s="574" t="s">
        <v>2598</v>
      </c>
      <c r="G88" s="574" t="s">
        <v>2599</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2782</v>
      </c>
      <c r="C90" s="579" t="s">
        <v>2595</v>
      </c>
      <c r="D90" s="579" t="s">
        <v>2596</v>
      </c>
      <c r="E90" s="579" t="s">
        <v>2597</v>
      </c>
      <c r="F90" s="579" t="s">
        <v>2598</v>
      </c>
      <c r="G90" s="579" t="s">
        <v>2599</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2695</v>
      </c>
      <c r="C92" s="579" t="s">
        <v>2595</v>
      </c>
      <c r="D92" s="579" t="s">
        <v>2596</v>
      </c>
      <c r="E92" s="579" t="s">
        <v>2597</v>
      </c>
      <c r="F92" s="579" t="s">
        <v>2598</v>
      </c>
      <c r="G92" s="579" t="s">
        <v>2599</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2600</v>
      </c>
      <c r="C94" s="579" t="s">
        <v>2595</v>
      </c>
      <c r="D94" s="579" t="s">
        <v>2596</v>
      </c>
      <c r="E94" s="579" t="s">
        <v>2597</v>
      </c>
      <c r="F94" s="579" t="s">
        <v>2598</v>
      </c>
      <c r="G94" s="579" t="s">
        <v>2599</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2783</v>
      </c>
      <c r="C96" s="579" t="s">
        <v>2595</v>
      </c>
      <c r="D96" s="579" t="s">
        <v>2596</v>
      </c>
      <c r="E96" s="579" t="s">
        <v>2597</v>
      </c>
      <c r="F96" s="579" t="s">
        <v>2598</v>
      </c>
      <c r="G96" s="579" t="s">
        <v>2599</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2784</v>
      </c>
      <c r="C98" s="574" t="s">
        <v>2595</v>
      </c>
      <c r="D98" s="574" t="s">
        <v>2596</v>
      </c>
      <c r="E98" s="574" t="s">
        <v>2597</v>
      </c>
      <c r="F98" s="574" t="s">
        <v>2598</v>
      </c>
      <c r="G98" s="574" t="s">
        <v>2599</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2652</v>
      </c>
      <c r="C100" s="574" t="s">
        <v>2595</v>
      </c>
      <c r="D100" s="574" t="s">
        <v>2596</v>
      </c>
      <c r="E100" s="574" t="s">
        <v>2597</v>
      </c>
      <c r="F100" s="574" t="s">
        <v>2598</v>
      </c>
      <c r="G100" s="574" t="s">
        <v>2599</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2653</v>
      </c>
      <c r="C102" s="661" t="s">
        <v>2673</v>
      </c>
      <c r="D102" s="661" t="s">
        <v>2674</v>
      </c>
      <c r="E102" s="661" t="s">
        <v>2675</v>
      </c>
      <c r="F102" s="661" t="s">
        <v>2676</v>
      </c>
      <c r="G102" s="661" t="s">
        <v>2677</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2785</v>
      </c>
      <c r="D104" s="540" t="s">
        <v>2786</v>
      </c>
      <c r="E104" s="540" t="s">
        <v>2787</v>
      </c>
      <c r="F104" s="540" t="s">
        <v>2788</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2689</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2748</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2561</v>
      </c>
      <c r="B116" s="529" t="s">
        <v>2789</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2790</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2791</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2792</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2793</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2742</v>
      </c>
      <c r="B1" s="396"/>
      <c r="C1" s="397" t="s">
        <v>2794</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2325</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t="e">
        <f>ROUND(IF(D3="",B2*10000/'数据-汇总表'!E3,B2*10000/D3),0)</f>
        <v>#DIV/0!</v>
      </c>
      <c r="C3" s="248" t="s">
        <v>2744</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168" t="s">
        <v>2644</v>
      </c>
      <c r="D4" s="3169"/>
      <c r="E4" s="3170" t="s">
        <v>2645</v>
      </c>
      <c r="F4" s="3171"/>
      <c r="G4" s="3168" t="s">
        <v>2646</v>
      </c>
      <c r="H4" s="3169"/>
      <c r="I4" s="3168" t="s">
        <v>2647</v>
      </c>
      <c r="J4" s="3169"/>
      <c r="K4" s="611" t="s">
        <v>2648</v>
      </c>
      <c r="L4" s="1134"/>
      <c r="M4" s="1135"/>
      <c r="N4" s="1135"/>
      <c r="O4" s="1135"/>
      <c r="P4" s="3233" t="s">
        <v>2649</v>
      </c>
      <c r="Q4" s="3234"/>
      <c r="R4" s="3237" t="s">
        <v>2645</v>
      </c>
      <c r="S4" s="3238"/>
      <c r="T4" s="3237" t="s">
        <v>2646</v>
      </c>
      <c r="U4" s="3238"/>
      <c r="V4" s="3185" t="s">
        <v>2647</v>
      </c>
      <c r="W4" s="3185"/>
      <c r="X4" s="1818"/>
      <c r="Y4" s="3237" t="s">
        <v>2649</v>
      </c>
      <c r="Z4" s="3238"/>
      <c r="AA4" s="3232" t="s">
        <v>2645</v>
      </c>
      <c r="AB4" s="3198" t="s">
        <v>2646</v>
      </c>
      <c r="AC4" s="3232" t="s">
        <v>2647</v>
      </c>
    </row>
    <row r="5" spans="1:29" ht="15">
      <c r="A5" s="405"/>
      <c r="B5" s="406"/>
      <c r="C5" s="3194" t="s">
        <v>2540</v>
      </c>
      <c r="D5" s="3189"/>
      <c r="E5" s="3239" t="s">
        <v>2541</v>
      </c>
      <c r="F5" s="3201"/>
      <c r="G5" s="3194" t="s">
        <v>2542</v>
      </c>
      <c r="H5" s="3189"/>
      <c r="I5" s="3194" t="s">
        <v>2543</v>
      </c>
      <c r="J5" s="3189"/>
      <c r="K5" s="611"/>
      <c r="L5" s="1134"/>
      <c r="M5" s="1135"/>
      <c r="N5" s="1135"/>
      <c r="O5" s="1135"/>
      <c r="P5" s="3235"/>
      <c r="Q5" s="3175"/>
      <c r="R5" s="3180"/>
      <c r="S5" s="3181"/>
      <c r="T5" s="3180"/>
      <c r="U5" s="3181"/>
      <c r="V5" s="3185"/>
      <c r="W5" s="3185"/>
      <c r="X5" s="1818"/>
      <c r="Y5" s="3180"/>
      <c r="Z5" s="3181"/>
      <c r="AA5" s="3198"/>
      <c r="AB5" s="3198"/>
      <c r="AC5" s="3198"/>
    </row>
    <row r="6" spans="1:29" ht="15.75" thickBot="1">
      <c r="A6" s="407"/>
      <c r="B6" s="408"/>
      <c r="C6" s="3245" t="s">
        <v>2795</v>
      </c>
      <c r="D6" s="3246"/>
      <c r="E6" s="3247" t="s">
        <v>2795</v>
      </c>
      <c r="F6" s="3248"/>
      <c r="G6" s="3245" t="s">
        <v>2795</v>
      </c>
      <c r="H6" s="3246"/>
      <c r="I6" s="3245" t="s">
        <v>2795</v>
      </c>
      <c r="J6" s="3246"/>
      <c r="K6" s="611" t="s">
        <v>2545</v>
      </c>
      <c r="L6" s="1134"/>
      <c r="M6" s="1135"/>
      <c r="N6" s="1135"/>
      <c r="O6" s="1135"/>
      <c r="P6" s="3236"/>
      <c r="Q6" s="3177"/>
      <c r="R6" s="3180"/>
      <c r="S6" s="3181"/>
      <c r="T6" s="3182"/>
      <c r="U6" s="3183"/>
      <c r="V6" s="3185"/>
      <c r="W6" s="3185"/>
      <c r="X6" s="1818"/>
      <c r="Y6" s="3182"/>
      <c r="Z6" s="3183"/>
      <c r="AA6" s="3199"/>
      <c r="AB6" s="3199"/>
      <c r="AC6" s="3199"/>
    </row>
    <row r="7" spans="1:29" s="117" customFormat="1" ht="15.75" thickBot="1">
      <c r="A7" s="409" t="s">
        <v>2546</v>
      </c>
      <c r="B7" s="410"/>
      <c r="C7" s="411">
        <f>'数据-取费表'!B2</f>
        <v>43053</v>
      </c>
      <c r="D7" s="412">
        <v>100</v>
      </c>
      <c r="E7" s="413"/>
      <c r="F7" s="414">
        <f>SUMIF(65:65,YEAR(E7)&amp;"-"&amp;INT((MONTH(E7)+2)/3),66:66)</f>
        <v>0</v>
      </c>
      <c r="G7" s="2702"/>
      <c r="H7" s="412">
        <f>SUMIF(65:65,YEAR(G7)&amp;"-"&amp;INT((MONTH(G7)+2)/3),66:66)</f>
        <v>0</v>
      </c>
      <c r="I7" s="2702"/>
      <c r="J7" s="412">
        <f>SUMIF(65:65,YEAR(I7)&amp;"-"&amp;INT((MONTH(I7)+2)/3),66:66)</f>
        <v>0</v>
      </c>
      <c r="K7" s="612"/>
      <c r="L7" s="1136"/>
      <c r="M7" s="1137"/>
      <c r="N7" s="1137"/>
      <c r="O7" s="1137"/>
      <c r="P7" s="3192" t="s">
        <v>2547</v>
      </c>
      <c r="Q7" s="3193"/>
      <c r="R7" s="771" t="s">
        <v>17</v>
      </c>
      <c r="S7" s="772">
        <f t="shared" ref="S7:S15" si="0">F7</f>
        <v>0</v>
      </c>
      <c r="T7" s="771" t="s">
        <v>17</v>
      </c>
      <c r="U7" s="772">
        <f t="shared" ref="U7:U15" si="1">H7</f>
        <v>0</v>
      </c>
      <c r="V7" s="771" t="s">
        <v>17</v>
      </c>
      <c r="W7" s="772">
        <f t="shared" ref="W7:W15" si="2">J7</f>
        <v>0</v>
      </c>
      <c r="X7" s="773"/>
      <c r="Y7" s="3192" t="s">
        <v>2547</v>
      </c>
      <c r="Z7" s="3191"/>
      <c r="AA7" s="774" t="e">
        <f>D7/F7</f>
        <v>#DIV/0!</v>
      </c>
      <c r="AB7" s="774" t="e">
        <f>D7/H7</f>
        <v>#DIV/0!</v>
      </c>
      <c r="AC7" s="774" t="e">
        <f>D7/J7</f>
        <v>#DIV/0!</v>
      </c>
    </row>
    <row r="8" spans="1:29" s="117" customFormat="1" ht="15.75" thickBot="1">
      <c r="A8" s="409" t="s">
        <v>2548</v>
      </c>
      <c r="B8" s="410"/>
      <c r="C8" s="415" t="s">
        <v>2549</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192" t="s">
        <v>2550</v>
      </c>
      <c r="Q8" s="3191"/>
      <c r="R8" s="771" t="s">
        <v>17</v>
      </c>
      <c r="S8" s="772">
        <f t="shared" si="0"/>
        <v>0</v>
      </c>
      <c r="T8" s="771" t="s">
        <v>17</v>
      </c>
      <c r="U8" s="772">
        <f t="shared" si="1"/>
        <v>0</v>
      </c>
      <c r="V8" s="771" t="s">
        <v>17</v>
      </c>
      <c r="W8" s="772">
        <f t="shared" si="2"/>
        <v>0</v>
      </c>
      <c r="X8" s="773"/>
      <c r="Y8" s="3192" t="s">
        <v>2550</v>
      </c>
      <c r="Z8" s="3191"/>
      <c r="AA8" s="774" t="e">
        <f t="shared" ref="AA8:AA40" si="3">D8/F8</f>
        <v>#DIV/0!</v>
      </c>
      <c r="AB8" s="774" t="e">
        <f t="shared" ref="AB8:AB40" si="4">D8/H8</f>
        <v>#DIV/0!</v>
      </c>
      <c r="AC8" s="774" t="e">
        <f t="shared" ref="AC8:AC40" si="5">D8/J8</f>
        <v>#DIV/0!</v>
      </c>
    </row>
    <row r="9" spans="1:29" s="117" customFormat="1">
      <c r="A9" s="416" t="s">
        <v>2551</v>
      </c>
      <c r="B9" s="71" t="s">
        <v>2552</v>
      </c>
      <c r="C9" s="2705"/>
      <c r="D9" s="135">
        <v>100</v>
      </c>
      <c r="E9" s="2705"/>
      <c r="F9" s="135">
        <f>SUMIF(70:70,E9,71:71)-SUMIF(70:70,C9,71:71)+100</f>
        <v>100</v>
      </c>
      <c r="G9" s="2705"/>
      <c r="H9" s="135">
        <f>SUMIF(70:70,G9,71:71)-SUMIF(70:70,C9,71:71)+100</f>
        <v>100</v>
      </c>
      <c r="I9" s="2705"/>
      <c r="J9" s="135">
        <f>SUMIF(70:70,I9,71:71)-SUMIF(70:70,C9,71:71)+100</f>
        <v>100</v>
      </c>
      <c r="K9" s="612"/>
      <c r="L9" s="1136"/>
      <c r="M9" s="1137"/>
      <c r="N9" s="1137"/>
      <c r="O9" s="1138"/>
      <c r="P9" s="3151" t="s">
        <v>2553</v>
      </c>
      <c r="Q9" s="1800" t="str">
        <f t="shared" ref="Q9:Q15" si="6">B9</f>
        <v>用途</v>
      </c>
      <c r="R9" s="771" t="s">
        <v>17</v>
      </c>
      <c r="S9" s="772">
        <f t="shared" si="0"/>
        <v>100</v>
      </c>
      <c r="T9" s="771" t="s">
        <v>17</v>
      </c>
      <c r="U9" s="772">
        <f t="shared" si="1"/>
        <v>100</v>
      </c>
      <c r="V9" s="771" t="s">
        <v>17</v>
      </c>
      <c r="W9" s="772">
        <f t="shared" si="2"/>
        <v>100</v>
      </c>
      <c r="X9" s="773"/>
      <c r="Y9" s="3005" t="s">
        <v>2554</v>
      </c>
      <c r="Z9" s="55" t="str">
        <f t="shared" ref="Z9:Z15" si="7">Q9</f>
        <v>用途</v>
      </c>
      <c r="AA9" s="774">
        <f t="shared" si="3"/>
        <v>1</v>
      </c>
      <c r="AB9" s="774">
        <f t="shared" si="4"/>
        <v>1</v>
      </c>
      <c r="AC9" s="774">
        <f t="shared" si="5"/>
        <v>1</v>
      </c>
    </row>
    <row r="10" spans="1:29" s="428" customFormat="1" ht="27">
      <c r="A10" s="422"/>
      <c r="B10" s="423" t="s">
        <v>2555</v>
      </c>
      <c r="C10" s="433"/>
      <c r="D10" s="136">
        <v>100</v>
      </c>
      <c r="E10" s="433"/>
      <c r="F10" s="136">
        <f>ROUND(100/'数据-取费表'!G16,0)</f>
        <v>106</v>
      </c>
      <c r="G10" s="433"/>
      <c r="H10" s="136">
        <f>ROUND(100/'数据-取费表'!G16,0)</f>
        <v>106</v>
      </c>
      <c r="I10" s="433"/>
      <c r="J10" s="136">
        <f>ROUND(100/'数据-取费表'!G16,0)</f>
        <v>106</v>
      </c>
      <c r="K10" s="673"/>
      <c r="L10" s="1139"/>
      <c r="M10" s="1140"/>
      <c r="N10" s="1140"/>
      <c r="O10" s="1141"/>
      <c r="P10" s="3151"/>
      <c r="Q10" s="1800" t="str">
        <f t="shared" si="6"/>
        <v>土地使用年限（年）</v>
      </c>
      <c r="R10" s="771" t="s">
        <v>17</v>
      </c>
      <c r="S10" s="772">
        <f t="shared" si="0"/>
        <v>106</v>
      </c>
      <c r="T10" s="771" t="s">
        <v>17</v>
      </c>
      <c r="U10" s="772">
        <f t="shared" si="1"/>
        <v>106</v>
      </c>
      <c r="V10" s="771" t="s">
        <v>17</v>
      </c>
      <c r="W10" s="772">
        <f t="shared" si="2"/>
        <v>106</v>
      </c>
      <c r="X10" s="773"/>
      <c r="Y10" s="3005"/>
      <c r="Z10" s="55" t="str">
        <f t="shared" si="7"/>
        <v>土地使用年限（年）</v>
      </c>
      <c r="AA10" s="774">
        <f t="shared" si="3"/>
        <v>0.94339622641509435</v>
      </c>
      <c r="AB10" s="774">
        <f t="shared" si="4"/>
        <v>0.94339622641509435</v>
      </c>
      <c r="AC10" s="774">
        <f t="shared" si="5"/>
        <v>0.94339622641509435</v>
      </c>
    </row>
    <row r="11" spans="1:29" ht="15">
      <c r="A11" s="429"/>
      <c r="B11" s="423" t="s">
        <v>2556</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151"/>
      <c r="Q11" s="1800" t="str">
        <f t="shared" si="6"/>
        <v>容积率</v>
      </c>
      <c r="R11" s="771" t="s">
        <v>17</v>
      </c>
      <c r="S11" s="772" t="e">
        <f t="shared" si="0"/>
        <v>#N/A</v>
      </c>
      <c r="T11" s="771" t="s">
        <v>17</v>
      </c>
      <c r="U11" s="772" t="e">
        <f t="shared" si="1"/>
        <v>#N/A</v>
      </c>
      <c r="V11" s="771" t="s">
        <v>17</v>
      </c>
      <c r="W11" s="772" t="e">
        <f t="shared" si="2"/>
        <v>#N/A</v>
      </c>
      <c r="X11" s="773"/>
      <c r="Y11" s="3005"/>
      <c r="Z11" s="55" t="str">
        <f t="shared" si="7"/>
        <v>容积率</v>
      </c>
      <c r="AA11" s="774" t="e">
        <f t="shared" si="3"/>
        <v>#N/A</v>
      </c>
      <c r="AB11" s="774" t="e">
        <f t="shared" si="4"/>
        <v>#N/A</v>
      </c>
      <c r="AC11" s="774" t="e">
        <f t="shared" si="5"/>
        <v>#N/A</v>
      </c>
    </row>
    <row r="12" spans="1:29" s="117" customFormat="1" ht="15">
      <c r="A12" s="432"/>
      <c r="B12" s="2606">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151"/>
      <c r="Q12" s="1800">
        <f t="shared" si="6"/>
        <v>111</v>
      </c>
      <c r="R12" s="771" t="s">
        <v>17</v>
      </c>
      <c r="S12" s="772">
        <f t="shared" si="0"/>
        <v>100</v>
      </c>
      <c r="T12" s="771" t="s">
        <v>17</v>
      </c>
      <c r="U12" s="772">
        <f t="shared" si="1"/>
        <v>100</v>
      </c>
      <c r="V12" s="771" t="s">
        <v>17</v>
      </c>
      <c r="W12" s="772">
        <f t="shared" si="2"/>
        <v>100</v>
      </c>
      <c r="X12" s="773"/>
      <c r="Y12" s="3005"/>
      <c r="Z12" s="55">
        <f t="shared" si="7"/>
        <v>111</v>
      </c>
      <c r="AA12" s="774">
        <f>D12/F12</f>
        <v>1</v>
      </c>
      <c r="AB12" s="774">
        <f>D12/H12</f>
        <v>1</v>
      </c>
      <c r="AC12" s="774">
        <f>D12/J12</f>
        <v>1</v>
      </c>
    </row>
    <row r="13" spans="1:29" ht="15">
      <c r="A13" s="429"/>
      <c r="B13" s="2606">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151"/>
      <c r="Q13" s="1800">
        <f t="shared" si="6"/>
        <v>111</v>
      </c>
      <c r="R13" s="771" t="s">
        <v>17</v>
      </c>
      <c r="S13" s="772">
        <f t="shared" si="0"/>
        <v>100</v>
      </c>
      <c r="T13" s="771" t="s">
        <v>17</v>
      </c>
      <c r="U13" s="772">
        <f t="shared" si="1"/>
        <v>100</v>
      </c>
      <c r="V13" s="771" t="s">
        <v>17</v>
      </c>
      <c r="W13" s="772">
        <f t="shared" si="2"/>
        <v>100</v>
      </c>
      <c r="X13" s="773"/>
      <c r="Y13" s="3005"/>
      <c r="Z13" s="55">
        <f t="shared" si="7"/>
        <v>111</v>
      </c>
      <c r="AA13" s="774">
        <f t="shared" si="3"/>
        <v>1</v>
      </c>
      <c r="AB13" s="774">
        <f t="shared" si="4"/>
        <v>1</v>
      </c>
      <c r="AC13" s="774">
        <f t="shared" si="5"/>
        <v>1</v>
      </c>
    </row>
    <row r="14" spans="1:29" ht="15.75" thickBot="1">
      <c r="A14" s="437"/>
      <c r="B14" s="2608">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151"/>
      <c r="Q14" s="1800">
        <f t="shared" si="6"/>
        <v>111</v>
      </c>
      <c r="R14" s="771" t="s">
        <v>17</v>
      </c>
      <c r="S14" s="772">
        <f t="shared" si="0"/>
        <v>100</v>
      </c>
      <c r="T14" s="771" t="s">
        <v>17</v>
      </c>
      <c r="U14" s="772">
        <f t="shared" si="1"/>
        <v>100</v>
      </c>
      <c r="V14" s="771" t="s">
        <v>17</v>
      </c>
      <c r="W14" s="772">
        <f t="shared" si="2"/>
        <v>100</v>
      </c>
      <c r="X14" s="773"/>
      <c r="Y14" s="3005"/>
      <c r="Z14" s="55">
        <f t="shared" si="7"/>
        <v>111</v>
      </c>
      <c r="AA14" s="774">
        <f t="shared" si="3"/>
        <v>1</v>
      </c>
      <c r="AB14" s="774">
        <f t="shared" si="4"/>
        <v>1</v>
      </c>
      <c r="AC14" s="774">
        <f t="shared" si="5"/>
        <v>1</v>
      </c>
    </row>
    <row r="15" spans="1:29" ht="57">
      <c r="A15" s="441" t="s">
        <v>2557</v>
      </c>
      <c r="B15" s="630" t="s">
        <v>2796</v>
      </c>
      <c r="C15" s="2699"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158" t="s">
        <v>2558</v>
      </c>
      <c r="Q15" s="1815" t="str">
        <f t="shared" si="6"/>
        <v>产业集聚程度</v>
      </c>
      <c r="R15" s="775" t="s">
        <v>17</v>
      </c>
      <c r="S15" s="776">
        <f t="shared" si="0"/>
        <v>100</v>
      </c>
      <c r="T15" s="775" t="s">
        <v>17</v>
      </c>
      <c r="U15" s="776">
        <f t="shared" si="1"/>
        <v>100</v>
      </c>
      <c r="V15" s="775" t="s">
        <v>17</v>
      </c>
      <c r="W15" s="776">
        <f t="shared" si="2"/>
        <v>100</v>
      </c>
      <c r="X15" s="1818"/>
      <c r="Y15" s="3158" t="s">
        <v>2558</v>
      </c>
      <c r="Z15" s="1819" t="str">
        <f t="shared" si="7"/>
        <v>产业集聚程度</v>
      </c>
      <c r="AA15" s="1816">
        <f t="shared" si="3"/>
        <v>1</v>
      </c>
      <c r="AB15" s="1816">
        <f t="shared" si="4"/>
        <v>1</v>
      </c>
      <c r="AC15" s="1816">
        <f t="shared" si="5"/>
        <v>1</v>
      </c>
    </row>
    <row r="16" spans="1:29" ht="15">
      <c r="A16" s="429"/>
      <c r="B16" s="631"/>
      <c r="C16" s="448"/>
      <c r="D16" s="449"/>
      <c r="E16" s="2617"/>
      <c r="F16" s="449"/>
      <c r="G16" s="2617"/>
      <c r="H16" s="451"/>
      <c r="I16" s="2617"/>
      <c r="J16" s="449"/>
      <c r="K16" s="673"/>
      <c r="L16" s="1144"/>
      <c r="M16" s="1135"/>
      <c r="N16" s="1135"/>
      <c r="O16" s="1143"/>
      <c r="P16" s="3159"/>
      <c r="Q16" s="1815"/>
      <c r="R16" s="775"/>
      <c r="S16" s="776"/>
      <c r="T16" s="775"/>
      <c r="U16" s="776"/>
      <c r="V16" s="775"/>
      <c r="W16" s="776"/>
      <c r="X16" s="1818"/>
      <c r="Y16" s="3159"/>
      <c r="Z16" s="1819"/>
      <c r="AA16" s="1816">
        <v>1</v>
      </c>
      <c r="AB16" s="1816">
        <v>1</v>
      </c>
      <c r="AC16" s="1816">
        <v>1</v>
      </c>
    </row>
    <row r="17" spans="1:29" ht="85.5">
      <c r="A17" s="429"/>
      <c r="B17" s="632" t="s">
        <v>2707</v>
      </c>
      <c r="C17" s="2613"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159"/>
      <c r="Q17" s="1815" t="str">
        <f>B17</f>
        <v>交通便捷度</v>
      </c>
      <c r="R17" s="775" t="s">
        <v>17</v>
      </c>
      <c r="S17" s="776">
        <f>F17</f>
        <v>100</v>
      </c>
      <c r="T17" s="775" t="s">
        <v>17</v>
      </c>
      <c r="U17" s="776">
        <f>H17</f>
        <v>100</v>
      </c>
      <c r="V17" s="775" t="s">
        <v>17</v>
      </c>
      <c r="W17" s="776">
        <f>J17</f>
        <v>100</v>
      </c>
      <c r="X17" s="1818"/>
      <c r="Y17" s="3159"/>
      <c r="Z17" s="1819" t="str">
        <f>Q17</f>
        <v>交通便捷度</v>
      </c>
      <c r="AA17" s="1816">
        <f t="shared" si="3"/>
        <v>1</v>
      </c>
      <c r="AB17" s="1816">
        <f t="shared" si="4"/>
        <v>1</v>
      </c>
      <c r="AC17" s="1816">
        <f t="shared" si="5"/>
        <v>1</v>
      </c>
    </row>
    <row r="18" spans="1:29" ht="15">
      <c r="A18" s="429"/>
      <c r="B18" s="633"/>
      <c r="C18" s="448"/>
      <c r="D18" s="449"/>
      <c r="E18" s="2611"/>
      <c r="F18" s="449"/>
      <c r="G18" s="2611"/>
      <c r="H18" s="449"/>
      <c r="I18" s="2610"/>
      <c r="J18" s="449"/>
      <c r="K18" s="673"/>
      <c r="L18" s="1144"/>
      <c r="M18" s="1135"/>
      <c r="N18" s="1135"/>
      <c r="O18" s="1143"/>
      <c r="P18" s="3159"/>
      <c r="Q18" s="1815"/>
      <c r="R18" s="775"/>
      <c r="S18" s="776"/>
      <c r="T18" s="775"/>
      <c r="U18" s="776"/>
      <c r="V18" s="775"/>
      <c r="W18" s="776"/>
      <c r="X18" s="1818"/>
      <c r="Y18" s="3159"/>
      <c r="Z18" s="1819"/>
      <c r="AA18" s="1816">
        <v>1</v>
      </c>
      <c r="AB18" s="1816">
        <v>1</v>
      </c>
      <c r="AC18" s="1816">
        <v>1</v>
      </c>
    </row>
    <row r="19" spans="1:29" ht="15">
      <c r="A19" s="429"/>
      <c r="B19" s="632" t="s">
        <v>2746</v>
      </c>
      <c r="C19" s="2613">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159"/>
      <c r="Q19" s="1815" t="str">
        <f t="shared" ref="Q19:Q33" si="8">B19</f>
        <v>区域土地利用方向</v>
      </c>
      <c r="R19" s="775" t="s">
        <v>17</v>
      </c>
      <c r="S19" s="776">
        <f>F19</f>
        <v>100</v>
      </c>
      <c r="T19" s="775" t="s">
        <v>17</v>
      </c>
      <c r="U19" s="776">
        <f>H19</f>
        <v>100</v>
      </c>
      <c r="V19" s="775" t="s">
        <v>17</v>
      </c>
      <c r="W19" s="776">
        <f>J19</f>
        <v>100</v>
      </c>
      <c r="X19" s="1818"/>
      <c r="Y19" s="3159"/>
      <c r="Z19" s="1819" t="str">
        <f>Q19</f>
        <v>区域土地利用方向</v>
      </c>
      <c r="AA19" s="1816">
        <f t="shared" si="3"/>
        <v>1</v>
      </c>
      <c r="AB19" s="1816">
        <f t="shared" si="4"/>
        <v>1</v>
      </c>
      <c r="AC19" s="1816">
        <f t="shared" si="5"/>
        <v>1</v>
      </c>
    </row>
    <row r="20" spans="1:29" ht="15">
      <c r="A20" s="405"/>
      <c r="B20" s="633"/>
      <c r="C20" s="448"/>
      <c r="D20" s="449"/>
      <c r="E20" s="2611"/>
      <c r="F20" s="449"/>
      <c r="G20" s="2611"/>
      <c r="H20" s="449"/>
      <c r="I20" s="2611"/>
      <c r="J20" s="449"/>
      <c r="K20" s="813"/>
      <c r="L20" s="1144"/>
      <c r="M20" s="1135"/>
      <c r="N20" s="1135"/>
      <c r="O20" s="1143"/>
      <c r="P20" s="3159"/>
      <c r="Q20" s="1815"/>
      <c r="R20" s="775"/>
      <c r="S20" s="776"/>
      <c r="T20" s="775"/>
      <c r="U20" s="776"/>
      <c r="V20" s="775"/>
      <c r="W20" s="776"/>
      <c r="X20" s="1818"/>
      <c r="Y20" s="3159"/>
      <c r="Z20" s="1819"/>
      <c r="AA20" s="1816"/>
      <c r="AB20" s="1816"/>
      <c r="AC20" s="1816"/>
    </row>
    <row r="21" spans="1:29" ht="71.25">
      <c r="A21" s="405"/>
      <c r="B21" s="632" t="s">
        <v>2797</v>
      </c>
      <c r="C21" s="2613"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159"/>
      <c r="Q21" s="1815" t="str">
        <f t="shared" si="8"/>
        <v>环境状况</v>
      </c>
      <c r="R21" s="775" t="s">
        <v>17</v>
      </c>
      <c r="S21" s="776">
        <f>F21</f>
        <v>100</v>
      </c>
      <c r="T21" s="775" t="s">
        <v>17</v>
      </c>
      <c r="U21" s="776">
        <f>H21</f>
        <v>100</v>
      </c>
      <c r="V21" s="775" t="s">
        <v>17</v>
      </c>
      <c r="W21" s="776">
        <f>J21</f>
        <v>100</v>
      </c>
      <c r="X21" s="1818"/>
      <c r="Y21" s="3159"/>
      <c r="Z21" s="1819" t="str">
        <f>Q21</f>
        <v>环境状况</v>
      </c>
      <c r="AA21" s="1816">
        <f t="shared" si="3"/>
        <v>1</v>
      </c>
      <c r="AB21" s="1816">
        <f t="shared" si="4"/>
        <v>1</v>
      </c>
      <c r="AC21" s="1816">
        <f t="shared" si="5"/>
        <v>1</v>
      </c>
    </row>
    <row r="22" spans="1:29" ht="15">
      <c r="A22" s="405"/>
      <c r="B22" s="633"/>
      <c r="C22" s="448"/>
      <c r="D22" s="449"/>
      <c r="E22" s="2617"/>
      <c r="F22" s="449"/>
      <c r="G22" s="2617"/>
      <c r="H22" s="449"/>
      <c r="I22" s="448"/>
      <c r="J22" s="449"/>
      <c r="K22" s="673"/>
      <c r="L22" s="1144"/>
      <c r="M22" s="1135"/>
      <c r="N22" s="1135"/>
      <c r="O22" s="1143"/>
      <c r="P22" s="3159"/>
      <c r="Q22" s="1815"/>
      <c r="R22" s="775"/>
      <c r="S22" s="776"/>
      <c r="T22" s="775"/>
      <c r="U22" s="776"/>
      <c r="V22" s="775"/>
      <c r="W22" s="776"/>
      <c r="X22" s="1818"/>
      <c r="Y22" s="3159"/>
      <c r="Z22" s="1819"/>
      <c r="AA22" s="1816">
        <v>1</v>
      </c>
      <c r="AB22" s="1816">
        <v>1</v>
      </c>
      <c r="AC22" s="1816">
        <v>1</v>
      </c>
    </row>
    <row r="23" spans="1:29" s="117" customFormat="1" ht="42.75">
      <c r="A23" s="650"/>
      <c r="B23" s="634" t="s">
        <v>2652</v>
      </c>
      <c r="C23" s="2613"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159"/>
      <c r="Q23" s="1800" t="str">
        <f t="shared" si="8"/>
        <v>公共配套设施</v>
      </c>
      <c r="R23" s="771" t="s">
        <v>17</v>
      </c>
      <c r="S23" s="772">
        <f>F23</f>
        <v>100</v>
      </c>
      <c r="T23" s="771" t="s">
        <v>17</v>
      </c>
      <c r="U23" s="772">
        <f>H23</f>
        <v>100</v>
      </c>
      <c r="V23" s="771" t="s">
        <v>17</v>
      </c>
      <c r="W23" s="772">
        <f>J23</f>
        <v>100</v>
      </c>
      <c r="X23" s="773"/>
      <c r="Y23" s="3159"/>
      <c r="Z23" s="55" t="str">
        <f>Q23</f>
        <v>公共配套设施</v>
      </c>
      <c r="AA23" s="1816">
        <f>D23/F23</f>
        <v>1</v>
      </c>
      <c r="AB23" s="1816">
        <f>D23/H23</f>
        <v>1</v>
      </c>
      <c r="AC23" s="1816">
        <f>D23/J23</f>
        <v>1</v>
      </c>
    </row>
    <row r="24" spans="1:29" s="117" customFormat="1" ht="15">
      <c r="A24" s="650"/>
      <c r="B24" s="633"/>
      <c r="C24" s="2706"/>
      <c r="D24" s="449"/>
      <c r="E24" s="2617"/>
      <c r="F24" s="449"/>
      <c r="G24" s="2617"/>
      <c r="H24" s="449"/>
      <c r="I24" s="448"/>
      <c r="J24" s="449"/>
      <c r="K24" s="673"/>
      <c r="L24" s="1136"/>
      <c r="M24" s="1137"/>
      <c r="N24" s="1137"/>
      <c r="O24" s="1138"/>
      <c r="P24" s="3159"/>
      <c r="Q24" s="1800"/>
      <c r="R24" s="771"/>
      <c r="S24" s="772"/>
      <c r="T24" s="771"/>
      <c r="U24" s="772"/>
      <c r="V24" s="771"/>
      <c r="W24" s="772"/>
      <c r="X24" s="773"/>
      <c r="Y24" s="3159"/>
      <c r="Z24" s="55"/>
      <c r="AA24" s="774">
        <v>1</v>
      </c>
      <c r="AB24" s="774">
        <v>1</v>
      </c>
      <c r="AC24" s="774">
        <v>1</v>
      </c>
    </row>
    <row r="25" spans="1:29" s="117" customFormat="1" ht="28.5">
      <c r="A25" s="650"/>
      <c r="B25" s="634" t="s">
        <v>2653</v>
      </c>
      <c r="C25" s="2613"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159"/>
      <c r="Q25" s="1800" t="str">
        <f t="shared" ref="Q25" si="9">B25</f>
        <v>基础设施水平</v>
      </c>
      <c r="R25" s="771" t="s">
        <v>17</v>
      </c>
      <c r="S25" s="772">
        <f>F25</f>
        <v>100</v>
      </c>
      <c r="T25" s="771" t="s">
        <v>17</v>
      </c>
      <c r="U25" s="772">
        <f>H25</f>
        <v>100</v>
      </c>
      <c r="V25" s="771" t="s">
        <v>17</v>
      </c>
      <c r="W25" s="772">
        <f>J25</f>
        <v>100</v>
      </c>
      <c r="X25" s="773"/>
      <c r="Y25" s="3159"/>
      <c r="Z25" s="55" t="str">
        <f>Q25</f>
        <v>基础设施水平</v>
      </c>
      <c r="AA25" s="1816">
        <f>D25/F25</f>
        <v>1</v>
      </c>
      <c r="AB25" s="1816">
        <f>D25/H25</f>
        <v>1</v>
      </c>
      <c r="AC25" s="1816">
        <f>D25/J25</f>
        <v>1</v>
      </c>
    </row>
    <row r="26" spans="1:29" s="117" customFormat="1" ht="15">
      <c r="A26" s="650"/>
      <c r="B26" s="633"/>
      <c r="C26" s="2706"/>
      <c r="D26" s="449"/>
      <c r="E26" s="2707"/>
      <c r="F26" s="449"/>
      <c r="G26" s="2707"/>
      <c r="H26" s="449"/>
      <c r="I26" s="2707"/>
      <c r="J26" s="449"/>
      <c r="K26" s="673"/>
      <c r="L26" s="1136"/>
      <c r="M26" s="1137"/>
      <c r="N26" s="1137"/>
      <c r="O26" s="1138"/>
      <c r="P26" s="3159"/>
      <c r="Q26" s="1800"/>
      <c r="R26" s="771"/>
      <c r="S26" s="772"/>
      <c r="T26" s="771"/>
      <c r="U26" s="772"/>
      <c r="V26" s="771"/>
      <c r="W26" s="772"/>
      <c r="X26" s="773"/>
      <c r="Y26" s="3159"/>
      <c r="Z26" s="55"/>
      <c r="AA26" s="774">
        <v>1</v>
      </c>
      <c r="AB26" s="774">
        <v>1</v>
      </c>
      <c r="AC26" s="774">
        <v>1</v>
      </c>
    </row>
    <row r="27" spans="1:29" ht="15">
      <c r="A27" s="429"/>
      <c r="B27" s="633" t="s">
        <v>2654</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159"/>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159"/>
      <c r="Z27" s="1819" t="str">
        <f t="shared" ref="Z27:Z40" si="13">Q27</f>
        <v>临街状况</v>
      </c>
      <c r="AA27" s="1816">
        <f t="shared" si="3"/>
        <v>1</v>
      </c>
      <c r="AB27" s="1816">
        <f t="shared" si="4"/>
        <v>1</v>
      </c>
      <c r="AC27" s="1816">
        <f t="shared" si="5"/>
        <v>1</v>
      </c>
    </row>
    <row r="28" spans="1:29" ht="27">
      <c r="A28" s="429"/>
      <c r="B28" s="634" t="s">
        <v>2689</v>
      </c>
      <c r="C28" s="2719">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159"/>
      <c r="Q28" s="1815" t="str">
        <f t="shared" si="8"/>
        <v>毗邻道路的类型与等级</v>
      </c>
      <c r="R28" s="775" t="s">
        <v>17</v>
      </c>
      <c r="S28" s="776">
        <f t="shared" si="10"/>
        <v>100</v>
      </c>
      <c r="T28" s="775" t="s">
        <v>17</v>
      </c>
      <c r="U28" s="776">
        <f t="shared" si="11"/>
        <v>100</v>
      </c>
      <c r="V28" s="775" t="s">
        <v>17</v>
      </c>
      <c r="W28" s="776">
        <f t="shared" si="12"/>
        <v>100</v>
      </c>
      <c r="X28" s="1818"/>
      <c r="Y28" s="3159"/>
      <c r="Z28" s="1819" t="str">
        <f t="shared" si="13"/>
        <v>毗邻道路的类型与等级</v>
      </c>
      <c r="AA28" s="1816">
        <f t="shared" si="3"/>
        <v>1</v>
      </c>
      <c r="AB28" s="1816">
        <f t="shared" si="4"/>
        <v>1</v>
      </c>
      <c r="AC28" s="1816">
        <f t="shared" si="5"/>
        <v>1</v>
      </c>
    </row>
    <row r="29" spans="1:29" ht="15">
      <c r="A29" s="429"/>
      <c r="B29" s="633"/>
      <c r="C29" s="448"/>
      <c r="D29" s="449"/>
      <c r="E29" s="2617"/>
      <c r="F29" s="449"/>
      <c r="G29" s="2617"/>
      <c r="H29" s="449"/>
      <c r="I29" s="2617"/>
      <c r="J29" s="449"/>
      <c r="K29" s="614"/>
      <c r="L29" s="1144"/>
      <c r="M29" s="1135"/>
      <c r="N29" s="1135"/>
      <c r="O29" s="1143"/>
      <c r="P29" s="3159"/>
      <c r="Q29" s="1815"/>
      <c r="R29" s="775"/>
      <c r="S29" s="776"/>
      <c r="T29" s="775"/>
      <c r="U29" s="776"/>
      <c r="V29" s="775"/>
      <c r="W29" s="776"/>
      <c r="X29" s="1818"/>
      <c r="Y29" s="3159"/>
      <c r="Z29" s="1819"/>
      <c r="AA29" s="1816">
        <v>1</v>
      </c>
      <c r="AB29" s="1816">
        <v>1</v>
      </c>
      <c r="AC29" s="1816">
        <v>1</v>
      </c>
    </row>
    <row r="30" spans="1:29" ht="15">
      <c r="A30" s="429"/>
      <c r="B30" s="655" t="s">
        <v>2748</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159"/>
      <c r="Q30" s="1815" t="str">
        <f t="shared" si="8"/>
        <v>土地级别</v>
      </c>
      <c r="R30" s="775" t="s">
        <v>17</v>
      </c>
      <c r="S30" s="776">
        <f t="shared" si="10"/>
        <v>100</v>
      </c>
      <c r="T30" s="775" t="s">
        <v>17</v>
      </c>
      <c r="U30" s="776">
        <f t="shared" si="11"/>
        <v>100</v>
      </c>
      <c r="V30" s="775" t="s">
        <v>17</v>
      </c>
      <c r="W30" s="776">
        <f t="shared" si="12"/>
        <v>100</v>
      </c>
      <c r="X30" s="1818"/>
      <c r="Y30" s="3159"/>
      <c r="Z30" s="1819" t="str">
        <f t="shared" si="13"/>
        <v>土地级别</v>
      </c>
      <c r="AA30" s="1816">
        <f t="shared" si="3"/>
        <v>1</v>
      </c>
      <c r="AB30" s="1816">
        <f t="shared" si="4"/>
        <v>1</v>
      </c>
      <c r="AC30" s="1816">
        <f t="shared" si="5"/>
        <v>1</v>
      </c>
    </row>
    <row r="31" spans="1:29" ht="15">
      <c r="A31" s="405"/>
      <c r="B31" s="2684">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159"/>
      <c r="Q31" s="1815">
        <f t="shared" si="8"/>
        <v>111</v>
      </c>
      <c r="R31" s="775" t="s">
        <v>17</v>
      </c>
      <c r="S31" s="776">
        <f t="shared" si="10"/>
        <v>100</v>
      </c>
      <c r="T31" s="775" t="s">
        <v>17</v>
      </c>
      <c r="U31" s="776">
        <f t="shared" si="11"/>
        <v>100</v>
      </c>
      <c r="V31" s="775" t="s">
        <v>17</v>
      </c>
      <c r="W31" s="776">
        <f t="shared" si="12"/>
        <v>100</v>
      </c>
      <c r="X31" s="1818"/>
      <c r="Y31" s="3159"/>
      <c r="Z31" s="1819">
        <f t="shared" si="13"/>
        <v>111</v>
      </c>
      <c r="AA31" s="1816">
        <f t="shared" si="3"/>
        <v>1</v>
      </c>
      <c r="AB31" s="1816">
        <f t="shared" si="4"/>
        <v>1</v>
      </c>
      <c r="AC31" s="1816">
        <f t="shared" si="5"/>
        <v>1</v>
      </c>
    </row>
    <row r="32" spans="1:29" ht="15">
      <c r="A32" s="676"/>
      <c r="B32" s="2720">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40" t="s">
        <v>2563</v>
      </c>
      <c r="Q32" s="1815">
        <f t="shared" si="8"/>
        <v>111</v>
      </c>
      <c r="R32" s="775" t="s">
        <v>17</v>
      </c>
      <c r="S32" s="776">
        <f t="shared" si="10"/>
        <v>100</v>
      </c>
      <c r="T32" s="775" t="s">
        <v>17</v>
      </c>
      <c r="U32" s="776">
        <f t="shared" si="11"/>
        <v>100</v>
      </c>
      <c r="V32" s="775" t="s">
        <v>17</v>
      </c>
      <c r="W32" s="776">
        <f t="shared" si="12"/>
        <v>100</v>
      </c>
      <c r="X32" s="1818"/>
      <c r="Y32" s="3163" t="s">
        <v>2563</v>
      </c>
      <c r="Z32" s="1819">
        <f t="shared" si="13"/>
        <v>111</v>
      </c>
      <c r="AA32" s="1816">
        <f t="shared" si="3"/>
        <v>1</v>
      </c>
      <c r="AB32" s="1816">
        <f t="shared" si="4"/>
        <v>1</v>
      </c>
      <c r="AC32" s="1816">
        <f t="shared" si="5"/>
        <v>1</v>
      </c>
    </row>
    <row r="33" spans="1:29" s="472" customFormat="1" ht="15.75" thickBot="1">
      <c r="A33" s="677"/>
      <c r="B33" s="2721">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163"/>
      <c r="Q33" s="1815">
        <f t="shared" si="8"/>
        <v>111</v>
      </c>
      <c r="R33" s="778" t="s">
        <v>17</v>
      </c>
      <c r="S33" s="779">
        <f t="shared" si="10"/>
        <v>100</v>
      </c>
      <c r="T33" s="778" t="s">
        <v>17</v>
      </c>
      <c r="U33" s="779">
        <f t="shared" si="11"/>
        <v>100</v>
      </c>
      <c r="V33" s="778" t="s">
        <v>17</v>
      </c>
      <c r="W33" s="779">
        <f t="shared" si="12"/>
        <v>100</v>
      </c>
      <c r="X33" s="780"/>
      <c r="Y33" s="3163"/>
      <c r="Z33" s="781">
        <f t="shared" si="13"/>
        <v>111</v>
      </c>
      <c r="AA33" s="1816">
        <f t="shared" si="3"/>
        <v>1</v>
      </c>
      <c r="AB33" s="1816">
        <f t="shared" si="4"/>
        <v>1</v>
      </c>
      <c r="AC33" s="1816">
        <f t="shared" si="5"/>
        <v>1</v>
      </c>
    </row>
    <row r="34" spans="1:29" ht="15">
      <c r="A34" s="441" t="s">
        <v>2561</v>
      </c>
      <c r="B34" s="457" t="s">
        <v>2749</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163"/>
      <c r="Q34" s="1815" t="str">
        <f>B34</f>
        <v>宗地面积</v>
      </c>
      <c r="R34" s="775" t="s">
        <v>17</v>
      </c>
      <c r="S34" s="776" t="e">
        <f t="shared" si="10"/>
        <v>#N/A</v>
      </c>
      <c r="T34" s="775" t="s">
        <v>17</v>
      </c>
      <c r="U34" s="776" t="e">
        <f t="shared" si="11"/>
        <v>#N/A</v>
      </c>
      <c r="V34" s="775" t="s">
        <v>17</v>
      </c>
      <c r="W34" s="776" t="e">
        <f t="shared" si="12"/>
        <v>#N/A</v>
      </c>
      <c r="X34" s="1818"/>
      <c r="Y34" s="3163"/>
      <c r="Z34" s="1819" t="str">
        <f t="shared" si="13"/>
        <v>宗地面积</v>
      </c>
      <c r="AA34" s="1816" t="e">
        <f t="shared" si="3"/>
        <v>#N/A</v>
      </c>
      <c r="AB34" s="1816" t="e">
        <f t="shared" si="4"/>
        <v>#N/A</v>
      </c>
      <c r="AC34" s="1816" t="e">
        <f t="shared" si="5"/>
        <v>#N/A</v>
      </c>
    </row>
    <row r="35" spans="1:29" ht="15">
      <c r="A35" s="473"/>
      <c r="B35" s="423" t="s">
        <v>2750</v>
      </c>
      <c r="C35" s="2619"/>
      <c r="D35" s="436">
        <v>100</v>
      </c>
      <c r="E35" s="2619"/>
      <c r="F35" s="436">
        <f>SUMIF(110:110,E35,111:111)-SUMIF(110:110,C35,111:111)+100</f>
        <v>100</v>
      </c>
      <c r="G35" s="2619"/>
      <c r="H35" s="436">
        <f>SUMIF(110:110,G35,111:111)-SUMIF(110:110,C35,111:111)+100</f>
        <v>100</v>
      </c>
      <c r="I35" s="2619"/>
      <c r="J35" s="436">
        <f>SUMIF(110:110,I35,111:111)-SUMIF(110:110,C35,111:111)+100</f>
        <v>100</v>
      </c>
      <c r="K35" s="613"/>
      <c r="L35" s="1144"/>
      <c r="M35" s="1135"/>
      <c r="N35" s="1135"/>
      <c r="O35" s="1143"/>
      <c r="P35" s="3163"/>
      <c r="Q35" s="1815" t="str">
        <f t="shared" ref="Q35:Q40" si="14">B35</f>
        <v>宗地形状</v>
      </c>
      <c r="R35" s="775" t="s">
        <v>17</v>
      </c>
      <c r="S35" s="776">
        <f t="shared" si="10"/>
        <v>100</v>
      </c>
      <c r="T35" s="775" t="s">
        <v>17</v>
      </c>
      <c r="U35" s="776">
        <f t="shared" si="11"/>
        <v>100</v>
      </c>
      <c r="V35" s="775" t="s">
        <v>17</v>
      </c>
      <c r="W35" s="776">
        <f t="shared" si="12"/>
        <v>100</v>
      </c>
      <c r="X35" s="1818"/>
      <c r="Y35" s="3163"/>
      <c r="Z35" s="1819" t="str">
        <f t="shared" si="13"/>
        <v>宗地形状</v>
      </c>
      <c r="AA35" s="1816">
        <f t="shared" si="3"/>
        <v>1</v>
      </c>
      <c r="AB35" s="1816">
        <f t="shared" si="4"/>
        <v>1</v>
      </c>
      <c r="AC35" s="1816">
        <f t="shared" si="5"/>
        <v>1</v>
      </c>
    </row>
    <row r="36" spans="1:29" s="117" customFormat="1" ht="15">
      <c r="A36" s="474"/>
      <c r="B36" s="423" t="s">
        <v>2752</v>
      </c>
      <c r="C36" s="2708"/>
      <c r="D36" s="136">
        <v>100</v>
      </c>
      <c r="E36" s="2708"/>
      <c r="F36" s="436">
        <f>SUMIF(112:112,E36,113:113)-SUMIF(112:112,C36,113:113)+100</f>
        <v>100</v>
      </c>
      <c r="G36" s="2708"/>
      <c r="H36" s="436">
        <f>SUMIF(112:112,G36,113:113)-SUMIF(112:112,C36,113:113)+100</f>
        <v>100</v>
      </c>
      <c r="I36" s="2708"/>
      <c r="J36" s="436">
        <f>SUMIF(112:112,I36,113:113)-SUMIF(112:112,C36,113:113)+100</f>
        <v>100</v>
      </c>
      <c r="K36" s="613"/>
      <c r="L36" s="1136"/>
      <c r="M36" s="1137"/>
      <c r="N36" s="1137"/>
      <c r="O36" s="1138"/>
      <c r="P36" s="3163"/>
      <c r="Q36" s="1815" t="str">
        <f t="shared" si="14"/>
        <v>宗地开发程度</v>
      </c>
      <c r="R36" s="771" t="s">
        <v>17</v>
      </c>
      <c r="S36" s="772">
        <f t="shared" si="10"/>
        <v>100</v>
      </c>
      <c r="T36" s="771" t="s">
        <v>17</v>
      </c>
      <c r="U36" s="772">
        <f t="shared" si="11"/>
        <v>100</v>
      </c>
      <c r="V36" s="771" t="s">
        <v>17</v>
      </c>
      <c r="W36" s="772">
        <f t="shared" si="12"/>
        <v>100</v>
      </c>
      <c r="X36" s="773"/>
      <c r="Y36" s="3163"/>
      <c r="Z36" s="55" t="str">
        <f t="shared" si="13"/>
        <v>宗地开发程度</v>
      </c>
      <c r="AA36" s="774">
        <f t="shared" si="3"/>
        <v>1</v>
      </c>
      <c r="AB36" s="774">
        <f t="shared" si="4"/>
        <v>1</v>
      </c>
      <c r="AC36" s="774">
        <f t="shared" si="5"/>
        <v>1</v>
      </c>
    </row>
    <row r="37" spans="1:29" ht="15">
      <c r="A37" s="473"/>
      <c r="B37" s="423" t="s">
        <v>2753</v>
      </c>
      <c r="C37" s="2619"/>
      <c r="D37" s="436">
        <v>100</v>
      </c>
      <c r="E37" s="2619"/>
      <c r="F37" s="436">
        <f>SUMIF(114:114,E37,115:115)-SUMIF(114:114,C37,115:115)+100</f>
        <v>100</v>
      </c>
      <c r="G37" s="2619"/>
      <c r="H37" s="436">
        <f>SUMIF(114:114,G37,115:115)-SUMIF(114:114,C37,115:115)+100</f>
        <v>100</v>
      </c>
      <c r="I37" s="2619"/>
      <c r="J37" s="436">
        <f>SUMIF(114:114,I37,115:115)-SUMIF(114:114,C37,115:115)+100</f>
        <v>100</v>
      </c>
      <c r="K37" s="613"/>
      <c r="L37" s="1144"/>
      <c r="M37" s="1135"/>
      <c r="N37" s="1135"/>
      <c r="O37" s="1143"/>
      <c r="P37" s="3163" t="s">
        <v>2563</v>
      </c>
      <c r="Q37" s="1815" t="str">
        <f t="shared" si="14"/>
        <v>工程地质条件</v>
      </c>
      <c r="R37" s="775" t="s">
        <v>17</v>
      </c>
      <c r="S37" s="776">
        <f t="shared" si="10"/>
        <v>100</v>
      </c>
      <c r="T37" s="775" t="s">
        <v>17</v>
      </c>
      <c r="U37" s="776">
        <f t="shared" si="11"/>
        <v>100</v>
      </c>
      <c r="V37" s="775" t="s">
        <v>17</v>
      </c>
      <c r="W37" s="776">
        <f t="shared" si="12"/>
        <v>100</v>
      </c>
      <c r="X37" s="1818"/>
      <c r="Y37" s="3163" t="s">
        <v>2563</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163"/>
      <c r="Q38" s="1815">
        <f t="shared" si="14"/>
        <v>111</v>
      </c>
      <c r="R38" s="775" t="s">
        <v>17</v>
      </c>
      <c r="S38" s="776">
        <f t="shared" si="10"/>
        <v>100</v>
      </c>
      <c r="T38" s="775" t="s">
        <v>17</v>
      </c>
      <c r="U38" s="776">
        <f t="shared" si="11"/>
        <v>100</v>
      </c>
      <c r="V38" s="775" t="s">
        <v>17</v>
      </c>
      <c r="W38" s="776">
        <f t="shared" si="12"/>
        <v>100</v>
      </c>
      <c r="X38" s="1818"/>
      <c r="Y38" s="3163"/>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163"/>
      <c r="Q39" s="1815">
        <f t="shared" si="14"/>
        <v>111</v>
      </c>
      <c r="R39" s="775" t="s">
        <v>17</v>
      </c>
      <c r="S39" s="776">
        <f t="shared" si="10"/>
        <v>100</v>
      </c>
      <c r="T39" s="775" t="s">
        <v>17</v>
      </c>
      <c r="U39" s="776">
        <f t="shared" si="11"/>
        <v>100</v>
      </c>
      <c r="V39" s="775" t="s">
        <v>17</v>
      </c>
      <c r="W39" s="776">
        <f t="shared" si="12"/>
        <v>100</v>
      </c>
      <c r="X39" s="1818"/>
      <c r="Y39" s="3163"/>
      <c r="Z39" s="1819">
        <f t="shared" si="13"/>
        <v>111</v>
      </c>
      <c r="AA39" s="1816">
        <f t="shared" si="3"/>
        <v>1</v>
      </c>
      <c r="AB39" s="1816">
        <f t="shared" si="4"/>
        <v>1</v>
      </c>
      <c r="AC39" s="1816">
        <f t="shared" si="5"/>
        <v>1</v>
      </c>
    </row>
    <row r="40" spans="1:29" s="472" customFormat="1" ht="15.75" thickBot="1">
      <c r="A40" s="469"/>
      <c r="B40" s="1391">
        <v>111</v>
      </c>
      <c r="C40" s="2709"/>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163"/>
      <c r="Q40" s="1815">
        <f t="shared" si="14"/>
        <v>111</v>
      </c>
      <c r="R40" s="778" t="s">
        <v>17</v>
      </c>
      <c r="S40" s="779">
        <f t="shared" si="10"/>
        <v>100</v>
      </c>
      <c r="T40" s="778" t="s">
        <v>17</v>
      </c>
      <c r="U40" s="779">
        <f t="shared" si="11"/>
        <v>100</v>
      </c>
      <c r="V40" s="778" t="s">
        <v>17</v>
      </c>
      <c r="W40" s="779">
        <f t="shared" si="12"/>
        <v>100</v>
      </c>
      <c r="X40" s="780"/>
      <c r="Y40" s="3163"/>
      <c r="Z40" s="781">
        <f t="shared" si="13"/>
        <v>111</v>
      </c>
      <c r="AA40" s="1816">
        <f t="shared" si="3"/>
        <v>1</v>
      </c>
      <c r="AB40" s="1816">
        <f t="shared" si="4"/>
        <v>1</v>
      </c>
      <c r="AC40" s="1816">
        <f t="shared" si="5"/>
        <v>1</v>
      </c>
    </row>
    <row r="41" spans="1:29" ht="15">
      <c r="A41" s="480" t="s">
        <v>2718</v>
      </c>
      <c r="B41" s="2710" t="s">
        <v>2798</v>
      </c>
      <c r="C41" s="683" t="s">
        <v>1</v>
      </c>
      <c r="D41" s="482"/>
      <c r="E41" s="483"/>
      <c r="F41" s="484"/>
      <c r="G41" s="485"/>
      <c r="H41" s="486"/>
      <c r="I41" s="483"/>
      <c r="J41" s="486"/>
      <c r="K41" s="784"/>
      <c r="L41" s="1147"/>
      <c r="M41" s="1135"/>
      <c r="N41" s="1135"/>
      <c r="O41" s="1148"/>
      <c r="P41" s="3151" t="str">
        <f>A41</f>
        <v>成交单价</v>
      </c>
      <c r="Q41" s="3151"/>
      <c r="R41" s="3185">
        <f>E41</f>
        <v>0</v>
      </c>
      <c r="S41" s="3185"/>
      <c r="T41" s="3185">
        <f>G41</f>
        <v>0</v>
      </c>
      <c r="U41" s="3185"/>
      <c r="V41" s="3185">
        <f>I41</f>
        <v>0</v>
      </c>
      <c r="W41" s="3185"/>
      <c r="X41" s="760"/>
      <c r="Y41" s="782"/>
      <c r="Z41" s="760"/>
      <c r="AA41" s="760"/>
      <c r="AB41" s="760"/>
      <c r="AC41" s="760"/>
    </row>
    <row r="42" spans="1:29" ht="15.75" thickBot="1">
      <c r="A42" s="487" t="s">
        <v>2667</v>
      </c>
      <c r="B42" s="684"/>
      <c r="C42" s="491" t="e">
        <f>R43</f>
        <v>#DIV/0!</v>
      </c>
      <c r="D42" s="490"/>
      <c r="E42" s="491" t="e">
        <f>R42</f>
        <v>#DIV/0!</v>
      </c>
      <c r="F42" s="492"/>
      <c r="G42" s="489" t="e">
        <f>T42</f>
        <v>#DIV/0!</v>
      </c>
      <c r="H42" s="490"/>
      <c r="I42" s="491" t="e">
        <f>V42</f>
        <v>#DIV/0!</v>
      </c>
      <c r="J42" s="490"/>
      <c r="K42" s="785"/>
      <c r="L42" s="1147"/>
      <c r="M42" s="1135"/>
      <c r="N42" s="1135"/>
      <c r="O42" s="1148"/>
      <c r="P42" s="3151" t="str">
        <f>A42</f>
        <v>比较价值（元/平方米）</v>
      </c>
      <c r="Q42" s="3151"/>
      <c r="R42" s="3241" t="e">
        <f>ROUND(PRODUCT(R41,AA7:AA40),0)</f>
        <v>#DIV/0!</v>
      </c>
      <c r="S42" s="3241"/>
      <c r="T42" s="3241" t="e">
        <f>ROUND(PRODUCT(T41,AB7:AB40),0)</f>
        <v>#DIV/0!</v>
      </c>
      <c r="U42" s="3241"/>
      <c r="V42" s="3241" t="e">
        <f>ROUND(PRODUCT(V41,AC7:AC40),0)</f>
        <v>#DIV/0!</v>
      </c>
      <c r="W42" s="3241"/>
      <c r="X42" s="760"/>
      <c r="Y42" s="760"/>
      <c r="Z42" s="760"/>
      <c r="AA42" s="760"/>
      <c r="AB42" s="760"/>
      <c r="AC42" s="760"/>
    </row>
    <row r="43" spans="1:29" ht="15.75" thickBot="1">
      <c r="A43" s="493" t="s">
        <v>2668</v>
      </c>
      <c r="B43" s="494"/>
      <c r="C43" s="495" t="e">
        <f>R43</f>
        <v>#DIV/0!</v>
      </c>
      <c r="D43" s="495"/>
      <c r="E43" s="495"/>
      <c r="F43" s="495"/>
      <c r="G43" s="495"/>
      <c r="H43" s="495"/>
      <c r="I43" s="495"/>
      <c r="J43" s="495"/>
      <c r="K43" s="786"/>
      <c r="L43" s="1147"/>
      <c r="M43" s="1135"/>
      <c r="N43" s="1135"/>
      <c r="O43" s="1148"/>
      <c r="P43" s="3229" t="str">
        <f>A43</f>
        <v>估价对象XX用房的比较价值（楼面单价，元/平方米）</v>
      </c>
      <c r="Q43" s="3230"/>
      <c r="R43" s="3242" t="e">
        <f>ROUND(AVERAGE(R42:V42),0)</f>
        <v>#DIV/0!</v>
      </c>
      <c r="S43" s="3242"/>
      <c r="T43" s="3242"/>
      <c r="U43" s="3242"/>
      <c r="V43" s="3242"/>
      <c r="W43" s="3242"/>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2756</v>
      </c>
      <c r="B50" s="686" t="s">
        <v>2757</v>
      </c>
      <c r="C50" s="2711" t="s">
        <v>2758</v>
      </c>
      <c r="D50" s="2712" t="s">
        <v>2759</v>
      </c>
      <c r="E50" s="687" t="s">
        <v>2760</v>
      </c>
      <c r="F50" s="688" t="s">
        <v>2761</v>
      </c>
      <c r="G50" s="3168" t="s">
        <v>2762</v>
      </c>
      <c r="H50" s="3243"/>
      <c r="I50" s="1819" t="s">
        <v>2799</v>
      </c>
      <c r="J50" s="1819">
        <f>项目基本情况!F35</f>
        <v>0</v>
      </c>
      <c r="K50" s="2714" t="s">
        <v>2764</v>
      </c>
      <c r="L50" s="1110"/>
      <c r="M50" s="1148"/>
      <c r="N50" s="1148"/>
      <c r="O50" s="1148"/>
    </row>
    <row r="51" spans="1:17" s="693" customFormat="1">
      <c r="A51" s="689" t="s">
        <v>2765</v>
      </c>
      <c r="B51" s="690" t="e">
        <f>C43</f>
        <v>#DIV/0!</v>
      </c>
      <c r="C51" s="691">
        <v>1</v>
      </c>
      <c r="D51" s="1167">
        <v>1</v>
      </c>
      <c r="E51" s="691">
        <f>'数据-汇总表'!E8+'数据-汇总表'!E9</f>
        <v>898.32</v>
      </c>
      <c r="F51" s="692" t="e">
        <f t="shared" ref="F51:F60" si="15">ROUND(B51*E51/10000,0)</f>
        <v>#DIV/0!</v>
      </c>
      <c r="G51" s="3150"/>
      <c r="H51" s="3151"/>
      <c r="I51" s="946">
        <v>1</v>
      </c>
      <c r="J51" s="946">
        <v>1</v>
      </c>
      <c r="K51" s="1149"/>
      <c r="L51" s="945"/>
      <c r="M51" s="945"/>
      <c r="N51" s="945"/>
      <c r="O51" s="945"/>
    </row>
    <row r="52" spans="1:17" s="693" customFormat="1">
      <c r="A52" s="694" t="s">
        <v>2766</v>
      </c>
      <c r="B52" s="263" t="e">
        <f>ROUND($C$43*C52*D52,0)</f>
        <v>#DIV/0!</v>
      </c>
      <c r="C52" s="201">
        <f t="shared" ref="C52:C60" si="16">IF($C$50="北京市系数",I52,J52)</f>
        <v>0</v>
      </c>
      <c r="D52" s="1168">
        <v>0.25</v>
      </c>
      <c r="E52" s="695"/>
      <c r="F52" s="692" t="e">
        <f t="shared" si="15"/>
        <v>#DIV/0!</v>
      </c>
      <c r="G52" s="3244" t="s">
        <v>2767</v>
      </c>
      <c r="H52" s="1108">
        <f>项目基本情况!B37</f>
        <v>0</v>
      </c>
      <c r="I52" s="946">
        <f>SUMIF(修正!A45:A56,H52,修正!B45:B56)</f>
        <v>0</v>
      </c>
      <c r="J52" s="947"/>
      <c r="K52" s="1148"/>
      <c r="L52" s="945"/>
      <c r="M52" s="945"/>
      <c r="N52" s="945"/>
      <c r="O52" s="945"/>
    </row>
    <row r="53" spans="1:17" s="693" customFormat="1">
      <c r="A53" s="694" t="s">
        <v>2768</v>
      </c>
      <c r="B53" s="263" t="e">
        <f t="shared" ref="B53:B60" si="17">ROUND($C$43*C53*D53,0)</f>
        <v>#DIV/0!</v>
      </c>
      <c r="C53" s="201">
        <f t="shared" si="16"/>
        <v>0</v>
      </c>
      <c r="D53" s="1168">
        <v>0.25</v>
      </c>
      <c r="E53" s="695"/>
      <c r="F53" s="692" t="e">
        <f t="shared" si="15"/>
        <v>#DIV/0!</v>
      </c>
      <c r="G53" s="3244"/>
      <c r="H53" s="1108">
        <f>项目基本情况!B37</f>
        <v>0</v>
      </c>
      <c r="I53" s="946">
        <f>SUMIF(修正!A45:A56,H53,修正!C45:C56)</f>
        <v>0</v>
      </c>
      <c r="J53" s="947"/>
      <c r="K53" s="1149"/>
      <c r="L53" s="945"/>
      <c r="M53" s="945"/>
      <c r="N53" s="945"/>
      <c r="O53" s="945"/>
    </row>
    <row r="54" spans="1:17" s="693" customFormat="1">
      <c r="A54" s="694" t="s">
        <v>2769</v>
      </c>
      <c r="B54" s="263" t="e">
        <f t="shared" si="17"/>
        <v>#DIV/0!</v>
      </c>
      <c r="C54" s="201">
        <f t="shared" si="16"/>
        <v>0</v>
      </c>
      <c r="D54" s="1168">
        <v>0.25</v>
      </c>
      <c r="E54" s="695"/>
      <c r="F54" s="692" t="e">
        <f t="shared" si="15"/>
        <v>#DIV/0!</v>
      </c>
      <c r="G54" s="3244"/>
      <c r="H54" s="1108">
        <f>项目基本情况!B37</f>
        <v>0</v>
      </c>
      <c r="I54" s="946">
        <f>SUMIF(修正!A45:A56,H54,修正!D45:D56)</f>
        <v>0</v>
      </c>
      <c r="J54" s="947"/>
      <c r="K54" s="1148"/>
      <c r="L54" s="945"/>
      <c r="M54" s="945"/>
      <c r="N54" s="945"/>
      <c r="O54" s="945"/>
    </row>
    <row r="55" spans="1:17" s="693" customFormat="1">
      <c r="A55" s="694" t="s">
        <v>2770</v>
      </c>
      <c r="B55" s="263" t="e">
        <f t="shared" si="17"/>
        <v>#DIV/0!</v>
      </c>
      <c r="C55" s="201">
        <f t="shared" si="16"/>
        <v>0</v>
      </c>
      <c r="D55" s="1168">
        <v>0.25</v>
      </c>
      <c r="E55" s="695"/>
      <c r="F55" s="692" t="e">
        <f t="shared" si="15"/>
        <v>#DIV/0!</v>
      </c>
      <c r="G55" s="3244"/>
      <c r="H55" s="1108">
        <f>项目基本情况!B37</f>
        <v>0</v>
      </c>
      <c r="I55" s="946">
        <f>SUMIF(修正!A45:A56,H55,修正!E45:E56)</f>
        <v>0</v>
      </c>
      <c r="J55" s="947"/>
      <c r="K55" s="1149"/>
      <c r="L55" s="945"/>
      <c r="M55" s="945"/>
      <c r="N55" s="945"/>
      <c r="O55" s="945"/>
    </row>
    <row r="56" spans="1:17" s="693" customFormat="1">
      <c r="A56" s="694" t="s">
        <v>2771</v>
      </c>
      <c r="B56" s="263" t="e">
        <f t="shared" si="17"/>
        <v>#DIV/0!</v>
      </c>
      <c r="C56" s="201">
        <f t="shared" si="16"/>
        <v>0</v>
      </c>
      <c r="D56" s="1168">
        <v>0.25</v>
      </c>
      <c r="E56" s="262">
        <f>'数据-汇总表'!E11</f>
        <v>0</v>
      </c>
      <c r="F56" s="692" t="e">
        <f t="shared" si="15"/>
        <v>#DIV/0!</v>
      </c>
      <c r="G56" s="2715" t="s">
        <v>2772</v>
      </c>
      <c r="H56" s="1108">
        <f>项目基本情况!C37</f>
        <v>0</v>
      </c>
      <c r="I56" s="946">
        <f>SUMIF(修正!A45:A56,H56,修正!F45:F56)</f>
        <v>0</v>
      </c>
      <c r="J56" s="947"/>
      <c r="K56" s="1148"/>
      <c r="L56" s="945"/>
      <c r="M56" s="945"/>
      <c r="N56" s="945"/>
      <c r="O56" s="945"/>
    </row>
    <row r="57" spans="1:17" s="693" customFormat="1">
      <c r="A57" s="694" t="s">
        <v>2773</v>
      </c>
      <c r="B57" s="263" t="e">
        <f t="shared" si="17"/>
        <v>#DIV/0!</v>
      </c>
      <c r="C57" s="201">
        <f t="shared" si="16"/>
        <v>0</v>
      </c>
      <c r="D57" s="1168">
        <v>0.25</v>
      </c>
      <c r="E57" s="262">
        <f>'数据-汇总表'!E12</f>
        <v>0</v>
      </c>
      <c r="F57" s="692" t="e">
        <f t="shared" si="15"/>
        <v>#DIV/0!</v>
      </c>
      <c r="G57" s="1113" t="s">
        <v>2774</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2775</v>
      </c>
      <c r="B58" s="263" t="e">
        <f t="shared" si="17"/>
        <v>#DIV/0!</v>
      </c>
      <c r="C58" s="201">
        <f t="shared" si="16"/>
        <v>0</v>
      </c>
      <c r="D58" s="1168">
        <v>0.25</v>
      </c>
      <c r="E58" s="262">
        <f>'数据-汇总表'!E13</f>
        <v>0</v>
      </c>
      <c r="F58" s="692" t="e">
        <f t="shared" si="15"/>
        <v>#DIV/0!</v>
      </c>
      <c r="G58" s="1113" t="s">
        <v>2776</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2777</v>
      </c>
      <c r="B59" s="263" t="e">
        <f t="shared" si="17"/>
        <v>#DIV/0!</v>
      </c>
      <c r="C59" s="201">
        <f t="shared" si="16"/>
        <v>0</v>
      </c>
      <c r="D59" s="1168">
        <v>0.25</v>
      </c>
      <c r="E59" s="262">
        <f>'数据-汇总表'!E14</f>
        <v>0</v>
      </c>
      <c r="F59" s="692" t="e">
        <f t="shared" si="15"/>
        <v>#DIV/0!</v>
      </c>
      <c r="G59" s="2715" t="s">
        <v>2767</v>
      </c>
      <c r="H59" s="1108">
        <f>项目基本情况!B37</f>
        <v>0</v>
      </c>
      <c r="I59" s="946">
        <f>SUMIF(修正!A45:A56,H59,修正!H45:H56)</f>
        <v>0</v>
      </c>
      <c r="J59" s="947"/>
      <c r="K59" s="1149"/>
      <c r="L59" s="945"/>
      <c r="M59" s="945"/>
      <c r="N59" s="945"/>
      <c r="O59" s="945"/>
    </row>
    <row r="60" spans="1:17" s="693" customFormat="1" ht="15" thickBot="1">
      <c r="A60" s="694" t="s">
        <v>2778</v>
      </c>
      <c r="B60" s="263" t="e">
        <f t="shared" si="17"/>
        <v>#DIV/0!</v>
      </c>
      <c r="C60" s="201">
        <f t="shared" si="16"/>
        <v>0</v>
      </c>
      <c r="D60" s="1168">
        <v>0.25</v>
      </c>
      <c r="E60" s="262">
        <f>'数据-汇总表'!E15</f>
        <v>0</v>
      </c>
      <c r="F60" s="692" t="e">
        <f t="shared" si="15"/>
        <v>#DIV/0!</v>
      </c>
      <c r="G60" s="2716" t="s">
        <v>2772</v>
      </c>
      <c r="H60" s="1118">
        <f>项目基本情况!C37</f>
        <v>0</v>
      </c>
      <c r="I60" s="946">
        <f>SUMIF(修正!A45:A56,H60,修正!H45:H56)</f>
        <v>0</v>
      </c>
      <c r="J60" s="947"/>
      <c r="K60" s="1148"/>
      <c r="L60" s="945"/>
      <c r="M60" s="945"/>
      <c r="N60" s="945"/>
      <c r="O60" s="945"/>
    </row>
    <row r="61" spans="1:17" s="693" customFormat="1" ht="15" thickBot="1">
      <c r="A61" s="696" t="s">
        <v>2779</v>
      </c>
      <c r="B61" s="697" t="s">
        <v>28</v>
      </c>
      <c r="C61" s="697" t="s">
        <v>29</v>
      </c>
      <c r="D61" s="697" t="s">
        <v>1029</v>
      </c>
      <c r="E61" s="697">
        <f>IF(B41="楼面地价",SUM(E51:E60),'数据-汇总表'!D3)</f>
        <v>0</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2672</v>
      </c>
      <c r="B64" s="760"/>
      <c r="C64" s="765"/>
      <c r="D64" s="765"/>
      <c r="E64" s="765"/>
      <c r="F64" s="766"/>
      <c r="G64" s="766"/>
      <c r="H64" s="765"/>
      <c r="I64" s="765"/>
      <c r="J64" s="765"/>
      <c r="K64" s="767"/>
      <c r="L64" s="768"/>
      <c r="M64" s="765"/>
      <c r="N64" s="765"/>
      <c r="O64" s="1163"/>
      <c r="P64" s="504"/>
      <c r="Q64" s="505"/>
    </row>
    <row r="65" spans="1:17" s="509" customFormat="1" ht="15">
      <c r="A65" s="2717" t="s">
        <v>2780</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2" t="s">
        <v>2800</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2583</v>
      </c>
      <c r="B67" s="517"/>
      <c r="C67" s="518"/>
      <c r="D67" s="519"/>
      <c r="E67" s="519"/>
      <c r="F67" s="519"/>
      <c r="G67" s="519"/>
      <c r="H67" s="519"/>
      <c r="I67" s="519"/>
      <c r="J67" s="519"/>
      <c r="K67" s="519"/>
      <c r="L67" s="519"/>
      <c r="M67" s="520"/>
      <c r="N67" s="520"/>
      <c r="O67" s="521"/>
      <c r="P67" s="505"/>
      <c r="Q67" s="505"/>
    </row>
    <row r="68" spans="1:17" s="117" customFormat="1" ht="15">
      <c r="A68" s="522" t="s">
        <v>2548</v>
      </c>
      <c r="B68" s="511"/>
      <c r="C68" s="523" t="s">
        <v>2650</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2586</v>
      </c>
      <c r="B70" s="529" t="s">
        <v>2552</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2555</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2556</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2557</v>
      </c>
      <c r="B83" s="529" t="s">
        <v>2703</v>
      </c>
      <c r="C83" s="574" t="s">
        <v>2595</v>
      </c>
      <c r="D83" s="574" t="s">
        <v>2596</v>
      </c>
      <c r="E83" s="574" t="s">
        <v>2597</v>
      </c>
      <c r="F83" s="574" t="s">
        <v>2598</v>
      </c>
      <c r="G83" s="574" t="s">
        <v>2599</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2600</v>
      </c>
      <c r="C85" s="579" t="s">
        <v>2595</v>
      </c>
      <c r="D85" s="579" t="s">
        <v>2596</v>
      </c>
      <c r="E85" s="579" t="s">
        <v>2597</v>
      </c>
      <c r="F85" s="579" t="s">
        <v>2598</v>
      </c>
      <c r="G85" s="579" t="s">
        <v>2599</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2783</v>
      </c>
      <c r="C87" s="574" t="s">
        <v>2595</v>
      </c>
      <c r="D87" s="574" t="s">
        <v>2596</v>
      </c>
      <c r="E87" s="574" t="s">
        <v>2597</v>
      </c>
      <c r="F87" s="574" t="s">
        <v>2598</v>
      </c>
      <c r="G87" s="574" t="s">
        <v>2599</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2784</v>
      </c>
      <c r="C89" s="574" t="s">
        <v>2595</v>
      </c>
      <c r="D89" s="574" t="s">
        <v>2596</v>
      </c>
      <c r="E89" s="574" t="s">
        <v>2597</v>
      </c>
      <c r="F89" s="574" t="s">
        <v>2598</v>
      </c>
      <c r="G89" s="574" t="s">
        <v>2599</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2652</v>
      </c>
      <c r="C91" s="574" t="s">
        <v>2595</v>
      </c>
      <c r="D91" s="574" t="s">
        <v>2596</v>
      </c>
      <c r="E91" s="574" t="s">
        <v>2597</v>
      </c>
      <c r="F91" s="574" t="s">
        <v>2598</v>
      </c>
      <c r="G91" s="574" t="s">
        <v>2599</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2801</v>
      </c>
      <c r="C93" s="661" t="s">
        <v>2673</v>
      </c>
      <c r="D93" s="661" t="s">
        <v>2674</v>
      </c>
      <c r="E93" s="661" t="s">
        <v>2675</v>
      </c>
      <c r="F93" s="661" t="s">
        <v>2676</v>
      </c>
      <c r="G93" s="661" t="s">
        <v>2677</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2785</v>
      </c>
      <c r="D95" s="540" t="s">
        <v>2786</v>
      </c>
      <c r="E95" s="540" t="s">
        <v>2787</v>
      </c>
      <c r="F95" s="540" t="s">
        <v>2788</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2689</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2748</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2561</v>
      </c>
      <c r="B107" s="529" t="s">
        <v>2789</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2790</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2792</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2793</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6" customWidth="1"/>
    <col min="33" max="36" width="9.375" style="2802" customWidth="1"/>
    <col min="37" max="38" width="9.375" style="2726" customWidth="1"/>
    <col min="39" max="16384" width="12" style="2726"/>
  </cols>
  <sheetData>
    <row r="1" spans="1:36" ht="28.5">
      <c r="A1" s="241" t="s">
        <v>2802</v>
      </c>
      <c r="B1" s="242"/>
      <c r="C1" s="246" t="s">
        <v>2803</v>
      </c>
      <c r="D1" s="389">
        <f>SUM(D29:D30,D33:D39)</f>
        <v>0</v>
      </c>
      <c r="E1" s="2723"/>
      <c r="F1" s="2723"/>
      <c r="G1" s="2723"/>
      <c r="H1" s="2723"/>
      <c r="I1" s="2723"/>
      <c r="J1" s="2723"/>
      <c r="K1" s="1374"/>
      <c r="L1" s="2724" t="s">
        <v>2804</v>
      </c>
      <c r="M1" s="1084">
        <f>SUMPRODUCT((区片价!B5:B9=I2)*(区片价!C3:F3=E2)*(区片价!C5:F9))</f>
        <v>0</v>
      </c>
      <c r="N1" s="1087">
        <f>SUMPRODUCT((因素修正幅度!B5:B9=I2)*(因素修正幅度!C3:F3=E2)*(因素修正幅度!C5:F9))</f>
        <v>0</v>
      </c>
      <c r="O1" s="2725"/>
      <c r="P1" s="2725"/>
      <c r="Q1" s="1374"/>
      <c r="R1" s="1607" t="s">
        <v>2805</v>
      </c>
      <c r="S1" s="1607" t="s">
        <v>2806</v>
      </c>
      <c r="T1" s="1607" t="s">
        <v>2807</v>
      </c>
      <c r="U1" s="1607" t="s">
        <v>2808</v>
      </c>
      <c r="V1" s="1607" t="s">
        <v>2809</v>
      </c>
      <c r="W1" s="1611"/>
      <c r="X1" s="1611"/>
      <c r="Y1" s="1611"/>
      <c r="Z1" s="1611"/>
      <c r="AA1" s="1611"/>
      <c r="AB1" s="1611"/>
      <c r="AC1" s="1612"/>
      <c r="AD1" s="1613"/>
      <c r="AE1" s="1613"/>
      <c r="AF1" s="1613"/>
      <c r="AG1" s="1613"/>
      <c r="AH1" s="1613"/>
      <c r="AI1" s="1613"/>
      <c r="AJ1" s="1614"/>
    </row>
    <row r="2" spans="1:36" ht="15.75">
      <c r="A2" s="246" t="s">
        <v>2810</v>
      </c>
      <c r="B2" s="249" t="e">
        <f>C26</f>
        <v>#DIV/0!</v>
      </c>
      <c r="C2" s="2727" t="s">
        <v>2811</v>
      </c>
      <c r="D2" s="2728" t="s">
        <v>2812</v>
      </c>
      <c r="E2" s="2729"/>
      <c r="F2" s="2728" t="s">
        <v>2813</v>
      </c>
      <c r="G2" s="2730">
        <f>IF(E2="商业",项目基本情况!B37,IF(E2="办公",项目基本情况!C37,IF(E2="住宅",项目基本情况!D37,项目基本情况!E37)))</f>
        <v>0</v>
      </c>
      <c r="H2" s="2728" t="s">
        <v>2814</v>
      </c>
      <c r="I2" s="2730">
        <f>IF(E2="商业",项目基本情况!B38,IF(E2="办公",项目基本情况!C38,IF(E2="住宅",项目基本情况!D38,项目基本情况!E38)))</f>
        <v>0</v>
      </c>
      <c r="J2" s="2731"/>
      <c r="K2" s="1374"/>
      <c r="L2" s="2732" t="s">
        <v>2815</v>
      </c>
      <c r="M2" s="1085">
        <f>SUMPRODUCT((区片价!B10:B28=I2)*(区片价!C3:F3=E2)*(区片价!C10:F28))</f>
        <v>0</v>
      </c>
      <c r="N2" s="1087">
        <f>SUMPRODUCT((因素修正幅度!B10:B28=I2)*(因素修正幅度!C3:F3=E2)*(因素修正幅度!C10:F28))</f>
        <v>0</v>
      </c>
      <c r="O2" s="1374"/>
      <c r="P2" s="1374"/>
      <c r="Q2" s="1374"/>
      <c r="R2" s="1607">
        <v>1</v>
      </c>
      <c r="S2" s="1607" t="e">
        <f>ROUND(IF(G3&gt;1,IF(R2&lt;7,SUMPRODUCT((B93:B98=R2)*(C92:N92=G2)*(C93:N98)),SUMIF(C92:N92,G2,C100:N100)),IF(R2&lt;7,SUMPRODUCT((B102:B107=R2)*(C92:N92=G2)*(C102:N107)),SUMIF(C92:N92,G2,C109:N109))),4)</f>
        <v>#DIV/0!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2816</v>
      </c>
      <c r="B3" s="249" t="e">
        <f>ROUND(B2*10000/D1,0)</f>
        <v>#DIV/0!</v>
      </c>
      <c r="C3" s="2727" t="s">
        <v>2817</v>
      </c>
      <c r="D3" s="2728" t="s">
        <v>2818</v>
      </c>
      <c r="E3" s="2733"/>
      <c r="F3" s="2734" t="s">
        <v>2819</v>
      </c>
      <c r="G3" s="917" t="e">
        <f>IF(F3="宗地容积率",'数据-汇总表'!I4,IF(F3="估价对象容积率",'数据-汇总表'!I6,'数据-汇总表'!I7))</f>
        <v>#DIV/0!</v>
      </c>
      <c r="H3" s="199" t="s">
        <v>2820</v>
      </c>
      <c r="I3" s="948"/>
      <c r="J3" s="2731" t="s">
        <v>2821</v>
      </c>
      <c r="K3" s="1374"/>
      <c r="L3" s="2732" t="s">
        <v>2822</v>
      </c>
      <c r="M3" s="1085">
        <f>SUMPRODUCT((区片价!B29:B48=I2)*(区片价!C3:F3=E2)*(区片价!C29:F48))</f>
        <v>0</v>
      </c>
      <c r="N3" s="1087">
        <f>SUMPRODUCT((因素修正幅度!B29:B48=I2)*(因素修正幅度!C3:F3=E2)*(因素修正幅度!C29:F48))</f>
        <v>0</v>
      </c>
      <c r="O3" s="1374"/>
      <c r="P3" s="1374"/>
      <c r="Q3" s="1374"/>
      <c r="R3" s="1607">
        <v>2</v>
      </c>
      <c r="S3" s="1607" t="e">
        <f>ROUND(IF(G3&gt;1,IF(R3&lt;7,SUMPRODUCT((B93:B98=R3)*(C92:N92=G2)*(C93:N98)),SUMIF(C92:N92,G2,C100:N100)),IF(R3&lt;7,SUMPRODUCT((B102:B107=R3)*(C92:N92=G2)*(C102:N107)),SUMIF(C92:N92,G2,C109:N109))),4)</f>
        <v>#DIV/0!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252"/>
      <c r="B4" s="3253"/>
      <c r="C4" s="3253"/>
      <c r="D4" s="3254"/>
      <c r="E4" s="3254"/>
      <c r="F4" s="3254"/>
      <c r="G4" s="3254"/>
      <c r="H4" s="3254"/>
      <c r="I4" s="3254"/>
      <c r="J4" s="3255"/>
      <c r="K4" s="1374"/>
      <c r="L4" s="2732" t="s">
        <v>2823</v>
      </c>
      <c r="M4" s="1085">
        <f>SUMPRODUCT((区片价!B49:B75=I2)*(区片价!C3:F3=E2)*(区片价!C49:F75))</f>
        <v>0</v>
      </c>
      <c r="N4" s="1087">
        <f>SUMPRODUCT((因素修正幅度!B49:B75=I2)*(因素修正幅度!C3:F3=E2)*(因素修正幅度!C49:F75))</f>
        <v>0</v>
      </c>
      <c r="O4" s="1374"/>
      <c r="P4" s="1374"/>
      <c r="Q4" s="1374"/>
      <c r="R4" s="1607">
        <v>3</v>
      </c>
      <c r="S4" s="1607" t="e">
        <f>ROUND(IF(G3&gt;1,IF(R4&lt;7,SUMPRODUCT((B93:B98=R4)*(C92:N92=G2)*(C93:N98)),SUMIF(C92:N92,G2,C100:N100)),IF(R4&lt;7,SUMPRODUCT((B102:B107=R4)*(C92:N92=G2)*(C102:N107)),SUMIF(C92:N92,G2,C109:N109))),4)</f>
        <v>#DIV/0!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44" customFormat="1" ht="15.75" thickBot="1">
      <c r="A5" s="2735" t="s">
        <v>807</v>
      </c>
      <c r="B5" s="2736" t="s">
        <v>2824</v>
      </c>
      <c r="C5" s="918" t="e">
        <f>ROUND(IF(E2="商业",IF(F16="增加",C6*C7+C16,C6*C7-C16),IF(E2="住宅",IF(F16="增加",C6*C12+C16,C6*C12-C16),IF(F16="增加",C6+C16,C6-C16))),0)</f>
        <v>#DIV/0!</v>
      </c>
      <c r="D5" s="1792">
        <f>ROUND(IF(E2="商业",IF(F16="增加",C6+C16,C6-C16)),0)</f>
        <v>0</v>
      </c>
      <c r="E5" s="2737"/>
      <c r="F5" s="2737"/>
      <c r="G5" s="2738"/>
      <c r="H5" s="2738"/>
      <c r="I5" s="2738"/>
      <c r="J5" s="2739"/>
      <c r="K5" s="2740"/>
      <c r="L5" s="2732" t="s">
        <v>2825</v>
      </c>
      <c r="M5" s="1085">
        <f>SUMPRODUCT((区片价!B76:B109=I2)*(区片价!C3:F3=E2)*(区片价!C76:F109))</f>
        <v>0</v>
      </c>
      <c r="N5" s="1087">
        <f>SUMPRODUCT((因素修正幅度!B76:B109=I2)*(因素修正幅度!C3:F3=E2)*(因素修正幅度!C76:F109))</f>
        <v>0</v>
      </c>
      <c r="O5" s="1374"/>
      <c r="P5" s="1374"/>
      <c r="Q5" s="1374"/>
      <c r="R5" s="1607">
        <v>4</v>
      </c>
      <c r="S5" s="1607" t="e">
        <f>ROUND(IF(G3&gt;1,IF(R5&lt;7,SUMPRODUCT((B93:B98=R5)*(C92:N92=G2)*(C93:N98)),SUMIF(C92:N92,G2,C100:N100)),IF(R5&lt;7,SUMPRODUCT((B102:B107=R5)*(C92:N92=G2)*(C102:N107)),SUMIF(C92:N92,G2,C109:N109))),4)</f>
        <v>#DIV/0!</v>
      </c>
      <c r="T5" s="1607" t="e">
        <f t="shared" si="0"/>
        <v>#DIV/0!</v>
      </c>
      <c r="U5" s="1608"/>
      <c r="V5" s="1607" t="e">
        <f t="shared" si="1"/>
        <v>#DIV/0!</v>
      </c>
      <c r="W5" s="1611"/>
      <c r="X5" s="1611"/>
      <c r="Y5" s="1611"/>
      <c r="Z5" s="1611"/>
      <c r="AA5" s="1611"/>
      <c r="AB5" s="1611"/>
      <c r="AC5" s="2741"/>
      <c r="AD5" s="2742"/>
      <c r="AE5" s="2742"/>
      <c r="AF5" s="2742"/>
      <c r="AG5" s="2742"/>
      <c r="AH5" s="2742"/>
      <c r="AI5" s="2742"/>
      <c r="AJ5" s="2743"/>
    </row>
    <row r="6" spans="1:36" ht="15.75" thickBot="1">
      <c r="A6" s="2745" t="s">
        <v>2826</v>
      </c>
      <c r="B6" s="2746" t="s">
        <v>2827</v>
      </c>
      <c r="C6" s="919">
        <f>SUMIF(L1:L12,G2,M1:M12)</f>
        <v>0</v>
      </c>
      <c r="D6" s="2747" t="s">
        <v>2828</v>
      </c>
      <c r="E6" s="2748"/>
      <c r="F6" s="2748"/>
      <c r="G6" s="2749"/>
      <c r="H6" s="2749"/>
      <c r="I6" s="2749"/>
      <c r="J6" s="2750"/>
      <c r="K6" s="1847"/>
      <c r="L6" s="2732" t="s">
        <v>2829</v>
      </c>
      <c r="M6" s="1085">
        <f>SUMPRODUCT((区片价!B110:B157=I2)*(区片价!C3:F3=E2)*(区片价!C110:F157))</f>
        <v>0</v>
      </c>
      <c r="N6" s="1087">
        <f>SUMPRODUCT((因素修正幅度!B110:B157=I2)*(因素修正幅度!C3:F3=E2)*(因素修正幅度!C110:F157))</f>
        <v>0</v>
      </c>
      <c r="O6" s="1374"/>
      <c r="P6" s="1374"/>
      <c r="Q6" s="1374"/>
      <c r="R6" s="1607">
        <v>5</v>
      </c>
      <c r="S6" s="1607" t="e">
        <f>ROUND(IF(G3&gt;1,IF(R6&lt;7,SUMPRODUCT((B93:B98=R6)*(C92:N92=G2)*(C93:N98)),SUMIF(C92:N92,G2,C100:N100)),IF(R6&lt;7,SUMPRODUCT((B102:B107=R6)*(C92:N92=G2)*(C102:N107)),SUMIF(C92:N92,G2,C109:N109))),4)</f>
        <v>#DIV/0!</v>
      </c>
      <c r="T6" s="1607" t="e">
        <f t="shared" si="0"/>
        <v>#DIV/0!</v>
      </c>
      <c r="U6" s="1608"/>
      <c r="V6" s="1607" t="e">
        <f t="shared" si="1"/>
        <v>#DIV/0!</v>
      </c>
      <c r="W6" s="1611"/>
      <c r="X6" s="1611"/>
      <c r="Y6" s="1611"/>
      <c r="Z6" s="1611"/>
      <c r="AA6" s="1611"/>
      <c r="AB6" s="1611"/>
      <c r="AC6" s="2741"/>
      <c r="AD6" s="2742"/>
      <c r="AE6" s="2742"/>
      <c r="AF6" s="2742"/>
      <c r="AG6" s="2742"/>
      <c r="AH6" s="2742"/>
      <c r="AI6" s="2742"/>
      <c r="AJ6" s="2743"/>
    </row>
    <row r="7" spans="1:36" ht="24">
      <c r="A7" s="3256" t="str">
        <f>IF(E2="商业",IF(C8="不临58条商业街","",2),"")</f>
        <v/>
      </c>
      <c r="B7" s="2751" t="s">
        <v>2830</v>
      </c>
      <c r="C7" s="920" t="e">
        <f>IF(C8="不临58条商业街",1,ROUND(1+(1.6*E8+1.2*E9+0.8*E10+0.4*E11)*C9,4))</f>
        <v>#DIV/0!</v>
      </c>
      <c r="D7" s="2752" t="s">
        <v>2831</v>
      </c>
      <c r="E7" s="949"/>
      <c r="F7" s="2753"/>
      <c r="G7" s="2754"/>
      <c r="H7" s="2754"/>
      <c r="I7" s="2754"/>
      <c r="J7" s="2755"/>
      <c r="K7" s="1847"/>
      <c r="L7" s="2732" t="s">
        <v>2832</v>
      </c>
      <c r="M7" s="1085">
        <f>SUMPRODUCT((区片价!B158:B205=I2)*(区片价!C3:F3=E2)*(区片价!C158:F205))</f>
        <v>0</v>
      </c>
      <c r="N7" s="1087">
        <f>SUMPRODUCT((因素修正幅度!B158:B205=I2)*(因素修正幅度!C3:F3=E2)*(因素修正幅度!C158:F205))</f>
        <v>0</v>
      </c>
      <c r="O7" s="1374"/>
      <c r="P7" s="1374"/>
      <c r="Q7" s="1374"/>
      <c r="R7" s="1607">
        <v>6</v>
      </c>
      <c r="S7" s="1607" t="e">
        <f>ROUND(IF(G3&gt;1,IF(R7&lt;7,SUMPRODUCT((B93:B98=R7)*(C92:N92=G2)*(C93:N98)),SUMIF(C92:N92,G2,C100:N100)),IF(R7&lt;7,SUMPRODUCT((B102:B107=R7)*(C92:N92=G2)*(C102:N107)),SUMIF(C92:N92,G2,C109:N109))),4)</f>
        <v>#DIV/0!</v>
      </c>
      <c r="T7" s="1607" t="e">
        <f t="shared" si="0"/>
        <v>#DIV/0!</v>
      </c>
      <c r="U7" s="1608"/>
      <c r="V7" s="1607" t="e">
        <f t="shared" si="1"/>
        <v>#DIV/0!</v>
      </c>
      <c r="W7" s="1821" t="s">
        <v>2833</v>
      </c>
      <c r="X7" s="1609">
        <f>G2</f>
        <v>0</v>
      </c>
      <c r="Y7" s="1609" t="s">
        <v>2834</v>
      </c>
      <c r="Z7" s="1610" t="e">
        <f>G3</f>
        <v>#DIV/0!</v>
      </c>
      <c r="AA7" s="1611"/>
      <c r="AB7" s="1611"/>
      <c r="AC7" s="1612"/>
      <c r="AD7" s="1613"/>
      <c r="AE7" s="1613"/>
      <c r="AF7" s="1613"/>
      <c r="AG7" s="1613"/>
      <c r="AH7" s="1613"/>
      <c r="AI7" s="1613"/>
      <c r="AJ7" s="1614"/>
    </row>
    <row r="8" spans="1:36" ht="15">
      <c r="A8" s="3257"/>
      <c r="B8" s="199" t="s">
        <v>2835</v>
      </c>
      <c r="C8" s="2756"/>
      <c r="D8" s="921" t="s">
        <v>139</v>
      </c>
      <c r="E8" s="922" t="e">
        <f>ROUND(C11/E7,4)</f>
        <v>#DIV/0!</v>
      </c>
      <c r="F8" s="2757" t="s">
        <v>2836</v>
      </c>
      <c r="G8" s="2758"/>
      <c r="H8" s="2758"/>
      <c r="I8" s="2758"/>
      <c r="J8" s="2759"/>
      <c r="K8" s="1374"/>
      <c r="L8" s="2732" t="s">
        <v>2837</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249" t="s">
        <v>2838</v>
      </c>
      <c r="X8" s="3250"/>
      <c r="Y8" s="1615" t="s">
        <v>2839</v>
      </c>
      <c r="Z8" s="1615" t="s">
        <v>2840</v>
      </c>
      <c r="AA8" s="1615" t="s">
        <v>2841</v>
      </c>
      <c r="AB8" s="1615" t="s">
        <v>2842</v>
      </c>
      <c r="AC8" s="1615" t="s">
        <v>2843</v>
      </c>
      <c r="AD8" s="1615" t="s">
        <v>2844</v>
      </c>
      <c r="AE8" s="1615" t="s">
        <v>2845</v>
      </c>
      <c r="AF8" s="1615" t="s">
        <v>2846</v>
      </c>
      <c r="AG8" s="1615" t="s">
        <v>2847</v>
      </c>
      <c r="AH8" s="1615" t="s">
        <v>2848</v>
      </c>
      <c r="AI8" s="1615" t="s">
        <v>2849</v>
      </c>
      <c r="AJ8" s="1615" t="s">
        <v>2850</v>
      </c>
    </row>
    <row r="9" spans="1:36" ht="15">
      <c r="A9" s="3257"/>
      <c r="B9" s="199" t="s">
        <v>2851</v>
      </c>
      <c r="C9" s="923">
        <f>SUMIF(修正!C59:C119,C8,修正!E59:E119)</f>
        <v>0</v>
      </c>
      <c r="D9" s="201" t="s">
        <v>140</v>
      </c>
      <c r="E9" s="201" t="e">
        <f>ROUND(C11/E7,4)</f>
        <v>#DIV/0!</v>
      </c>
      <c r="F9" s="2757" t="s">
        <v>2852</v>
      </c>
      <c r="G9" s="2758"/>
      <c r="H9" s="2758"/>
      <c r="I9" s="2758"/>
      <c r="J9" s="2759"/>
      <c r="K9" s="1374"/>
      <c r="L9" s="2732" t="s">
        <v>2853</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251" t="s">
        <v>2854</v>
      </c>
      <c r="X9" s="1616" t="s">
        <v>2855</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57"/>
      <c r="B10" s="199" t="s">
        <v>2856</v>
      </c>
      <c r="C10" s="201">
        <f>SUMIF(修正!C59:C119,C8,修正!F59:F119)</f>
        <v>0</v>
      </c>
      <c r="D10" s="201" t="s">
        <v>141</v>
      </c>
      <c r="E10" s="201" t="e">
        <f>ROUND(C11/E7,4)</f>
        <v>#DIV/0!</v>
      </c>
      <c r="F10" s="2757" t="s">
        <v>2857</v>
      </c>
      <c r="G10" s="2758"/>
      <c r="H10" s="2758"/>
      <c r="I10" s="2758"/>
      <c r="J10" s="2759"/>
      <c r="K10" s="1374"/>
      <c r="L10" s="2732" t="s">
        <v>2858</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251"/>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57"/>
      <c r="B11" s="2760" t="s">
        <v>2859</v>
      </c>
      <c r="C11" s="924">
        <f>C10/4</f>
        <v>0</v>
      </c>
      <c r="D11" s="924" t="s">
        <v>142</v>
      </c>
      <c r="E11" s="924" t="e">
        <f>ROUND(C11/E7,4)</f>
        <v>#DIV/0!</v>
      </c>
      <c r="F11" s="2761" t="s">
        <v>2860</v>
      </c>
      <c r="G11" s="2762"/>
      <c r="H11" s="2762"/>
      <c r="I11" s="2762"/>
      <c r="J11" s="2763"/>
      <c r="K11" s="1374"/>
      <c r="L11" s="2732" t="s">
        <v>2861</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251" t="s">
        <v>2862</v>
      </c>
      <c r="X11" s="1619" t="s">
        <v>2863</v>
      </c>
      <c r="Y11" s="1620" t="e">
        <f>$G$3</f>
        <v>#DIV/0!</v>
      </c>
      <c r="Z11" s="1620" t="e">
        <f t="shared" ref="Z11:AJ11" si="3">$G$3</f>
        <v>#DIV/0!</v>
      </c>
      <c r="AA11" s="1620" t="e">
        <f t="shared" si="3"/>
        <v>#DIV/0!</v>
      </c>
      <c r="AB11" s="1620" t="e">
        <f t="shared" si="3"/>
        <v>#DIV/0!</v>
      </c>
      <c r="AC11" s="1620" t="e">
        <f t="shared" si="3"/>
        <v>#DIV/0!</v>
      </c>
      <c r="AD11" s="1620" t="e">
        <f t="shared" si="3"/>
        <v>#DIV/0!</v>
      </c>
      <c r="AE11" s="1620" t="e">
        <f t="shared" si="3"/>
        <v>#DIV/0!</v>
      </c>
      <c r="AF11" s="1620" t="e">
        <f t="shared" si="3"/>
        <v>#DIV/0!</v>
      </c>
      <c r="AG11" s="1620" t="e">
        <f t="shared" si="3"/>
        <v>#DIV/0!</v>
      </c>
      <c r="AH11" s="1620" t="e">
        <f t="shared" si="3"/>
        <v>#DIV/0!</v>
      </c>
      <c r="AI11" s="1620" t="e">
        <f t="shared" si="3"/>
        <v>#DIV/0!</v>
      </c>
      <c r="AJ11" s="1620" t="e">
        <f t="shared" si="3"/>
        <v>#DIV/0!</v>
      </c>
    </row>
    <row r="12" spans="1:36" ht="25.5" thickBot="1">
      <c r="A12" s="3256" t="s">
        <v>2864</v>
      </c>
      <c r="B12" s="2764" t="s">
        <v>2865</v>
      </c>
      <c r="C12" s="920">
        <f>ROUND(C15*D15*E15*F15*G15*H15*I15*J15,4)</f>
        <v>1</v>
      </c>
      <c r="D12" s="2765" t="s">
        <v>2866</v>
      </c>
      <c r="E12" s="2766"/>
      <c r="F12" s="2766"/>
      <c r="G12" s="2767"/>
      <c r="H12" s="2767"/>
      <c r="I12" s="2767"/>
      <c r="J12" s="2768"/>
      <c r="K12" s="1374"/>
      <c r="L12" s="2769" t="s">
        <v>2867</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251"/>
      <c r="X12" s="1621" t="s">
        <v>2868</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258"/>
      <c r="B13" s="2770" t="s">
        <v>2869</v>
      </c>
      <c r="C13" s="2771" t="s">
        <v>2870</v>
      </c>
      <c r="D13" s="1813" t="s">
        <v>2871</v>
      </c>
      <c r="E13" s="1813" t="s">
        <v>2872</v>
      </c>
      <c r="F13" s="30" t="s">
        <v>2873</v>
      </c>
      <c r="G13" s="2772" t="s">
        <v>2874</v>
      </c>
      <c r="H13" s="2772" t="s">
        <v>2874</v>
      </c>
      <c r="I13" s="2772" t="s">
        <v>2874</v>
      </c>
      <c r="J13" s="2773" t="s">
        <v>2874</v>
      </c>
      <c r="K13" s="1374"/>
      <c r="L13" s="1374"/>
      <c r="M13" s="1374"/>
      <c r="N13" s="1374"/>
      <c r="O13" s="1374"/>
      <c r="P13" s="1374"/>
      <c r="Q13" s="1374"/>
      <c r="R13" s="1607">
        <v>12</v>
      </c>
      <c r="S13" s="1608"/>
      <c r="T13" s="1607" t="e">
        <f t="shared" si="0"/>
        <v>#DIV/0!</v>
      </c>
      <c r="U13" s="1608"/>
      <c r="V13" s="1607" t="e">
        <f t="shared" si="1"/>
        <v>#DIV/0!</v>
      </c>
      <c r="W13" s="3251"/>
      <c r="X13" s="1621"/>
      <c r="Y13" s="1618" t="e">
        <f>(-0.163*(Y12^2)-0.59*Y12+7617)*(10^(-4))/Y11</f>
        <v>#DIV/0!</v>
      </c>
      <c r="Z13" s="1618" t="e">
        <f t="shared" ref="Z13:AJ13" si="5">(-0.163*(Z12^2)-0.59*Z12+7617)*(10^(-4))/Z11</f>
        <v>#DIV/0!</v>
      </c>
      <c r="AA13" s="1618" t="e">
        <f t="shared" si="5"/>
        <v>#DIV/0!</v>
      </c>
      <c r="AB13" s="1618" t="e">
        <f t="shared" si="5"/>
        <v>#DIV/0!</v>
      </c>
      <c r="AC13" s="1618" t="e">
        <f t="shared" si="5"/>
        <v>#DIV/0!</v>
      </c>
      <c r="AD13" s="1618" t="e">
        <f t="shared" si="5"/>
        <v>#DIV/0!</v>
      </c>
      <c r="AE13" s="1618" t="e">
        <f t="shared" si="5"/>
        <v>#DIV/0!</v>
      </c>
      <c r="AF13" s="1618" t="e">
        <f t="shared" si="5"/>
        <v>#DIV/0!</v>
      </c>
      <c r="AG13" s="1618" t="e">
        <f t="shared" si="5"/>
        <v>#DIV/0!</v>
      </c>
      <c r="AH13" s="1618" t="e">
        <f t="shared" si="5"/>
        <v>#DIV/0!</v>
      </c>
      <c r="AI13" s="1618" t="e">
        <f t="shared" si="5"/>
        <v>#DIV/0!</v>
      </c>
      <c r="AJ13" s="1618" t="e">
        <f t="shared" si="5"/>
        <v>#DIV/0!</v>
      </c>
    </row>
    <row r="14" spans="1:36" ht="15">
      <c r="A14" s="3258"/>
      <c r="B14" s="2774"/>
      <c r="C14" s="2775"/>
      <c r="D14" s="2776"/>
      <c r="E14" s="2776"/>
      <c r="F14" s="2777"/>
      <c r="G14" s="2778" t="s">
        <v>2875</v>
      </c>
      <c r="H14" s="2779"/>
      <c r="I14" s="2780"/>
      <c r="J14" s="2781"/>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259"/>
      <c r="B15" s="2782" t="s">
        <v>2876</v>
      </c>
      <c r="C15" s="230">
        <f>IF(C14="有",1.1,1)</f>
        <v>1</v>
      </c>
      <c r="D15" s="230">
        <f>IF(D14="有",1.1,1)</f>
        <v>1</v>
      </c>
      <c r="E15" s="230">
        <f>IF(E14="有",1.1,1)</f>
        <v>1</v>
      </c>
      <c r="F15" s="230">
        <f>IF(F14="500米范围内",1.2,IF(F14="500-1000米",1.1,1))</f>
        <v>1</v>
      </c>
      <c r="G15" s="950">
        <v>1</v>
      </c>
      <c r="H15" s="950">
        <v>1</v>
      </c>
      <c r="I15" s="950">
        <v>1</v>
      </c>
      <c r="J15" s="951">
        <v>1</v>
      </c>
      <c r="K15" s="1374"/>
      <c r="L15" s="2783" t="s">
        <v>2812</v>
      </c>
      <c r="M15" s="921" t="s">
        <v>2877</v>
      </c>
      <c r="N15" s="921" t="s">
        <v>2878</v>
      </c>
      <c r="O15" s="921" t="s">
        <v>2879</v>
      </c>
      <c r="P15" s="2784" t="s">
        <v>2880</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256" t="s">
        <v>2881</v>
      </c>
      <c r="B16" s="2751" t="s">
        <v>2882</v>
      </c>
      <c r="C16" s="1806" t="e">
        <f>ROUND(SUM(G17:J17)/C17,0)</f>
        <v>#DIV/0!</v>
      </c>
      <c r="D16" s="2785" t="s">
        <v>2883</v>
      </c>
      <c r="E16" s="2786"/>
      <c r="F16" s="2787"/>
      <c r="G16" s="2788"/>
      <c r="H16" s="2788"/>
      <c r="I16" s="2788"/>
      <c r="J16" s="2789"/>
      <c r="K16" s="1374"/>
      <c r="L16" s="2790" t="s">
        <v>2884</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257"/>
      <c r="B17" s="2791" t="s">
        <v>2885</v>
      </c>
      <c r="C17" s="925">
        <f>SUMPRODUCT((修正!A2:A5=E2)*(修正!B1:M1=G2)*(修正!B2:M5))</f>
        <v>0</v>
      </c>
      <c r="D17" s="2792" t="s">
        <v>2886</v>
      </c>
      <c r="E17" s="924" t="str">
        <f>IF(OR(G2="八级",G2="九级",G2="十级",G2="十一级",G2="十二级"),"五通一平","七通一平")</f>
        <v>七通一平</v>
      </c>
      <c r="F17" s="925" t="s">
        <v>2887</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3" t="s">
        <v>2888</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4"/>
      <c r="AF17" s="2794"/>
      <c r="AG17" s="2726"/>
      <c r="AH17" s="2726"/>
      <c r="AI17" s="2726"/>
      <c r="AJ17" s="2726"/>
    </row>
    <row r="18" spans="1:37" s="2744" customFormat="1" ht="15.75" thickBot="1">
      <c r="A18" s="2795" t="s">
        <v>808</v>
      </c>
      <c r="B18" s="2796" t="s">
        <v>2889</v>
      </c>
      <c r="C18" s="927">
        <f>SUMIF(修正!C18:C39,E3,修正!E18:E39)</f>
        <v>0</v>
      </c>
      <c r="D18" s="2797"/>
      <c r="E18" s="2798"/>
      <c r="F18" s="2799"/>
      <c r="G18" s="2800"/>
      <c r="H18" s="2800"/>
      <c r="I18" s="2800"/>
      <c r="J18" s="2801"/>
      <c r="K18" s="1381"/>
      <c r="O18" s="1379"/>
      <c r="P18" s="1379"/>
      <c r="Q18" s="1380"/>
      <c r="R18" s="1380"/>
      <c r="S18" s="1380"/>
      <c r="T18" s="1375"/>
      <c r="U18" s="1375"/>
      <c r="V18" s="1375"/>
      <c r="W18" s="1374"/>
      <c r="X18" s="1374"/>
      <c r="Y18" s="1374"/>
      <c r="Z18" s="1381"/>
      <c r="AA18" s="1382"/>
      <c r="AB18" s="1382"/>
      <c r="AC18" s="1382"/>
      <c r="AD18" s="1382"/>
      <c r="AE18" s="1376"/>
      <c r="AF18" s="1376"/>
      <c r="AG18" s="2802"/>
      <c r="AH18" s="2802"/>
      <c r="AI18" s="2802"/>
    </row>
    <row r="19" spans="1:37" s="2744" customFormat="1" ht="27.75" thickBot="1">
      <c r="A19" s="2795" t="s">
        <v>809</v>
      </c>
      <c r="B19" s="2796" t="s">
        <v>2890</v>
      </c>
      <c r="C19" s="928" t="e">
        <f>ROUND(IF(H19="按公示增长率计算",SUMPRODUCT((地价!A3:A20=YEAR(G19)&amp;"-"&amp;ROUNDUP(MONTH(G19)/3,0))*(地价!X2:AB2=E2)*(地价!X3:AB20)),IF(H19="地价指数",M20/M19,(1+I19)^O19)),4)</f>
        <v>#DIV/0!</v>
      </c>
      <c r="D19" s="2803" t="s">
        <v>2891</v>
      </c>
      <c r="E19" s="929">
        <v>41640</v>
      </c>
      <c r="F19" s="2803" t="s">
        <v>2892</v>
      </c>
      <c r="G19" s="930">
        <f>'数据-取费表'!B2</f>
        <v>43053</v>
      </c>
      <c r="H19" s="2804" t="s">
        <v>2893</v>
      </c>
      <c r="I19" s="931" t="str">
        <f>IF(H19="季度增幅（自定义）",SUMIF(N21:N24,E2,O21:O24),"")</f>
        <v/>
      </c>
      <c r="J19" s="2801"/>
      <c r="K19" s="1381"/>
      <c r="L19" s="2805" t="s">
        <v>2894</v>
      </c>
      <c r="M19" s="1739">
        <f>ROUND(SUMIF(地价!B2:F2,E2,地价!B20:F20),0)</f>
        <v>0</v>
      </c>
      <c r="N19" s="2806" t="s">
        <v>2895</v>
      </c>
      <c r="O19" s="932">
        <f>ROUNDDOWN(DATEDIF(E19,G19,"M")/3,0)</f>
        <v>15</v>
      </c>
      <c r="P19" s="1378"/>
      <c r="Q19" s="1380"/>
      <c r="R19" s="1380"/>
      <c r="S19" s="1380"/>
      <c r="T19" s="1375"/>
      <c r="U19" s="1375"/>
      <c r="V19" s="1375"/>
      <c r="W19" s="1374"/>
      <c r="X19" s="1374"/>
      <c r="Y19" s="1374"/>
      <c r="Z19" s="1381"/>
      <c r="AA19" s="1382"/>
      <c r="AB19" s="1382"/>
      <c r="AC19" s="1382"/>
      <c r="AD19" s="1382"/>
      <c r="AE19" s="1382"/>
      <c r="AF19" s="2807"/>
      <c r="AG19" s="2808"/>
      <c r="AH19" s="2802"/>
      <c r="AI19" s="2809"/>
      <c r="AJ19" s="2809"/>
      <c r="AK19" s="2809"/>
    </row>
    <row r="20" spans="1:37" s="2744" customFormat="1" ht="27.75" thickBot="1">
      <c r="A20" s="2810" t="s">
        <v>810</v>
      </c>
      <c r="B20" s="2811" t="s">
        <v>2896</v>
      </c>
      <c r="C20" s="933" t="e">
        <f>ROUND(POWER(1+G20,J20-I20)*(POWER(1+G20,I20)-1)/(POWER(1+G20,J20)-1),4)</f>
        <v>#DIV/0!</v>
      </c>
      <c r="D20" s="2812" t="s">
        <v>2897</v>
      </c>
      <c r="E20" s="1773">
        <f ca="1">存贷款利率!D4/100</f>
        <v>4.3499999999999997E-2</v>
      </c>
      <c r="F20" s="2812" t="s">
        <v>2888</v>
      </c>
      <c r="G20" s="938">
        <f>SUMIF(M15:P15,E2,M17:P17)</f>
        <v>0</v>
      </c>
      <c r="H20" s="2812" t="s">
        <v>2898</v>
      </c>
      <c r="I20" s="939" t="e">
        <f>SUMIF('数据-取费表'!C6:C15,E2,'数据-取费表'!F6:F15)/COUNTIF('数据-取费表'!C6:C15,E2)</f>
        <v>#DIV/0!</v>
      </c>
      <c r="J20" s="940">
        <f>IF(E2="住宅",70,IF(E2="商业",40,50))</f>
        <v>50</v>
      </c>
      <c r="K20" s="1381"/>
      <c r="L20" s="2813" t="s">
        <v>2899</v>
      </c>
      <c r="M20" s="1740">
        <f>ROUND(SUMPRODUCT((地价!A5:A20=YEAR(G19)&amp;"-"&amp;ROUNDUP(MONTH(G19)/3,0))*(地价!B2:F2=E2)*(地价!B5:F20)),0)</f>
        <v>0</v>
      </c>
      <c r="N20" s="2814" t="s">
        <v>2900</v>
      </c>
      <c r="O20" s="2815" t="s">
        <v>2901</v>
      </c>
      <c r="P20" s="2816" t="s">
        <v>2902</v>
      </c>
      <c r="R20" s="1380"/>
      <c r="S20" s="1380"/>
      <c r="T20" s="1375"/>
      <c r="U20" s="1375"/>
      <c r="V20" s="1375"/>
      <c r="W20" s="1374"/>
      <c r="X20" s="1374"/>
      <c r="Y20" s="1374"/>
      <c r="Z20" s="1381"/>
      <c r="AA20" s="1382"/>
      <c r="AB20" s="1382"/>
      <c r="AC20" s="1382"/>
      <c r="AD20" s="1382"/>
      <c r="AE20" s="1382"/>
      <c r="AF20" s="1382"/>
    </row>
    <row r="21" spans="1:37" s="2744" customFormat="1" ht="15">
      <c r="A21" s="2817" t="s">
        <v>811</v>
      </c>
      <c r="B21" s="2818" t="s">
        <v>2903</v>
      </c>
      <c r="C21" s="941" t="e">
        <f>IF(B21="容积率修正",IF(G3&lt;=10,D22,J22),C23)</f>
        <v>#DIV/0!</v>
      </c>
      <c r="D21" s="2819"/>
      <c r="E21" s="2819"/>
      <c r="F21" s="2819"/>
      <c r="G21" s="2819"/>
      <c r="H21" s="2819"/>
      <c r="I21" s="2819"/>
      <c r="J21" s="2820"/>
      <c r="K21" s="1381"/>
      <c r="N21" s="2821" t="s">
        <v>2904</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4" customFormat="1" ht="14.25">
      <c r="A22" s="2670" t="s">
        <v>2905</v>
      </c>
      <c r="B22" s="2822" t="s">
        <v>2906</v>
      </c>
      <c r="C22" s="1815" t="s">
        <v>2907</v>
      </c>
      <c r="D22" s="1815" t="e">
        <f>IF(E22=G22,F22,IF(G3&lt;=10,ROUND(F22+(H22-F22)*(G3-E22)/(G22-E22),4),"——"))</f>
        <v>#DIV/0!</v>
      </c>
      <c r="E22" s="917" t="e">
        <f>ROUNDDOWN(G3,1)</f>
        <v>#DIV/0!</v>
      </c>
      <c r="F22" s="181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5" t="s">
        <v>155</v>
      </c>
      <c r="J22" s="942" t="e">
        <f>IF(G3&gt;10,D113,"——")</f>
        <v>#DIV/0!</v>
      </c>
      <c r="K22" s="1381"/>
      <c r="N22" s="2821" t="s">
        <v>2908</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0" t="s">
        <v>2909</v>
      </c>
      <c r="B23" s="2823" t="s">
        <v>2910</v>
      </c>
      <c r="C23" s="1017" t="e">
        <f>ROUND(IF(G3&gt;1,IF(I3&lt;7,SUMPRODUCT((B93:B98=I3)*(C92:N92=G2)*(C93:N98)),SUMIF(C92:N92,G2,C100:N100)),IF(I3&lt;7,SUMPRODUCT((B102:B107=I3)*(C92:N92=G2)*(C102:N107)),SUMIF(C92:N92,G2,C109:N109))),4)</f>
        <v>#DIV/0!</v>
      </c>
      <c r="D23" s="2779"/>
      <c r="E23" s="2779"/>
      <c r="F23" s="2824"/>
      <c r="G23" s="2825"/>
      <c r="H23" s="2826"/>
      <c r="I23" s="2827"/>
      <c r="J23" s="2828"/>
      <c r="K23" s="1374"/>
      <c r="N23" s="2821" t="s">
        <v>2911</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2"/>
    </row>
    <row r="24" spans="1:37" s="2744" customFormat="1" ht="15.75" thickBot="1">
      <c r="A24" s="2810" t="s">
        <v>812</v>
      </c>
      <c r="B24" s="2796" t="s">
        <v>2912</v>
      </c>
      <c r="C24" s="928">
        <f>SUMIF(A45:A88,E2,B45:B88)</f>
        <v>0</v>
      </c>
      <c r="D24" s="2799"/>
      <c r="E24" s="2829"/>
      <c r="F24" s="2829"/>
      <c r="G24" s="2829"/>
      <c r="H24" s="2829"/>
      <c r="I24" s="2829"/>
      <c r="J24" s="2830"/>
      <c r="K24" s="1381"/>
      <c r="N24" s="2831" t="s">
        <v>2913</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0" t="s">
        <v>813</v>
      </c>
      <c r="B25" s="2832" t="s">
        <v>2914</v>
      </c>
      <c r="C25" s="934"/>
      <c r="D25" s="2754"/>
      <c r="E25" s="2754"/>
      <c r="F25" s="2833"/>
      <c r="G25" s="2754"/>
      <c r="H25" s="2754"/>
      <c r="I25" s="2754"/>
      <c r="J25" s="2755"/>
      <c r="K25" s="1374"/>
      <c r="N25" s="2834" t="s">
        <v>2915</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5"/>
      <c r="B26" s="2822" t="s">
        <v>2916</v>
      </c>
      <c r="C26" s="207" t="e">
        <f>E29+SUM(E33:E39)</f>
        <v>#DIV/0!</v>
      </c>
      <c r="D26" s="2836"/>
      <c r="E26" s="2779"/>
      <c r="F26" s="2837"/>
      <c r="G26" s="2779"/>
      <c r="H26" s="2779"/>
      <c r="I26" s="2779"/>
      <c r="J26" s="2838"/>
      <c r="K26" s="1374"/>
      <c r="R26" s="1380"/>
      <c r="S26" s="1380"/>
      <c r="T26" s="1375"/>
      <c r="U26" s="1375"/>
      <c r="V26" s="1375"/>
      <c r="W26" s="1374"/>
      <c r="X26" s="1374"/>
      <c r="Y26" s="1374"/>
      <c r="Z26" s="1381"/>
      <c r="AA26" s="1382"/>
      <c r="AB26" s="1382"/>
      <c r="AC26" s="1382"/>
      <c r="AD26" s="1382"/>
    </row>
    <row r="27" spans="1:37" ht="15.75" thickBot="1">
      <c r="A27" s="2835"/>
      <c r="B27" s="2839" t="s">
        <v>2917</v>
      </c>
      <c r="C27" s="935" t="e">
        <f>E30+SUM(I33:I39)</f>
        <v>#DIV/0!</v>
      </c>
      <c r="D27" s="2840"/>
      <c r="E27" s="2841"/>
      <c r="F27" s="2842"/>
      <c r="G27" s="2841"/>
      <c r="H27" s="2841"/>
      <c r="I27" s="2841"/>
      <c r="J27" s="2843"/>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4"/>
      <c r="B28" s="2845" t="s">
        <v>2918</v>
      </c>
      <c r="C28" s="2846" t="s">
        <v>2919</v>
      </c>
      <c r="D28" s="2846" t="s">
        <v>2920</v>
      </c>
      <c r="E28" s="2847" t="s">
        <v>2921</v>
      </c>
      <c r="F28" s="2848"/>
      <c r="G28" s="2767"/>
      <c r="H28" s="2767"/>
      <c r="I28" s="2767"/>
      <c r="J28" s="2768"/>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9"/>
      <c r="B29" s="2850" t="s">
        <v>2922</v>
      </c>
      <c r="C29" s="207" t="e">
        <f>ROUND(C5*C18*C19*C20*C21*C24,0)</f>
        <v>#DIV/0!</v>
      </c>
      <c r="D29" s="2851"/>
      <c r="E29" s="946" t="e">
        <f>ROUND(C29*D29/10000,0)</f>
        <v>#DIV/0!</v>
      </c>
      <c r="F29" s="2852" t="s">
        <v>2923</v>
      </c>
      <c r="G29" s="2853"/>
      <c r="H29" s="2853"/>
      <c r="I29" s="2853"/>
      <c r="J29" s="2854"/>
      <c r="K29" s="1374"/>
      <c r="L29" s="1374"/>
      <c r="M29" s="1374"/>
      <c r="N29" s="1374"/>
      <c r="O29" s="1379"/>
      <c r="P29" s="1379"/>
      <c r="Q29" s="1380"/>
      <c r="R29" s="1380"/>
      <c r="S29" s="1380"/>
      <c r="T29" s="1375"/>
      <c r="U29" s="1375"/>
      <c r="V29" s="1375"/>
      <c r="W29" s="1374"/>
      <c r="X29" s="1374"/>
      <c r="Y29" s="1374"/>
      <c r="Z29" s="1381"/>
      <c r="AA29" s="1382"/>
      <c r="AB29" s="1382"/>
      <c r="AC29" s="1382"/>
      <c r="AD29" s="1382"/>
      <c r="AE29" s="2794"/>
      <c r="AF29" s="2794"/>
      <c r="AG29" s="2726"/>
      <c r="AH29" s="2726"/>
      <c r="AI29" s="2726"/>
      <c r="AJ29" s="2726"/>
    </row>
    <row r="30" spans="1:37" ht="25.5" thickBot="1">
      <c r="A30" s="2855"/>
      <c r="B30" s="2856" t="s">
        <v>2924</v>
      </c>
      <c r="C30" s="230" t="e">
        <f>ROUND(IF(E2="工业",C29*M39,C29*M38),0)</f>
        <v>#DIV/0!</v>
      </c>
      <c r="D30" s="2857"/>
      <c r="E30" s="946" t="e">
        <f>ROUND(C30*D30/10000,0)</f>
        <v>#DIV/0!</v>
      </c>
      <c r="F30" s="2858" t="s">
        <v>2925</v>
      </c>
      <c r="G30" s="2859"/>
      <c r="H30" s="2859"/>
      <c r="I30" s="2859"/>
      <c r="J30" s="2860"/>
      <c r="K30" s="1374"/>
      <c r="L30" s="1374"/>
      <c r="M30" s="1374"/>
      <c r="N30" s="1374"/>
      <c r="O30" s="1379"/>
      <c r="P30" s="1379"/>
      <c r="Q30" s="1380"/>
      <c r="R30" s="1380"/>
      <c r="S30" s="1380"/>
      <c r="T30" s="1375"/>
      <c r="U30" s="1375"/>
      <c r="V30" s="1375"/>
      <c r="W30" s="1374"/>
      <c r="X30" s="1374"/>
      <c r="Y30" s="1374"/>
      <c r="Z30" s="1381"/>
      <c r="AA30" s="1382"/>
      <c r="AB30" s="1382"/>
      <c r="AC30" s="1382"/>
      <c r="AD30" s="1382"/>
      <c r="AE30" s="2794"/>
      <c r="AF30" s="2794"/>
      <c r="AG30" s="2726"/>
      <c r="AH30" s="2726"/>
      <c r="AI30" s="2726"/>
      <c r="AJ30" s="2726"/>
    </row>
    <row r="31" spans="1:37" ht="14.25">
      <c r="A31" s="2861"/>
      <c r="B31" s="2862" t="s">
        <v>2926</v>
      </c>
      <c r="C31" s="2863" t="s">
        <v>2927</v>
      </c>
      <c r="D31" s="2767"/>
      <c r="E31" s="2863"/>
      <c r="F31" s="2863"/>
      <c r="G31" s="2765" t="s">
        <v>2928</v>
      </c>
      <c r="H31" s="2767"/>
      <c r="I31" s="2864"/>
      <c r="J31" s="2768"/>
      <c r="K31" s="1374"/>
      <c r="L31" s="1374"/>
      <c r="M31" s="1374"/>
      <c r="N31" s="1374"/>
      <c r="O31" s="1379"/>
      <c r="P31" s="1379"/>
      <c r="Q31" s="1380"/>
      <c r="R31" s="1380"/>
      <c r="S31" s="1380"/>
      <c r="T31" s="1375"/>
      <c r="U31" s="1375"/>
      <c r="V31" s="1375"/>
      <c r="W31" s="1374"/>
      <c r="X31" s="1374"/>
      <c r="Y31" s="1374"/>
      <c r="Z31" s="1381"/>
      <c r="AA31" s="1382"/>
      <c r="AB31" s="1382"/>
      <c r="AC31" s="1382"/>
      <c r="AD31" s="1382"/>
      <c r="AE31" s="2794"/>
      <c r="AF31" s="2794"/>
      <c r="AG31" s="2726"/>
      <c r="AH31" s="2726"/>
      <c r="AI31" s="2726"/>
      <c r="AJ31" s="2726"/>
    </row>
    <row r="32" spans="1:37" ht="24">
      <c r="A32" s="2849"/>
      <c r="B32" s="2865"/>
      <c r="C32" s="502" t="s">
        <v>2919</v>
      </c>
      <c r="D32" s="499" t="s">
        <v>2920</v>
      </c>
      <c r="E32" s="499" t="s">
        <v>2921</v>
      </c>
      <c r="F32" s="389" t="s">
        <v>2929</v>
      </c>
      <c r="G32" s="2866" t="s">
        <v>2919</v>
      </c>
      <c r="H32" s="2866" t="s">
        <v>2920</v>
      </c>
      <c r="I32" s="2866" t="s">
        <v>2921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4"/>
      <c r="AF32" s="2794"/>
      <c r="AG32" s="2726"/>
      <c r="AH32" s="2726"/>
      <c r="AI32" s="2726"/>
      <c r="AJ32" s="2726"/>
    </row>
    <row r="33" spans="1:37" ht="36" customHeight="1">
      <c r="A33" s="3266" t="s">
        <v>2930</v>
      </c>
      <c r="B33" s="2867" t="s">
        <v>2931</v>
      </c>
      <c r="C33" s="207" t="e">
        <f>ROUND(D5*C19*C20*C24*F33,0)</f>
        <v>#DIV/0!</v>
      </c>
      <c r="D33" s="2851"/>
      <c r="E33" s="201" t="e">
        <f>ROUND(C33*D33/10000,0)</f>
        <v>#DIV/0!</v>
      </c>
      <c r="F33" s="201">
        <f>SUMIF(修正!A45:A56,G2,修正!B45:B56)</f>
        <v>0</v>
      </c>
      <c r="G33" s="201" t="e">
        <f t="shared" ref="G33:G39" si="6">ROUND(IF(E2="工业",C33*$M$39,C33*$M$38),0)</f>
        <v>#DIV/0!</v>
      </c>
      <c r="H33" s="201">
        <f>D33</f>
        <v>0</v>
      </c>
      <c r="I33" s="201" t="e">
        <f>ROUND(G33*H33/10000,0)</f>
        <v>#DIV/0!</v>
      </c>
      <c r="J33" s="2868"/>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67"/>
      <c r="B34" s="2771" t="s">
        <v>2932</v>
      </c>
      <c r="C34" s="207" t="e">
        <f>ROUND(D5*C19*C20*C24*F34,0)</f>
        <v>#DIV/0!</v>
      </c>
      <c r="D34" s="2851"/>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8"/>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67"/>
      <c r="B35" s="2771" t="s">
        <v>2933</v>
      </c>
      <c r="C35" s="207" t="e">
        <f>ROUND(D5*C19*C20*C24*F35,0)</f>
        <v>#DIV/0!</v>
      </c>
      <c r="D35" s="2851"/>
      <c r="E35" s="201" t="e">
        <f t="shared" si="7"/>
        <v>#DIV/0!</v>
      </c>
      <c r="F35" s="201">
        <f>SUMIF(修正!A45:A56,G2,修正!D45:D56)</f>
        <v>0</v>
      </c>
      <c r="G35" s="201" t="e">
        <f t="shared" si="6"/>
        <v>#DIV/0!</v>
      </c>
      <c r="H35" s="201">
        <f t="shared" si="8"/>
        <v>0</v>
      </c>
      <c r="I35" s="201" t="e">
        <f t="shared" si="9"/>
        <v>#DIV/0!</v>
      </c>
      <c r="J35" s="2868"/>
      <c r="K35" s="1374"/>
      <c r="L35" s="1374"/>
      <c r="M35" s="1374"/>
      <c r="N35" s="1374"/>
      <c r="O35" s="1374"/>
      <c r="P35" s="1374"/>
      <c r="Q35" s="1374"/>
      <c r="R35" s="1374"/>
      <c r="S35" s="1374"/>
      <c r="T35" s="1374"/>
      <c r="U35" s="1374"/>
      <c r="V35" s="1374"/>
      <c r="W35" s="1374"/>
      <c r="X35" s="1374"/>
      <c r="Y35" s="1374"/>
      <c r="Z35" s="1375"/>
    </row>
    <row r="36" spans="1:37" ht="13.5" thickBot="1">
      <c r="A36" s="3268"/>
      <c r="B36" s="2771" t="s">
        <v>2934</v>
      </c>
      <c r="C36" s="207" t="e">
        <f>ROUND(D5*C19*C20*C24*F36,0)</f>
        <v>#DIV/0!</v>
      </c>
      <c r="D36" s="2851"/>
      <c r="E36" s="201" t="e">
        <f t="shared" si="7"/>
        <v>#DIV/0!</v>
      </c>
      <c r="F36" s="201">
        <f>SUMIF(修正!A45:A56,G2,修正!E45:E56)</f>
        <v>0</v>
      </c>
      <c r="G36" s="201" t="e">
        <f t="shared" si="6"/>
        <v>#DIV/0!</v>
      </c>
      <c r="H36" s="201">
        <f t="shared" si="8"/>
        <v>0</v>
      </c>
      <c r="I36" s="201" t="e">
        <f t="shared" si="9"/>
        <v>#DIV/0!</v>
      </c>
      <c r="J36" s="2868"/>
      <c r="K36" s="1374"/>
      <c r="L36" s="2725"/>
      <c r="M36" s="2725"/>
      <c r="N36" s="1374"/>
      <c r="O36" s="1374"/>
      <c r="P36" s="1374"/>
      <c r="Q36" s="1374"/>
      <c r="R36" s="1374"/>
      <c r="S36" s="1374"/>
      <c r="T36" s="1374"/>
      <c r="U36" s="1374"/>
      <c r="V36" s="1374"/>
      <c r="W36" s="1374"/>
      <c r="X36" s="1374"/>
      <c r="Y36" s="1374"/>
      <c r="Z36" s="1375"/>
    </row>
    <row r="37" spans="1:37">
      <c r="A37" s="2869"/>
      <c r="B37" s="2771" t="s">
        <v>2935</v>
      </c>
      <c r="C37" s="201" t="e">
        <f>ROUND(C5*C19*C20*C24*F37,0)</f>
        <v>#DIV/0!</v>
      </c>
      <c r="D37" s="2851"/>
      <c r="E37" s="201" t="e">
        <f t="shared" si="7"/>
        <v>#DIV/0!</v>
      </c>
      <c r="F37" s="207">
        <f>SUMIF(修正!A45:A56,G2,修正!F45:F56)</f>
        <v>0</v>
      </c>
      <c r="G37" s="201" t="e">
        <f t="shared" si="6"/>
        <v>#DIV/0!</v>
      </c>
      <c r="H37" s="201">
        <f t="shared" si="8"/>
        <v>0</v>
      </c>
      <c r="I37" s="201" t="e">
        <f t="shared" si="9"/>
        <v>#DIV/0!</v>
      </c>
      <c r="J37" s="2868"/>
      <c r="K37" s="1374"/>
      <c r="L37" s="2870" t="s">
        <v>2936</v>
      </c>
      <c r="M37" s="2871"/>
      <c r="N37" s="1374"/>
      <c r="O37" s="1374"/>
      <c r="P37" s="1374"/>
      <c r="Q37" s="1374"/>
      <c r="R37" s="1374"/>
      <c r="S37" s="1374"/>
      <c r="T37" s="1374"/>
      <c r="U37" s="1374"/>
      <c r="V37" s="1374"/>
      <c r="W37" s="1374"/>
      <c r="X37" s="1374"/>
      <c r="Y37" s="1374"/>
      <c r="Z37" s="1375"/>
    </row>
    <row r="38" spans="1:37">
      <c r="A38" s="2869"/>
      <c r="B38" s="2771" t="s">
        <v>2937</v>
      </c>
      <c r="C38" s="201" t="e">
        <f>ROUND(C5*C19*C20*C24*F38,0)</f>
        <v>#DIV/0!</v>
      </c>
      <c r="D38" s="2851"/>
      <c r="E38" s="201" t="e">
        <f t="shared" si="7"/>
        <v>#DIV/0!</v>
      </c>
      <c r="F38" s="207">
        <f>SUMIF(修正!A45:A56,G2,修正!G45:G56)</f>
        <v>0</v>
      </c>
      <c r="G38" s="201" t="e">
        <f t="shared" si="6"/>
        <v>#DIV/0!</v>
      </c>
      <c r="H38" s="201">
        <f t="shared" si="8"/>
        <v>0</v>
      </c>
      <c r="I38" s="201" t="e">
        <f t="shared" si="9"/>
        <v>#DIV/0!</v>
      </c>
      <c r="J38" s="2868"/>
      <c r="K38" s="1374"/>
      <c r="L38" s="1892" t="s">
        <v>2938</v>
      </c>
      <c r="M38" s="2872">
        <v>0.25</v>
      </c>
      <c r="N38" s="1374"/>
      <c r="O38" s="1374"/>
      <c r="P38" s="1374"/>
      <c r="Q38" s="1374"/>
      <c r="R38" s="1374"/>
      <c r="S38" s="1374"/>
      <c r="T38" s="1374"/>
      <c r="U38" s="1374"/>
      <c r="V38" s="1374"/>
      <c r="W38" s="1374"/>
      <c r="X38" s="1374"/>
      <c r="Y38" s="1374"/>
      <c r="Z38" s="1375"/>
    </row>
    <row r="39" spans="1:37" ht="13.5" thickBot="1">
      <c r="A39" s="2855"/>
      <c r="B39" s="2873" t="s">
        <v>2939</v>
      </c>
      <c r="C39" s="230" t="e">
        <f>ROUND(C5*C19*C20*C24*F39,0)</f>
        <v>#DIV/0!</v>
      </c>
      <c r="D39" s="2857"/>
      <c r="E39" s="230" t="e">
        <f t="shared" si="7"/>
        <v>#DIV/0!</v>
      </c>
      <c r="F39" s="936">
        <f>SUMIF(修正!A45:A56,G2,修正!H45:H56)</f>
        <v>0</v>
      </c>
      <c r="G39" s="230" t="e">
        <f t="shared" si="6"/>
        <v>#DIV/0!</v>
      </c>
      <c r="H39" s="230">
        <f t="shared" si="8"/>
        <v>0</v>
      </c>
      <c r="I39" s="230" t="e">
        <f t="shared" si="9"/>
        <v>#DIV/0!</v>
      </c>
      <c r="J39" s="2874"/>
      <c r="K39" s="1374"/>
      <c r="L39" s="2875" t="s">
        <v>2880</v>
      </c>
      <c r="M39" s="2876">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7"/>
      <c r="Z41" s="1375"/>
      <c r="AA41" s="1375"/>
      <c r="AB41" s="1375"/>
      <c r="AC41" s="1375"/>
      <c r="AD41" s="1375"/>
      <c r="AE41" s="1375"/>
      <c r="AF41" s="1375"/>
      <c r="AG41" s="1375"/>
      <c r="AH41" s="1375"/>
      <c r="AI41" s="1375"/>
      <c r="AJ41" s="1375"/>
    </row>
    <row r="42" spans="1:37" s="1374" customFormat="1">
      <c r="A42" s="1375"/>
      <c r="B42" s="2877"/>
      <c r="Z42" s="1375"/>
      <c r="AA42" s="1375"/>
      <c r="AB42" s="1375"/>
      <c r="AC42" s="1375"/>
      <c r="AD42" s="1375"/>
      <c r="AE42" s="1375"/>
      <c r="AF42" s="1375"/>
      <c r="AG42" s="1375"/>
      <c r="AH42" s="1375"/>
      <c r="AI42" s="1375"/>
      <c r="AJ42" s="1375"/>
    </row>
    <row r="43" spans="1:37" s="1374" customFormat="1">
      <c r="A43" s="1375"/>
      <c r="B43" s="2877"/>
      <c r="Z43" s="1375"/>
      <c r="AA43" s="1375"/>
      <c r="AB43" s="1375"/>
      <c r="AC43" s="1375"/>
      <c r="AD43" s="1375"/>
      <c r="AE43" s="1375"/>
      <c r="AF43" s="1375"/>
      <c r="AG43" s="1375"/>
      <c r="AH43" s="1375"/>
      <c r="AI43" s="1375"/>
      <c r="AJ43" s="1375"/>
    </row>
    <row r="44" spans="1:37" s="1374" customFormat="1">
      <c r="A44" s="1375"/>
      <c r="B44" s="2877"/>
      <c r="Z44" s="1375"/>
      <c r="AA44" s="1375"/>
      <c r="AB44" s="1375"/>
      <c r="AC44" s="1375"/>
      <c r="AD44" s="1375"/>
      <c r="AE44" s="1375"/>
      <c r="AF44" s="1375"/>
      <c r="AG44" s="1375"/>
      <c r="AH44" s="1375"/>
      <c r="AI44" s="1375"/>
      <c r="AJ44" s="1375"/>
    </row>
    <row r="45" spans="1:37" s="1374" customFormat="1" ht="15.75" thickBot="1">
      <c r="A45" s="2878" t="s">
        <v>2940</v>
      </c>
      <c r="B45" s="2879"/>
      <c r="C45" s="7"/>
      <c r="D45" s="7"/>
      <c r="E45" s="7"/>
      <c r="F45" s="6"/>
      <c r="G45" s="6"/>
      <c r="H45" s="6"/>
      <c r="I45" s="7"/>
      <c r="J45" s="7"/>
      <c r="K45" s="7"/>
      <c r="L45" s="7"/>
      <c r="M45" s="7"/>
      <c r="N45" s="2794"/>
      <c r="Z45" s="1375"/>
      <c r="AA45" s="1375"/>
      <c r="AB45" s="1375"/>
      <c r="AC45" s="1375"/>
      <c r="AD45" s="1375"/>
      <c r="AE45" s="1375"/>
      <c r="AF45" s="1375"/>
      <c r="AG45" s="1375"/>
      <c r="AH45" s="1375"/>
      <c r="AI45" s="1375"/>
      <c r="AJ45" s="1375"/>
    </row>
    <row r="46" spans="1:37" s="1374" customFormat="1" ht="15">
      <c r="A46" s="2880" t="s">
        <v>2941</v>
      </c>
      <c r="B46" s="2881">
        <f>1+E48</f>
        <v>1</v>
      </c>
      <c r="C46" s="2882"/>
      <c r="D46" s="815"/>
      <c r="E46" s="816"/>
      <c r="F46" s="2883"/>
      <c r="G46" s="6"/>
      <c r="H46" s="7"/>
      <c r="I46" s="7"/>
      <c r="J46" s="7"/>
      <c r="K46" s="7"/>
      <c r="L46" s="7"/>
      <c r="M46" s="7"/>
      <c r="N46" s="2794"/>
      <c r="Z46" s="1375"/>
      <c r="AA46" s="1375"/>
      <c r="AB46" s="1375"/>
      <c r="AC46" s="1375"/>
      <c r="AD46" s="1375"/>
      <c r="AE46" s="1375"/>
      <c r="AF46" s="1375"/>
      <c r="AG46" s="1375"/>
      <c r="AH46" s="1375"/>
      <c r="AI46" s="1375"/>
      <c r="AJ46" s="1375"/>
    </row>
    <row r="47" spans="1:37" s="1374" customFormat="1" ht="24.75">
      <c r="A47" s="2884" t="s">
        <v>2942</v>
      </c>
      <c r="B47" s="1814" t="s">
        <v>2943</v>
      </c>
      <c r="C47" s="1814" t="s">
        <v>2944</v>
      </c>
      <c r="D47" s="1814" t="s">
        <v>2945</v>
      </c>
      <c r="E47" s="820" t="s">
        <v>2946</v>
      </c>
      <c r="F47" s="2885" t="s">
        <v>2947</v>
      </c>
      <c r="G47" s="1814" t="s">
        <v>754</v>
      </c>
      <c r="H47" s="2886" t="s">
        <v>2948</v>
      </c>
      <c r="I47" s="1814" t="s">
        <v>2949</v>
      </c>
      <c r="J47" s="604" t="s">
        <v>2595</v>
      </c>
      <c r="K47" s="604" t="s">
        <v>2596</v>
      </c>
      <c r="L47" s="604" t="s">
        <v>2597</v>
      </c>
      <c r="M47" s="604" t="s">
        <v>2598</v>
      </c>
      <c r="N47" s="604" t="s">
        <v>2599</v>
      </c>
      <c r="AA47" s="1375"/>
      <c r="AB47" s="1375"/>
      <c r="AC47" s="1375"/>
      <c r="AD47" s="1375"/>
      <c r="AE47" s="1375"/>
      <c r="AF47" s="1375"/>
      <c r="AG47" s="1375"/>
      <c r="AH47" s="1375"/>
      <c r="AI47" s="1375"/>
      <c r="AJ47" s="1375"/>
      <c r="AK47" s="1375"/>
    </row>
    <row r="48" spans="1:37" s="1374" customFormat="1" ht="38.25">
      <c r="A48" s="2884" t="s">
        <v>2950</v>
      </c>
      <c r="B48" s="2887" t="str">
        <f>估价对象房地状况!C4</f>
        <v>估价对象位于XX商圈，周边商业氛围成熟，人流量大，商业繁华度好</v>
      </c>
      <c r="C48" s="2776"/>
      <c r="D48" s="1290">
        <f t="shared" ref="D48:D56" si="10">SUMIF($J$47:$N$47,C48,J48:N48)</f>
        <v>0</v>
      </c>
      <c r="E48" s="822">
        <f>ROUND(SUM(D48:D56),4)</f>
        <v>0</v>
      </c>
      <c r="F48" s="2507"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4" t="s">
        <v>2951</v>
      </c>
      <c r="B49" s="2888" t="str">
        <f>估价对象房地状况!C18</f>
        <v>估价对象周边道路通达、公共交通通达、停车便捷，综合评价交通便捷度较好</v>
      </c>
      <c r="C49" s="2776"/>
      <c r="D49" s="1290">
        <f t="shared" si="10"/>
        <v>0</v>
      </c>
      <c r="E49" s="823"/>
      <c r="F49" s="2507"/>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4" t="s">
        <v>2952</v>
      </c>
      <c r="B50" s="2888" t="str">
        <f>估价对象房地状况!C19</f>
        <v>较一致</v>
      </c>
      <c r="C50" s="2776"/>
      <c r="D50" s="1290">
        <f t="shared" si="10"/>
        <v>0</v>
      </c>
      <c r="E50" s="823"/>
      <c r="F50" s="2507"/>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4" t="s">
        <v>2953</v>
      </c>
      <c r="B51" s="2889" t="s">
        <v>2954</v>
      </c>
      <c r="C51" s="2776"/>
      <c r="D51" s="1290">
        <f t="shared" si="10"/>
        <v>0</v>
      </c>
      <c r="E51" s="823"/>
      <c r="F51" s="2507"/>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4" t="s">
        <v>2955</v>
      </c>
      <c r="B52" s="2888">
        <f>估价对象房地状况!C24</f>
        <v>0</v>
      </c>
      <c r="C52" s="2776"/>
      <c r="D52" s="1290">
        <f t="shared" si="10"/>
        <v>0</v>
      </c>
      <c r="E52" s="823"/>
      <c r="F52" s="2507"/>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4" t="s">
        <v>2956</v>
      </c>
      <c r="B53" s="2890" t="s">
        <v>2957</v>
      </c>
      <c r="C53" s="2776"/>
      <c r="D53" s="1290">
        <f t="shared" si="10"/>
        <v>0</v>
      </c>
      <c r="E53" s="823"/>
      <c r="F53" s="2507"/>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1" t="s">
        <v>2958</v>
      </c>
      <c r="B54" s="1730" t="str">
        <f>估价对象房地状况!C21</f>
        <v>估价对象所在区域公共配套设施齐备</v>
      </c>
      <c r="C54" s="2776"/>
      <c r="D54" s="1290">
        <f t="shared" si="10"/>
        <v>0</v>
      </c>
      <c r="E54" s="823"/>
      <c r="F54" s="2507"/>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1" t="s">
        <v>2959</v>
      </c>
      <c r="B55" s="2888" t="str">
        <f>估价对象房地状况!C22</f>
        <v>估价对象所在区域基础设施水平达七通</v>
      </c>
      <c r="C55" s="2776"/>
      <c r="D55" s="1290">
        <f t="shared" si="10"/>
        <v>0</v>
      </c>
      <c r="E55" s="823"/>
      <c r="F55" s="2507"/>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2" t="s">
        <v>2960</v>
      </c>
      <c r="B56" s="2893" t="str">
        <f>估价对象房地状况!C20</f>
        <v>区域自然环境较好；人文环境较好；综合评价环境状况较好</v>
      </c>
      <c r="C56" s="2776"/>
      <c r="D56" s="1290">
        <f t="shared" si="10"/>
        <v>0</v>
      </c>
      <c r="E56" s="826"/>
      <c r="F56" s="2507"/>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0" t="s">
        <v>2961</v>
      </c>
      <c r="B57" s="2881">
        <f>1+E59</f>
        <v>1</v>
      </c>
      <c r="C57" s="815"/>
      <c r="D57" s="815"/>
      <c r="E57" s="816"/>
      <c r="F57" s="2883"/>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4" t="s">
        <v>2942</v>
      </c>
      <c r="B58" s="1814"/>
      <c r="C58" s="1814" t="s">
        <v>2944</v>
      </c>
      <c r="D58" s="1814" t="s">
        <v>2945</v>
      </c>
      <c r="E58" s="820" t="s">
        <v>2946</v>
      </c>
      <c r="F58" s="2885" t="s">
        <v>2962</v>
      </c>
      <c r="G58" s="1814" t="s">
        <v>754</v>
      </c>
      <c r="H58" s="2886" t="s">
        <v>2948</v>
      </c>
      <c r="I58" s="1814" t="s">
        <v>2949</v>
      </c>
      <c r="J58" s="604" t="s">
        <v>2595</v>
      </c>
      <c r="K58" s="604" t="s">
        <v>2596</v>
      </c>
      <c r="L58" s="604" t="s">
        <v>2597</v>
      </c>
      <c r="M58" s="604" t="s">
        <v>2598</v>
      </c>
      <c r="N58" s="604" t="s">
        <v>2599</v>
      </c>
      <c r="AA58" s="1375"/>
      <c r="AB58" s="1375"/>
      <c r="AC58" s="1375"/>
      <c r="AD58" s="1375"/>
      <c r="AE58" s="1375"/>
      <c r="AF58" s="1375"/>
      <c r="AG58" s="1375"/>
      <c r="AH58" s="1375"/>
      <c r="AI58" s="1375"/>
      <c r="AJ58" s="1375"/>
      <c r="AK58" s="1375"/>
    </row>
    <row r="59" spans="1:37" s="1374" customFormat="1" ht="38.25">
      <c r="A59" s="2884" t="s">
        <v>2963</v>
      </c>
      <c r="B59" s="2887" t="str">
        <f>估价对象房地状况!C17</f>
        <v>估价对象周边办公楼项目较多，入驻率高，办公集聚程度较好</v>
      </c>
      <c r="C59" s="2776"/>
      <c r="D59" s="1290">
        <f t="shared" ref="D59:D67" si="15">SUMIF($J$58:$N$58,C59,J59:N59)</f>
        <v>0</v>
      </c>
      <c r="E59" s="822">
        <f>ROUND(SUM(D59:D67),4)</f>
        <v>0</v>
      </c>
      <c r="F59" s="2507"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4" t="s">
        <v>2951</v>
      </c>
      <c r="B60" s="2888" t="str">
        <f>估价对象房地状况!C18</f>
        <v>估价对象周边道路通达、公共交通通达、停车便捷，综合评价交通便捷度较好</v>
      </c>
      <c r="C60" s="2776"/>
      <c r="D60" s="1290">
        <f t="shared" si="15"/>
        <v>0</v>
      </c>
      <c r="E60" s="823"/>
      <c r="F60" s="2507"/>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4" t="s">
        <v>2952</v>
      </c>
      <c r="B61" s="2888" t="str">
        <f>估价对象房地状况!C19</f>
        <v>较一致</v>
      </c>
      <c r="C61" s="2776"/>
      <c r="D61" s="1290">
        <f t="shared" si="15"/>
        <v>0</v>
      </c>
      <c r="E61" s="823"/>
      <c r="F61" s="2507"/>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4" t="s">
        <v>2953</v>
      </c>
      <c r="B62" s="2889" t="s">
        <v>2954</v>
      </c>
      <c r="C62" s="2776"/>
      <c r="D62" s="1290">
        <f t="shared" si="15"/>
        <v>0</v>
      </c>
      <c r="E62" s="823"/>
      <c r="F62" s="2507"/>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4" t="s">
        <v>2955</v>
      </c>
      <c r="B63" s="2888">
        <f>估价对象房地状况!C24</f>
        <v>0</v>
      </c>
      <c r="C63" s="2776"/>
      <c r="D63" s="1290">
        <f t="shared" si="15"/>
        <v>0</v>
      </c>
      <c r="E63" s="823"/>
      <c r="F63" s="2507"/>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4" t="s">
        <v>2956</v>
      </c>
      <c r="B64" s="2890" t="s">
        <v>2957</v>
      </c>
      <c r="C64" s="2776"/>
      <c r="D64" s="1290">
        <f t="shared" si="15"/>
        <v>0</v>
      </c>
      <c r="E64" s="823"/>
      <c r="F64" s="2507"/>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4" t="s">
        <v>2958</v>
      </c>
      <c r="B65" s="1730" t="str">
        <f>估价对象房地状况!C21</f>
        <v>估价对象所在区域公共配套设施齐备</v>
      </c>
      <c r="C65" s="2776"/>
      <c r="D65" s="1290">
        <f t="shared" si="15"/>
        <v>0</v>
      </c>
      <c r="E65" s="823"/>
      <c r="F65" s="2507"/>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4" t="s">
        <v>2959</v>
      </c>
      <c r="B66" s="1730" t="str">
        <f>估价对象房地状况!C22</f>
        <v>估价对象所在区域基础设施水平达七通</v>
      </c>
      <c r="C66" s="2776"/>
      <c r="D66" s="1290">
        <f t="shared" si="15"/>
        <v>0</v>
      </c>
      <c r="E66" s="823"/>
      <c r="F66" s="2507"/>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2" t="s">
        <v>2960</v>
      </c>
      <c r="B67" s="2894" t="str">
        <f>估价对象房地状况!C20</f>
        <v>区域自然环境较好；人文环境较好；综合评价环境状况较好</v>
      </c>
      <c r="C67" s="2776"/>
      <c r="D67" s="1290">
        <f t="shared" si="15"/>
        <v>0</v>
      </c>
      <c r="E67" s="826"/>
      <c r="F67" s="2507"/>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0" t="s">
        <v>2964</v>
      </c>
      <c r="B68" s="2881">
        <f>1+E70</f>
        <v>1</v>
      </c>
      <c r="C68" s="815"/>
      <c r="D68" s="815"/>
      <c r="E68" s="816"/>
      <c r="F68" s="2883"/>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4" t="s">
        <v>2942</v>
      </c>
      <c r="B69" s="1814"/>
      <c r="C69" s="1814" t="s">
        <v>2944</v>
      </c>
      <c r="D69" s="1814" t="s">
        <v>2945</v>
      </c>
      <c r="E69" s="820" t="s">
        <v>2946</v>
      </c>
      <c r="F69" s="2885" t="s">
        <v>2962</v>
      </c>
      <c r="G69" s="1814" t="s">
        <v>754</v>
      </c>
      <c r="H69" s="2886" t="s">
        <v>2948</v>
      </c>
      <c r="I69" s="1814" t="s">
        <v>2949</v>
      </c>
      <c r="J69" s="604" t="s">
        <v>2595</v>
      </c>
      <c r="K69" s="604" t="s">
        <v>2596</v>
      </c>
      <c r="L69" s="604" t="s">
        <v>2597</v>
      </c>
      <c r="M69" s="604" t="s">
        <v>2598</v>
      </c>
      <c r="N69" s="604" t="s">
        <v>2599</v>
      </c>
      <c r="AA69" s="1375"/>
      <c r="AB69" s="1375"/>
      <c r="AC69" s="1375"/>
      <c r="AD69" s="1375"/>
      <c r="AE69" s="1375"/>
      <c r="AF69" s="1375"/>
      <c r="AG69" s="1375"/>
      <c r="AH69" s="1375"/>
      <c r="AI69" s="1375"/>
      <c r="AJ69" s="1375"/>
      <c r="AK69" s="1375"/>
    </row>
    <row r="70" spans="1:37" s="1374" customFormat="1" ht="51">
      <c r="A70" s="2884" t="s">
        <v>2965</v>
      </c>
      <c r="B70" s="2887" t="str">
        <f>估价对象房地状况!C15</f>
        <v>估价对象周边居住用地比例、居住小区规模和社区发展完善程度，综合评价居住社区成熟度一般</v>
      </c>
      <c r="C70" s="2776"/>
      <c r="D70" s="1290">
        <f t="shared" ref="D70:D78" si="20">SUMIF($J$69:$N$69,C70,J70:N70)</f>
        <v>0</v>
      </c>
      <c r="E70" s="822">
        <f>ROUND(SUM(D70:D78),4)</f>
        <v>0</v>
      </c>
      <c r="F70" s="2507"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4" t="s">
        <v>2951</v>
      </c>
      <c r="B71" s="2888" t="str">
        <f>估价对象房地状况!C18</f>
        <v>估价对象周边道路通达、公共交通通达、停车便捷，综合评价交通便捷度较好</v>
      </c>
      <c r="C71" s="2776"/>
      <c r="D71" s="1290">
        <f t="shared" si="20"/>
        <v>0</v>
      </c>
      <c r="E71" s="827"/>
      <c r="F71" s="2507"/>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4" t="s">
        <v>2952</v>
      </c>
      <c r="B72" s="2888" t="str">
        <f>估价对象房地状况!C19</f>
        <v>较一致</v>
      </c>
      <c r="C72" s="2776"/>
      <c r="D72" s="1290">
        <f t="shared" si="20"/>
        <v>0</v>
      </c>
      <c r="E72" s="827"/>
      <c r="F72" s="2507"/>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4" t="s">
        <v>2966</v>
      </c>
      <c r="B73" s="2888">
        <f>估价对象房地状况!C24</f>
        <v>0</v>
      </c>
      <c r="C73" s="2776"/>
      <c r="D73" s="1290">
        <f t="shared" si="20"/>
        <v>0</v>
      </c>
      <c r="E73" s="827"/>
      <c r="F73" s="2507"/>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4" t="s">
        <v>2958</v>
      </c>
      <c r="B74" s="1730" t="str">
        <f>估价对象房地状况!C21</f>
        <v>估价对象所在区域公共配套设施齐备</v>
      </c>
      <c r="C74" s="2776"/>
      <c r="D74" s="1290">
        <f t="shared" si="20"/>
        <v>0</v>
      </c>
      <c r="E74" s="827"/>
      <c r="F74" s="2507"/>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4" t="s">
        <v>2959</v>
      </c>
      <c r="B75" s="1730" t="str">
        <f>估价对象房地状况!C22</f>
        <v>估价对象所在区域基础设施水平达七通</v>
      </c>
      <c r="C75" s="2776"/>
      <c r="D75" s="1290">
        <f t="shared" si="20"/>
        <v>0</v>
      </c>
      <c r="E75" s="827"/>
      <c r="F75" s="2507"/>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5" customFormat="1" ht="24">
      <c r="A76" s="2884" t="s">
        <v>2956</v>
      </c>
      <c r="B76" s="2890" t="s">
        <v>2957</v>
      </c>
      <c r="C76" s="2776"/>
      <c r="D76" s="1290">
        <f t="shared" si="20"/>
        <v>0</v>
      </c>
      <c r="E76" s="827"/>
      <c r="F76" s="2507"/>
      <c r="G76" s="1288"/>
      <c r="H76" s="1292" t="str">
        <f t="shared" si="21"/>
        <v>——</v>
      </c>
      <c r="I76" s="821">
        <v>0.05</v>
      </c>
      <c r="J76" s="1289">
        <f t="shared" si="22"/>
        <v>0</v>
      </c>
      <c r="K76" s="1289">
        <f t="shared" si="23"/>
        <v>0</v>
      </c>
      <c r="L76" s="1289">
        <v>0</v>
      </c>
      <c r="M76" s="1289">
        <f t="shared" si="24"/>
        <v>0</v>
      </c>
      <c r="N76" s="1289">
        <f t="shared" si="24"/>
        <v>0</v>
      </c>
      <c r="AA76" s="2895"/>
      <c r="AB76" s="1375"/>
      <c r="AC76" s="1375"/>
      <c r="AD76" s="1375"/>
      <c r="AE76" s="1375"/>
      <c r="AF76" s="1375"/>
      <c r="AG76" s="1375"/>
      <c r="AH76" s="2895"/>
      <c r="AI76" s="2895"/>
      <c r="AJ76" s="2895"/>
      <c r="AK76" s="2895"/>
    </row>
    <row r="77" spans="1:37" ht="38.25">
      <c r="A77" s="2884" t="s">
        <v>2960</v>
      </c>
      <c r="B77" s="2887" t="str">
        <f>估价对象房地状况!C20</f>
        <v>区域自然环境较好；人文环境较好；综合评价环境状况较好</v>
      </c>
      <c r="C77" s="2776"/>
      <c r="D77" s="1290">
        <f t="shared" si="20"/>
        <v>0</v>
      </c>
      <c r="E77" s="827"/>
      <c r="F77" s="2507"/>
      <c r="G77" s="1288"/>
      <c r="H77" s="1292" t="str">
        <f t="shared" si="21"/>
        <v>——</v>
      </c>
      <c r="I77" s="821">
        <v>0.15</v>
      </c>
      <c r="J77" s="1289">
        <f t="shared" si="22"/>
        <v>0</v>
      </c>
      <c r="K77" s="1289">
        <f t="shared" si="23"/>
        <v>0</v>
      </c>
      <c r="L77" s="1289">
        <v>0</v>
      </c>
      <c r="M77" s="1289">
        <f t="shared" si="24"/>
        <v>0</v>
      </c>
      <c r="N77" s="1289">
        <f t="shared" si="24"/>
        <v>0</v>
      </c>
      <c r="Z77" s="2726"/>
      <c r="AA77" s="2802"/>
      <c r="AG77" s="1376"/>
      <c r="AK77" s="2802"/>
    </row>
    <row r="78" spans="1:37" ht="24.75" thickBot="1">
      <c r="A78" s="2892" t="s">
        <v>2967</v>
      </c>
      <c r="B78" s="2896"/>
      <c r="C78" s="2776"/>
      <c r="D78" s="1290">
        <f t="shared" si="20"/>
        <v>0</v>
      </c>
      <c r="E78" s="828"/>
      <c r="F78" s="2507"/>
      <c r="G78" s="1288"/>
      <c r="H78" s="1292" t="str">
        <f t="shared" si="21"/>
        <v>——</v>
      </c>
      <c r="I78" s="825">
        <v>0.04</v>
      </c>
      <c r="J78" s="1289">
        <f t="shared" si="22"/>
        <v>0</v>
      </c>
      <c r="K78" s="1289">
        <f t="shared" si="23"/>
        <v>0</v>
      </c>
      <c r="L78" s="1289">
        <v>0</v>
      </c>
      <c r="M78" s="1289">
        <f t="shared" si="24"/>
        <v>0</v>
      </c>
      <c r="N78" s="1289">
        <f t="shared" si="24"/>
        <v>0</v>
      </c>
      <c r="Z78" s="2726"/>
      <c r="AA78" s="2802"/>
      <c r="AG78" s="1376"/>
      <c r="AK78" s="2802"/>
    </row>
    <row r="79" spans="1:37" ht="15">
      <c r="A79" s="2880" t="s">
        <v>2968</v>
      </c>
      <c r="B79" s="2881">
        <f>1+E81</f>
        <v>1</v>
      </c>
      <c r="C79" s="815"/>
      <c r="D79" s="815"/>
      <c r="E79" s="816"/>
      <c r="F79" s="2883"/>
      <c r="G79" s="6"/>
      <c r="H79" s="6"/>
      <c r="I79" s="6"/>
      <c r="J79" s="7"/>
      <c r="K79" s="7"/>
      <c r="L79" s="7"/>
      <c r="M79" s="7"/>
      <c r="N79" s="7"/>
      <c r="Z79" s="2726"/>
      <c r="AA79" s="2802"/>
      <c r="AG79" s="1376"/>
      <c r="AK79" s="2802"/>
    </row>
    <row r="80" spans="1:37" ht="24.75">
      <c r="A80" s="2884" t="s">
        <v>2942</v>
      </c>
      <c r="B80" s="1814"/>
      <c r="C80" s="1814" t="s">
        <v>2944</v>
      </c>
      <c r="D80" s="1814" t="s">
        <v>2945</v>
      </c>
      <c r="E80" s="820" t="s">
        <v>2946</v>
      </c>
      <c r="F80" s="2885" t="s">
        <v>2962</v>
      </c>
      <c r="G80" s="1814" t="s">
        <v>754</v>
      </c>
      <c r="H80" s="2886" t="s">
        <v>2948</v>
      </c>
      <c r="I80" s="1814" t="s">
        <v>2949</v>
      </c>
      <c r="J80" s="604" t="s">
        <v>2595</v>
      </c>
      <c r="K80" s="604" t="s">
        <v>2596</v>
      </c>
      <c r="L80" s="604" t="s">
        <v>2597</v>
      </c>
      <c r="M80" s="604" t="s">
        <v>2598</v>
      </c>
      <c r="N80" s="604" t="s">
        <v>2599</v>
      </c>
      <c r="Z80" s="2726"/>
      <c r="AA80" s="2802"/>
      <c r="AG80" s="1376"/>
      <c r="AK80" s="2802"/>
    </row>
    <row r="81" spans="1:37" ht="38.25">
      <c r="A81" s="2884" t="s">
        <v>2969</v>
      </c>
      <c r="B81" s="2888" t="str">
        <f>估价对象房地状况!G15</f>
        <v>估价对象位于XX开发区，园区建设成熟度XX，产业集聚程度XX</v>
      </c>
      <c r="C81" s="2776"/>
      <c r="D81" s="1290">
        <f t="shared" ref="D81:D88" si="25">SUMIF($J$80:$N$80,C81,J81:N81)</f>
        <v>0</v>
      </c>
      <c r="E81" s="822">
        <f>ROUND(SUM(D81:D88),4)</f>
        <v>0</v>
      </c>
      <c r="F81" s="2507"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6"/>
      <c r="AA81" s="2802"/>
      <c r="AG81" s="1376"/>
      <c r="AK81" s="2802"/>
    </row>
    <row r="82" spans="1:37" ht="51">
      <c r="A82" s="2884" t="s">
        <v>2951</v>
      </c>
      <c r="B82" s="2888" t="str">
        <f>估价对象房地状况!G16</f>
        <v>估价对象周边道路状况、公共交通通达情况、停车便捷程度，综合评价交通便捷度较好</v>
      </c>
      <c r="C82" s="2776"/>
      <c r="D82" s="1290">
        <f t="shared" si="25"/>
        <v>0</v>
      </c>
      <c r="E82" s="827"/>
      <c r="F82" s="2507"/>
      <c r="G82" s="1288"/>
      <c r="H82" s="1292" t="str">
        <f t="shared" si="26"/>
        <v>——</v>
      </c>
      <c r="I82" s="821">
        <v>0.33</v>
      </c>
      <c r="J82" s="1289">
        <f t="shared" si="27"/>
        <v>0</v>
      </c>
      <c r="K82" s="1289">
        <f t="shared" si="28"/>
        <v>0</v>
      </c>
      <c r="L82" s="1289">
        <v>0</v>
      </c>
      <c r="M82" s="1289">
        <f t="shared" si="29"/>
        <v>0</v>
      </c>
      <c r="N82" s="1289">
        <f t="shared" si="29"/>
        <v>0</v>
      </c>
      <c r="Z82" s="2726"/>
      <c r="AA82" s="2802"/>
      <c r="AG82" s="1376"/>
      <c r="AK82" s="2802"/>
    </row>
    <row r="83" spans="1:37" ht="24">
      <c r="A83" s="2884" t="s">
        <v>2952</v>
      </c>
      <c r="B83" s="2888">
        <f>估价对象房地状况!G17</f>
        <v>0</v>
      </c>
      <c r="C83" s="2776"/>
      <c r="D83" s="1290">
        <f t="shared" si="25"/>
        <v>0</v>
      </c>
      <c r="E83" s="827"/>
      <c r="F83" s="2507"/>
      <c r="G83" s="1288"/>
      <c r="H83" s="1292" t="str">
        <f t="shared" si="26"/>
        <v>——</v>
      </c>
      <c r="I83" s="821">
        <v>0.05</v>
      </c>
      <c r="J83" s="1289">
        <f t="shared" si="27"/>
        <v>0</v>
      </c>
      <c r="K83" s="1289">
        <f t="shared" si="28"/>
        <v>0</v>
      </c>
      <c r="L83" s="1289">
        <v>0</v>
      </c>
      <c r="M83" s="1289">
        <f t="shared" si="29"/>
        <v>0</v>
      </c>
      <c r="N83" s="1289">
        <f t="shared" si="29"/>
        <v>0</v>
      </c>
      <c r="Z83" s="2726"/>
      <c r="AA83" s="2802"/>
      <c r="AG83" s="1376"/>
      <c r="AK83" s="2802"/>
    </row>
    <row r="84" spans="1:37" ht="14.25">
      <c r="A84" s="2884" t="s">
        <v>2966</v>
      </c>
      <c r="B84" s="2888">
        <f>估价对象房地状况!G22</f>
        <v>0</v>
      </c>
      <c r="C84" s="2776"/>
      <c r="D84" s="1290">
        <f t="shared" si="25"/>
        <v>0</v>
      </c>
      <c r="E84" s="827"/>
      <c r="F84" s="2507"/>
      <c r="G84" s="1288"/>
      <c r="H84" s="1292" t="str">
        <f t="shared" si="26"/>
        <v>——</v>
      </c>
      <c r="I84" s="821">
        <v>0.04</v>
      </c>
      <c r="J84" s="1289">
        <f t="shared" si="27"/>
        <v>0</v>
      </c>
      <c r="K84" s="1289">
        <f t="shared" si="28"/>
        <v>0</v>
      </c>
      <c r="L84" s="1289">
        <v>0</v>
      </c>
      <c r="M84" s="1289">
        <f t="shared" si="29"/>
        <v>0</v>
      </c>
      <c r="N84" s="1289">
        <f t="shared" si="29"/>
        <v>0</v>
      </c>
      <c r="Z84" s="2726"/>
      <c r="AA84" s="2802"/>
      <c r="AG84" s="1376"/>
      <c r="AK84" s="2802"/>
    </row>
    <row r="85" spans="1:37" ht="25.5">
      <c r="A85" s="2884" t="s">
        <v>2958</v>
      </c>
      <c r="B85" s="1730" t="str">
        <f>估价对象房地状况!G19</f>
        <v>估价对象所在区域公共配套设施齐备情况</v>
      </c>
      <c r="C85" s="2776"/>
      <c r="D85" s="1290">
        <f t="shared" si="25"/>
        <v>0</v>
      </c>
      <c r="E85" s="827"/>
      <c r="F85" s="2507"/>
      <c r="G85" s="1288"/>
      <c r="H85" s="1292" t="str">
        <f t="shared" si="26"/>
        <v>——</v>
      </c>
      <c r="I85" s="821">
        <v>0.06</v>
      </c>
      <c r="J85" s="1289">
        <f t="shared" si="27"/>
        <v>0</v>
      </c>
      <c r="K85" s="1289">
        <f t="shared" si="28"/>
        <v>0</v>
      </c>
      <c r="L85" s="1289">
        <v>0</v>
      </c>
      <c r="M85" s="1289">
        <f t="shared" si="29"/>
        <v>0</v>
      </c>
      <c r="N85" s="1289">
        <f t="shared" si="29"/>
        <v>0</v>
      </c>
      <c r="Z85" s="2726"/>
      <c r="AA85" s="2802"/>
      <c r="AG85" s="1376"/>
      <c r="AK85" s="2802"/>
    </row>
    <row r="86" spans="1:37" ht="25.5">
      <c r="A86" s="2884" t="s">
        <v>2959</v>
      </c>
      <c r="B86" s="1730" t="str">
        <f>估价对象房地状况!G20</f>
        <v>估价对象所在区域基础设施水平</v>
      </c>
      <c r="C86" s="2776"/>
      <c r="D86" s="1290">
        <f t="shared" si="25"/>
        <v>0</v>
      </c>
      <c r="E86" s="827"/>
      <c r="F86" s="2507"/>
      <c r="G86" s="1288"/>
      <c r="H86" s="1292" t="str">
        <f t="shared" si="26"/>
        <v>——</v>
      </c>
      <c r="I86" s="821">
        <v>0.15</v>
      </c>
      <c r="J86" s="1289">
        <f t="shared" si="27"/>
        <v>0</v>
      </c>
      <c r="K86" s="1289">
        <f t="shared" si="28"/>
        <v>0</v>
      </c>
      <c r="L86" s="1289">
        <v>0</v>
      </c>
      <c r="M86" s="1289">
        <f t="shared" si="29"/>
        <v>0</v>
      </c>
      <c r="N86" s="1289">
        <f t="shared" si="29"/>
        <v>0</v>
      </c>
      <c r="Z86" s="2726"/>
      <c r="AA86" s="2802"/>
      <c r="AG86" s="1376"/>
      <c r="AK86" s="2802"/>
    </row>
    <row r="87" spans="1:37" ht="24">
      <c r="A87" s="2884" t="s">
        <v>2956</v>
      </c>
      <c r="B87" s="2890" t="s">
        <v>2970</v>
      </c>
      <c r="C87" s="2776"/>
      <c r="D87" s="1290">
        <f t="shared" si="25"/>
        <v>0</v>
      </c>
      <c r="E87" s="827"/>
      <c r="F87" s="2507"/>
      <c r="G87" s="1288"/>
      <c r="H87" s="1292" t="str">
        <f t="shared" si="26"/>
        <v>——</v>
      </c>
      <c r="I87" s="821">
        <v>0.05</v>
      </c>
      <c r="J87" s="1289">
        <f t="shared" si="27"/>
        <v>0</v>
      </c>
      <c r="K87" s="1289">
        <f t="shared" si="28"/>
        <v>0</v>
      </c>
      <c r="L87" s="1289">
        <v>0</v>
      </c>
      <c r="M87" s="1289">
        <f t="shared" si="29"/>
        <v>0</v>
      </c>
      <c r="N87" s="1289">
        <f t="shared" si="29"/>
        <v>0</v>
      </c>
      <c r="Z87" s="2726"/>
      <c r="AA87" s="2802"/>
      <c r="AG87" s="1376"/>
      <c r="AK87" s="2802"/>
    </row>
    <row r="88" spans="1:37" ht="39" thickBot="1">
      <c r="A88" s="2892" t="s">
        <v>2971</v>
      </c>
      <c r="B88" s="2897" t="str">
        <f>估价对象房地状况!G18</f>
        <v>该园区内是否有污染型企业，绿化情况，卫生条件，整体环境状况判断</v>
      </c>
      <c r="C88" s="2776"/>
      <c r="D88" s="1290">
        <f t="shared" si="25"/>
        <v>0</v>
      </c>
      <c r="E88" s="828"/>
      <c r="F88" s="2507"/>
      <c r="G88" s="1288"/>
      <c r="H88" s="1292" t="str">
        <f t="shared" si="26"/>
        <v>——</v>
      </c>
      <c r="I88" s="825">
        <v>0.06</v>
      </c>
      <c r="J88" s="1289">
        <f t="shared" si="27"/>
        <v>0</v>
      </c>
      <c r="K88" s="1289">
        <f t="shared" si="28"/>
        <v>0</v>
      </c>
      <c r="L88" s="1289">
        <v>0</v>
      </c>
      <c r="M88" s="1289">
        <f t="shared" si="29"/>
        <v>0</v>
      </c>
      <c r="N88" s="1289">
        <f t="shared" si="29"/>
        <v>0</v>
      </c>
      <c r="Z88" s="2726"/>
      <c r="AA88" s="2802"/>
      <c r="AG88" s="1376"/>
      <c r="AK88" s="2802"/>
    </row>
    <row r="90" spans="1:37">
      <c r="A90" s="3260" t="s">
        <v>2972</v>
      </c>
      <c r="B90" s="3260"/>
      <c r="C90" s="3260"/>
      <c r="D90" s="3260"/>
      <c r="E90" s="3260"/>
      <c r="F90" s="3260"/>
      <c r="G90" s="3260"/>
      <c r="H90" s="3260"/>
      <c r="I90" s="3260"/>
      <c r="J90" s="3260"/>
      <c r="K90" s="2898"/>
      <c r="L90" s="2898"/>
      <c r="M90" s="2898"/>
      <c r="N90" s="2898"/>
    </row>
    <row r="91" spans="1:37">
      <c r="A91" s="3262" t="s">
        <v>2973</v>
      </c>
      <c r="B91" s="3262" t="s">
        <v>2974</v>
      </c>
      <c r="C91" s="2852" t="s">
        <v>2975</v>
      </c>
      <c r="D91" s="2853"/>
      <c r="E91" s="2853"/>
      <c r="F91" s="2853"/>
      <c r="G91" s="2853"/>
      <c r="H91" s="2853"/>
      <c r="I91" s="2853"/>
      <c r="J91" s="2899"/>
      <c r="K91" s="2900"/>
      <c r="L91" s="2900"/>
      <c r="M91" s="2900"/>
      <c r="N91" s="2900"/>
    </row>
    <row r="92" spans="1:37">
      <c r="A92" s="3262"/>
      <c r="B92" s="3262"/>
      <c r="C92" s="946" t="s">
        <v>2839</v>
      </c>
      <c r="D92" s="946" t="s">
        <v>2840</v>
      </c>
      <c r="E92" s="946" t="s">
        <v>2841</v>
      </c>
      <c r="F92" s="946" t="s">
        <v>2842</v>
      </c>
      <c r="G92" s="946" t="s">
        <v>2843</v>
      </c>
      <c r="H92" s="946" t="s">
        <v>2844</v>
      </c>
      <c r="I92" s="946" t="s">
        <v>2845</v>
      </c>
      <c r="J92" s="946" t="s">
        <v>2846</v>
      </c>
      <c r="K92" s="946" t="s">
        <v>2847</v>
      </c>
      <c r="L92" s="946" t="s">
        <v>2848</v>
      </c>
      <c r="M92" s="946" t="s">
        <v>2849</v>
      </c>
      <c r="N92" s="946" t="s">
        <v>2850</v>
      </c>
    </row>
    <row r="93" spans="1:37">
      <c r="A93" s="3263" t="s">
        <v>2976</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64"/>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64"/>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64"/>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64"/>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64"/>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64"/>
      <c r="B99" s="2901" t="s">
        <v>2855</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65"/>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3" t="s">
        <v>2977</v>
      </c>
      <c r="B101" s="2905" t="s">
        <v>2978</v>
      </c>
      <c r="C101" s="2906" t="e">
        <f>$G$3</f>
        <v>#DIV/0!</v>
      </c>
      <c r="D101" s="2906" t="e">
        <f t="shared" ref="D101:N101" si="31">$G$3</f>
        <v>#DIV/0!</v>
      </c>
      <c r="E101" s="2906" t="e">
        <f t="shared" si="31"/>
        <v>#DIV/0!</v>
      </c>
      <c r="F101" s="2906" t="e">
        <f t="shared" si="31"/>
        <v>#DIV/0!</v>
      </c>
      <c r="G101" s="2906" t="e">
        <f t="shared" si="31"/>
        <v>#DIV/0!</v>
      </c>
      <c r="H101" s="2906" t="e">
        <f t="shared" si="31"/>
        <v>#DIV/0!</v>
      </c>
      <c r="I101" s="2906" t="e">
        <f t="shared" si="31"/>
        <v>#DIV/0!</v>
      </c>
      <c r="J101" s="2906" t="e">
        <f t="shared" si="31"/>
        <v>#DIV/0!</v>
      </c>
      <c r="K101" s="2906" t="e">
        <f t="shared" si="31"/>
        <v>#DIV/0!</v>
      </c>
      <c r="L101" s="2906" t="e">
        <f t="shared" si="31"/>
        <v>#DIV/0!</v>
      </c>
      <c r="M101" s="2906" t="e">
        <f t="shared" si="31"/>
        <v>#DIV/0!</v>
      </c>
      <c r="N101" s="2906" t="e">
        <f t="shared" si="31"/>
        <v>#DIV/0!</v>
      </c>
    </row>
    <row r="102" spans="1:14">
      <c r="A102" s="3264"/>
      <c r="B102" s="2901">
        <v>1</v>
      </c>
      <c r="C102" s="2902" t="e">
        <f>1.9362/C101</f>
        <v>#DIV/0!</v>
      </c>
      <c r="D102" s="2902" t="e">
        <f>1.9362/D101</f>
        <v>#DIV/0!</v>
      </c>
      <c r="E102" s="2902" t="e">
        <f>1.8629/E101</f>
        <v>#DIV/0!</v>
      </c>
      <c r="F102" s="2902" t="e">
        <f>1.8629/F101</f>
        <v>#DIV/0!</v>
      </c>
      <c r="G102" s="2902" t="e">
        <f>1.8629/G101</f>
        <v>#DIV/0!</v>
      </c>
      <c r="H102" s="2902" t="e">
        <f>1.8629/H101</f>
        <v>#DIV/0!</v>
      </c>
      <c r="I102" s="2902" t="e">
        <f>1.8629/I101</f>
        <v>#DIV/0!</v>
      </c>
      <c r="J102" s="2902" t="e">
        <f>1.942/J101</f>
        <v>#DIV/0!</v>
      </c>
      <c r="K102" s="2902" t="e">
        <f>1.942/K101</f>
        <v>#DIV/0!</v>
      </c>
      <c r="L102" s="2902" t="e">
        <f>1.942/L101</f>
        <v>#DIV/0!</v>
      </c>
      <c r="M102" s="2902" t="e">
        <f>1.942/M101</f>
        <v>#DIV/0!</v>
      </c>
      <c r="N102" s="2902" t="e">
        <f>1.942/N101</f>
        <v>#DIV/0!</v>
      </c>
    </row>
    <row r="103" spans="1:14">
      <c r="A103" s="3264"/>
      <c r="B103" s="2901">
        <v>2</v>
      </c>
      <c r="C103" s="2902" t="e">
        <f>1.4198/C101</f>
        <v>#DIV/0!</v>
      </c>
      <c r="D103" s="2902" t="e">
        <f>1.4198/D101</f>
        <v>#DIV/0!</v>
      </c>
      <c r="E103" s="2902" t="e">
        <f>1.3372/E101</f>
        <v>#DIV/0!</v>
      </c>
      <c r="F103" s="2902" t="e">
        <f>1.3372/F101</f>
        <v>#DIV/0!</v>
      </c>
      <c r="G103" s="2902" t="e">
        <f>1.3372/G101</f>
        <v>#DIV/0!</v>
      </c>
      <c r="H103" s="2902" t="e">
        <f>1.3372/H101</f>
        <v>#DIV/0!</v>
      </c>
      <c r="I103" s="2902" t="e">
        <f>1.3372/I101</f>
        <v>#DIV/0!</v>
      </c>
      <c r="J103" s="2902" t="e">
        <f>1.2799/J101</f>
        <v>#DIV/0!</v>
      </c>
      <c r="K103" s="2902" t="e">
        <f>1.2799/K101</f>
        <v>#DIV/0!</v>
      </c>
      <c r="L103" s="2902" t="e">
        <f>1.2799/L101</f>
        <v>#DIV/0!</v>
      </c>
      <c r="M103" s="2902" t="e">
        <f>1.2799/M101</f>
        <v>#DIV/0!</v>
      </c>
      <c r="N103" s="2902" t="e">
        <f>1.2799/N101</f>
        <v>#DIV/0!</v>
      </c>
    </row>
    <row r="104" spans="1:14">
      <c r="A104" s="3264"/>
      <c r="B104" s="2901">
        <v>3</v>
      </c>
      <c r="C104" s="2902" t="e">
        <f>1.1594/C101</f>
        <v>#DIV/0!</v>
      </c>
      <c r="D104" s="2902" t="e">
        <f>1.1594/D101</f>
        <v>#DIV/0!</v>
      </c>
      <c r="E104" s="2902" t="e">
        <f>1.0788/E101</f>
        <v>#DIV/0!</v>
      </c>
      <c r="F104" s="2902" t="e">
        <f>1.0788/F101</f>
        <v>#DIV/0!</v>
      </c>
      <c r="G104" s="2902" t="e">
        <f>1.0788/G101</f>
        <v>#DIV/0!</v>
      </c>
      <c r="H104" s="2902" t="e">
        <f>1.0788/H101</f>
        <v>#DIV/0!</v>
      </c>
      <c r="I104" s="2902" t="e">
        <f>1.0788/I101</f>
        <v>#DIV/0!</v>
      </c>
      <c r="J104" s="2902" t="e">
        <f>1.0072/J101</f>
        <v>#DIV/0!</v>
      </c>
      <c r="K104" s="2902" t="e">
        <f>1.0072/K101</f>
        <v>#DIV/0!</v>
      </c>
      <c r="L104" s="2902" t="e">
        <f>1.0072/L101</f>
        <v>#DIV/0!</v>
      </c>
      <c r="M104" s="2902" t="e">
        <f>1.0072/M101</f>
        <v>#DIV/0!</v>
      </c>
      <c r="N104" s="2902" t="e">
        <f>1.0072/N101</f>
        <v>#DIV/0!</v>
      </c>
    </row>
    <row r="105" spans="1:14">
      <c r="A105" s="3264"/>
      <c r="B105" s="2901">
        <v>4</v>
      </c>
      <c r="C105" s="2902" t="e">
        <f>0.9622/C101</f>
        <v>#DIV/0!</v>
      </c>
      <c r="D105" s="2902" t="e">
        <f>0.9622/D101</f>
        <v>#DIV/0!</v>
      </c>
      <c r="E105" s="2902" t="e">
        <f>0.8656/E101</f>
        <v>#DIV/0!</v>
      </c>
      <c r="F105" s="2902" t="e">
        <f>0.8656/F101</f>
        <v>#DIV/0!</v>
      </c>
      <c r="G105" s="2902" t="e">
        <f>0.8656/G101</f>
        <v>#DIV/0!</v>
      </c>
      <c r="H105" s="2902" t="e">
        <f>0.8656/H101</f>
        <v>#DIV/0!</v>
      </c>
      <c r="I105" s="2902" t="e">
        <f>0.8656/I101</f>
        <v>#DIV/0!</v>
      </c>
      <c r="J105" s="2902" t="e">
        <f>0.7525/J101</f>
        <v>#DIV/0!</v>
      </c>
      <c r="K105" s="2902" t="e">
        <f>0.7525/K101</f>
        <v>#DIV/0!</v>
      </c>
      <c r="L105" s="2902" t="e">
        <f>0.7525/L101</f>
        <v>#DIV/0!</v>
      </c>
      <c r="M105" s="2902" t="e">
        <f>0.7525/M101</f>
        <v>#DIV/0!</v>
      </c>
      <c r="N105" s="2902" t="e">
        <f>0.7525/N101</f>
        <v>#DIV/0!</v>
      </c>
    </row>
    <row r="106" spans="1:14">
      <c r="A106" s="3264"/>
      <c r="B106" s="2901">
        <v>5</v>
      </c>
      <c r="C106" s="2902" t="e">
        <f>0.8417/C101</f>
        <v>#DIV/0!</v>
      </c>
      <c r="D106" s="2902" t="e">
        <f>0.8417/D101</f>
        <v>#DIV/0!</v>
      </c>
      <c r="E106" s="2902" t="e">
        <f>0.7371/E101</f>
        <v>#DIV/0!</v>
      </c>
      <c r="F106" s="2902" t="e">
        <f>0.7371/F101</f>
        <v>#DIV/0!</v>
      </c>
      <c r="G106" s="2902" t="e">
        <f>0.7371/G101</f>
        <v>#DIV/0!</v>
      </c>
      <c r="H106" s="2902" t="e">
        <f>0.7371/H101</f>
        <v>#DIV/0!</v>
      </c>
      <c r="I106" s="2902" t="e">
        <f>0.7371/I101</f>
        <v>#DIV/0!</v>
      </c>
      <c r="J106" s="2902" t="e">
        <f>0.5659/J101</f>
        <v>#DIV/0!</v>
      </c>
      <c r="K106" s="2902" t="e">
        <f>0.5659/K101</f>
        <v>#DIV/0!</v>
      </c>
      <c r="L106" s="2902" t="e">
        <f>0.5659/L101</f>
        <v>#DIV/0!</v>
      </c>
      <c r="M106" s="2902" t="e">
        <f>0.5659/M101</f>
        <v>#DIV/0!</v>
      </c>
      <c r="N106" s="2902" t="e">
        <f>0.5659/N101</f>
        <v>#DIV/0!</v>
      </c>
    </row>
    <row r="107" spans="1:14">
      <c r="A107" s="3264"/>
      <c r="B107" s="2901">
        <v>6</v>
      </c>
      <c r="C107" s="2902" t="e">
        <f>0.7608/C101</f>
        <v>#DIV/0!</v>
      </c>
      <c r="D107" s="2902" t="e">
        <f>0.7608/D101</f>
        <v>#DIV/0!</v>
      </c>
      <c r="E107" s="2902" t="e">
        <f>0.6482/E101</f>
        <v>#DIV/0!</v>
      </c>
      <c r="F107" s="2902" t="e">
        <f>0.6482/F101</f>
        <v>#DIV/0!</v>
      </c>
      <c r="G107" s="2902" t="e">
        <f>0.6482/G101</f>
        <v>#DIV/0!</v>
      </c>
      <c r="H107" s="2902" t="e">
        <f>0.6482/H101</f>
        <v>#DIV/0!</v>
      </c>
      <c r="I107" s="2902" t="e">
        <f>0.6482/I101</f>
        <v>#DIV/0!</v>
      </c>
      <c r="J107" s="2902" t="e">
        <f>0.4525/J101</f>
        <v>#DIV/0!</v>
      </c>
      <c r="K107" s="2902" t="e">
        <f>0.4525/K101</f>
        <v>#DIV/0!</v>
      </c>
      <c r="L107" s="2902" t="e">
        <f>0.4525/L101</f>
        <v>#DIV/0!</v>
      </c>
      <c r="M107" s="2902" t="e">
        <f>0.4525/M101</f>
        <v>#DIV/0!</v>
      </c>
      <c r="N107" s="2902" t="e">
        <f>0.4525/N101</f>
        <v>#DIV/0!</v>
      </c>
    </row>
    <row r="108" spans="1:14">
      <c r="A108" s="3264"/>
      <c r="B108" s="3120" t="s">
        <v>2979</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65"/>
      <c r="B109" s="3121"/>
      <c r="C109" s="2904" t="e">
        <f>(-0.163*(C108^2)-0.59*C108+7617)*(10^(-4))/C101</f>
        <v>#DIV/0!</v>
      </c>
      <c r="D109" s="2904" t="e">
        <f>(-0.163*(D108^2)-0.59*D108+7617)*(10^(-4))/D101</f>
        <v>#DIV/0!</v>
      </c>
      <c r="E109" s="2904" t="e">
        <f>(-0.161*(E108^2)-7.509*E108+6533)*(10^(-4))/E101</f>
        <v>#DIV/0!</v>
      </c>
      <c r="F109" s="2904" t="e">
        <f>(-0.161*(F108^2)-7.509*F108+6533)*(10^(-4))/F101</f>
        <v>#DIV/0!</v>
      </c>
      <c r="G109" s="2904" t="e">
        <f>(-0.161*(G108^2)-7.509*G108+6533)*(10^(-4))/G101</f>
        <v>#DIV/0!</v>
      </c>
      <c r="H109" s="2904" t="e">
        <f>(-0.161*(H108^2)-7.509*H108+6533)*(10^(-4))/H101</f>
        <v>#DIV/0!</v>
      </c>
      <c r="I109" s="2904" t="e">
        <f>(-0.161*(I108^2)-7.509*I108+6533)*(10^(-4))/I101</f>
        <v>#DIV/0!</v>
      </c>
      <c r="J109" s="2904" t="e">
        <f>(-0.214*(J108^2)-21.991*J108+4665)*(10^(-4))/J101</f>
        <v>#DIV/0!</v>
      </c>
      <c r="K109" s="2904" t="e">
        <f>(-0.214*(K108^2)-21.991*K108+4665)*(10^(-4))/K101</f>
        <v>#DIV/0!</v>
      </c>
      <c r="L109" s="2904" t="e">
        <f>(-0.214*(L108^2)-21.991*L108+4665)*(10^(-4))/L101</f>
        <v>#DIV/0!</v>
      </c>
      <c r="M109" s="2904" t="e">
        <f>(-0.214*(M108^2)-21.991*M108+4665)*(10^(-4))/M101</f>
        <v>#DIV/0!</v>
      </c>
      <c r="N109" s="2904" t="e">
        <f>(-0.214*(N108^2)-21.991*N108+4665)*(10^(-4))/N101</f>
        <v>#DIV/0!</v>
      </c>
    </row>
    <row r="110" spans="1:14">
      <c r="A110" s="3261" t="s">
        <v>2980</v>
      </c>
      <c r="B110" s="3261"/>
      <c r="C110" s="3261"/>
      <c r="D110" s="3261"/>
      <c r="E110" s="3261"/>
      <c r="F110" s="3261"/>
      <c r="G110" s="3261"/>
      <c r="H110" s="3261"/>
      <c r="I110" s="3261"/>
      <c r="J110" s="3261"/>
      <c r="K110" s="2907"/>
      <c r="L110" s="2907"/>
      <c r="M110" s="2907"/>
      <c r="N110" s="2907"/>
    </row>
    <row r="112" spans="1:14" ht="13.5" thickBot="1"/>
    <row r="113" spans="1:13" ht="25.5" thickBot="1">
      <c r="A113" s="904" t="s">
        <v>2981</v>
      </c>
      <c r="B113" s="1291" t="e">
        <f>G3</f>
        <v>#DIV/0!</v>
      </c>
      <c r="C113" s="905" t="s">
        <v>2982</v>
      </c>
      <c r="D113" s="906" t="e">
        <f>SUMPRODUCT((A115:A118=F113)*(B114:M114=H113)*B115:M118)</f>
        <v>#DIV/0!</v>
      </c>
      <c r="E113" s="2730" t="s">
        <v>2812</v>
      </c>
      <c r="F113" s="2909">
        <f>E2</f>
        <v>0</v>
      </c>
      <c r="G113" s="2730" t="s">
        <v>2813</v>
      </c>
      <c r="H113" s="2909">
        <f>G2</f>
        <v>0</v>
      </c>
      <c r="I113" s="2730"/>
      <c r="J113" s="2910"/>
      <c r="K113" s="2910"/>
      <c r="L113" s="2910"/>
      <c r="M113" s="2910"/>
    </row>
    <row r="114" spans="1:13">
      <c r="A114" s="909"/>
      <c r="B114" s="2911" t="s">
        <v>2983</v>
      </c>
      <c r="C114" s="2911" t="s">
        <v>2984</v>
      </c>
      <c r="D114" s="2911" t="s">
        <v>2985</v>
      </c>
      <c r="E114" s="2912" t="s">
        <v>2986</v>
      </c>
      <c r="F114" s="2912" t="s">
        <v>2987</v>
      </c>
      <c r="G114" s="2912" t="s">
        <v>2988</v>
      </c>
      <c r="H114" s="2913" t="s">
        <v>2989</v>
      </c>
      <c r="I114" s="2913" t="s">
        <v>2990</v>
      </c>
      <c r="J114" s="2914" t="s">
        <v>2991</v>
      </c>
      <c r="K114" s="2914" t="s">
        <v>2992</v>
      </c>
      <c r="L114" s="2914" t="s">
        <v>2993</v>
      </c>
      <c r="M114" s="2915" t="s">
        <v>2994</v>
      </c>
    </row>
    <row r="115" spans="1:13">
      <c r="A115" s="910" t="s">
        <v>2877</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2878</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2879</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2880</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69" t="s">
        <v>183</v>
      </c>
      <c r="B18" s="883" t="s">
        <v>560</v>
      </c>
      <c r="C18" s="884" t="s">
        <v>561</v>
      </c>
      <c r="D18" s="885"/>
      <c r="E18" s="883">
        <v>1</v>
      </c>
      <c r="F18" s="886" t="s">
        <v>562</v>
      </c>
      <c r="G18" s="887"/>
      <c r="H18" s="879"/>
      <c r="I18" s="879"/>
    </row>
    <row r="19" spans="1:9" s="888" customFormat="1" ht="19.5" customHeight="1">
      <c r="A19" s="3269"/>
      <c r="B19" s="3269" t="s">
        <v>563</v>
      </c>
      <c r="C19" s="884" t="s">
        <v>564</v>
      </c>
      <c r="D19" s="885"/>
      <c r="E19" s="883">
        <v>0.9</v>
      </c>
      <c r="F19" s="886" t="s">
        <v>565</v>
      </c>
      <c r="G19" s="887"/>
      <c r="H19" s="879"/>
      <c r="I19" s="879"/>
    </row>
    <row r="20" spans="1:9" s="888" customFormat="1" ht="19.5" customHeight="1">
      <c r="A20" s="3269"/>
      <c r="B20" s="3269"/>
      <c r="C20" s="884" t="s">
        <v>566</v>
      </c>
      <c r="D20" s="885"/>
      <c r="E20" s="883">
        <v>1.1000000000000001</v>
      </c>
      <c r="F20" s="886" t="s">
        <v>567</v>
      </c>
      <c r="G20" s="887"/>
      <c r="H20" s="879"/>
      <c r="I20" s="879"/>
    </row>
    <row r="21" spans="1:9" s="888" customFormat="1" ht="19.5" customHeight="1">
      <c r="A21" s="3269"/>
      <c r="B21" s="3269"/>
      <c r="C21" s="884" t="s">
        <v>568</v>
      </c>
      <c r="D21" s="885"/>
      <c r="E21" s="883">
        <v>0.8</v>
      </c>
      <c r="F21" s="886" t="s">
        <v>569</v>
      </c>
      <c r="G21" s="887"/>
      <c r="H21" s="879"/>
      <c r="I21" s="879"/>
    </row>
    <row r="22" spans="1:9" s="888" customFormat="1" ht="19.5" customHeight="1">
      <c r="A22" s="3269"/>
      <c r="B22" s="3269"/>
      <c r="C22" s="884" t="s">
        <v>570</v>
      </c>
      <c r="D22" s="885"/>
      <c r="E22" s="883">
        <v>0.5</v>
      </c>
      <c r="F22" s="886"/>
      <c r="G22" s="887"/>
      <c r="H22" s="879"/>
      <c r="I22" s="879"/>
    </row>
    <row r="23" spans="1:9" s="888" customFormat="1" ht="19.5" customHeight="1">
      <c r="A23" s="3269" t="s">
        <v>184</v>
      </c>
      <c r="B23" s="883" t="s">
        <v>560</v>
      </c>
      <c r="C23" s="884" t="s">
        <v>571</v>
      </c>
      <c r="D23" s="885"/>
      <c r="E23" s="883">
        <v>1</v>
      </c>
      <c r="F23" s="886" t="s">
        <v>572</v>
      </c>
      <c r="G23" s="887"/>
      <c r="H23" s="879"/>
      <c r="I23" s="879"/>
    </row>
    <row r="24" spans="1:9" s="888" customFormat="1" ht="19.5" customHeight="1">
      <c r="A24" s="3269"/>
      <c r="B24" s="3269" t="s">
        <v>563</v>
      </c>
      <c r="C24" s="884" t="s">
        <v>573</v>
      </c>
      <c r="D24" s="885"/>
      <c r="E24" s="883">
        <v>0.5</v>
      </c>
      <c r="F24" s="886"/>
      <c r="G24" s="887"/>
      <c r="H24" s="879"/>
      <c r="I24" s="879"/>
    </row>
    <row r="25" spans="1:9" s="888" customFormat="1" ht="19.5" customHeight="1">
      <c r="A25" s="3269"/>
      <c r="B25" s="3269"/>
      <c r="C25" s="884" t="s">
        <v>574</v>
      </c>
      <c r="D25" s="885"/>
      <c r="E25" s="883">
        <v>1.1000000000000001</v>
      </c>
      <c r="F25" s="886"/>
      <c r="G25" s="887"/>
      <c r="H25" s="879"/>
      <c r="I25" s="879"/>
    </row>
    <row r="26" spans="1:9" s="888" customFormat="1" ht="19.5" customHeight="1">
      <c r="A26" s="3269"/>
      <c r="B26" s="3269"/>
      <c r="C26" s="884" t="s">
        <v>575</v>
      </c>
      <c r="D26" s="885"/>
      <c r="E26" s="883">
        <v>1.1000000000000001</v>
      </c>
      <c r="F26" s="886"/>
      <c r="G26" s="887"/>
      <c r="H26" s="879"/>
      <c r="I26" s="879"/>
    </row>
    <row r="27" spans="1:9" s="888" customFormat="1" ht="19.5" customHeight="1">
      <c r="A27" s="3269"/>
      <c r="B27" s="3269"/>
      <c r="C27" s="884" t="s">
        <v>576</v>
      </c>
      <c r="D27" s="885"/>
      <c r="E27" s="883">
        <v>0.9</v>
      </c>
      <c r="F27" s="886" t="s">
        <v>577</v>
      </c>
      <c r="G27" s="887"/>
      <c r="H27" s="879"/>
      <c r="I27" s="879"/>
    </row>
    <row r="28" spans="1:9" s="888" customFormat="1" ht="19.5" customHeight="1">
      <c r="A28" s="3269"/>
      <c r="B28" s="3269"/>
      <c r="C28" s="884" t="s">
        <v>578</v>
      </c>
      <c r="D28" s="885"/>
      <c r="E28" s="883">
        <v>0.9</v>
      </c>
      <c r="F28" s="886" t="s">
        <v>579</v>
      </c>
      <c r="G28" s="887"/>
      <c r="H28" s="879"/>
      <c r="I28" s="879"/>
    </row>
    <row r="29" spans="1:9" s="888" customFormat="1" ht="19.5" customHeight="1">
      <c r="A29" s="3269"/>
      <c r="B29" s="3269"/>
      <c r="C29" s="884" t="s">
        <v>580</v>
      </c>
      <c r="D29" s="885"/>
      <c r="E29" s="883">
        <v>0.9</v>
      </c>
      <c r="F29" s="886" t="s">
        <v>581</v>
      </c>
      <c r="G29" s="887"/>
      <c r="H29" s="879"/>
      <c r="I29" s="879"/>
    </row>
    <row r="30" spans="1:9" s="888" customFormat="1" ht="19.5" customHeight="1">
      <c r="A30" s="3269"/>
      <c r="B30" s="3269"/>
      <c r="C30" s="884" t="s">
        <v>582</v>
      </c>
      <c r="D30" s="885"/>
      <c r="E30" s="883">
        <v>0.9</v>
      </c>
      <c r="F30" s="886" t="s">
        <v>583</v>
      </c>
      <c r="G30" s="887"/>
      <c r="H30" s="879"/>
      <c r="I30" s="879"/>
    </row>
    <row r="31" spans="1:9" s="888" customFormat="1" ht="19.5" customHeight="1">
      <c r="A31" s="3269"/>
      <c r="B31" s="3269"/>
      <c r="C31" s="884" t="s">
        <v>584</v>
      </c>
      <c r="D31" s="885"/>
      <c r="E31" s="883">
        <v>0.8</v>
      </c>
      <c r="F31" s="886" t="s">
        <v>585</v>
      </c>
      <c r="G31" s="887"/>
      <c r="H31" s="879"/>
      <c r="I31" s="879"/>
    </row>
    <row r="32" spans="1:9" s="888" customFormat="1" ht="19.5" customHeight="1">
      <c r="A32" s="3269"/>
      <c r="B32" s="3269"/>
      <c r="C32" s="884" t="s">
        <v>586</v>
      </c>
      <c r="D32" s="885"/>
      <c r="E32" s="883">
        <v>0.8</v>
      </c>
      <c r="F32" s="886" t="s">
        <v>587</v>
      </c>
      <c r="G32" s="887"/>
      <c r="H32" s="879"/>
      <c r="I32" s="879"/>
    </row>
    <row r="33" spans="1:9" s="888" customFormat="1" ht="19.5" customHeight="1">
      <c r="A33" s="3269" t="s">
        <v>185</v>
      </c>
      <c r="B33" s="883" t="s">
        <v>560</v>
      </c>
      <c r="C33" s="884" t="s">
        <v>588</v>
      </c>
      <c r="D33" s="885"/>
      <c r="E33" s="883">
        <v>1</v>
      </c>
      <c r="F33" s="886" t="s">
        <v>589</v>
      </c>
      <c r="G33" s="887"/>
      <c r="H33" s="879"/>
      <c r="I33" s="879"/>
    </row>
    <row r="34" spans="1:9" s="888" customFormat="1" ht="19.5" customHeight="1">
      <c r="A34" s="3269"/>
      <c r="B34" s="883" t="s">
        <v>563</v>
      </c>
      <c r="C34" s="884" t="s">
        <v>590</v>
      </c>
      <c r="D34" s="885"/>
      <c r="E34" s="883">
        <v>1.5</v>
      </c>
      <c r="F34" s="886" t="s">
        <v>591</v>
      </c>
      <c r="G34" s="887"/>
      <c r="H34" s="879"/>
      <c r="I34" s="879"/>
    </row>
    <row r="35" spans="1:9" s="888" customFormat="1" ht="19.5" customHeight="1">
      <c r="A35" s="3269" t="s">
        <v>186</v>
      </c>
      <c r="B35" s="883" t="s">
        <v>560</v>
      </c>
      <c r="C35" s="884" t="s">
        <v>592</v>
      </c>
      <c r="D35" s="885"/>
      <c r="E35" s="883">
        <v>1</v>
      </c>
      <c r="F35" s="886" t="s">
        <v>593</v>
      </c>
      <c r="G35" s="887"/>
      <c r="H35" s="879"/>
      <c r="I35" s="879"/>
    </row>
    <row r="36" spans="1:9" s="888" customFormat="1" ht="19.5" customHeight="1">
      <c r="A36" s="3269"/>
      <c r="B36" s="3269" t="s">
        <v>563</v>
      </c>
      <c r="C36" s="884" t="s">
        <v>594</v>
      </c>
      <c r="D36" s="885"/>
      <c r="E36" s="883">
        <v>1</v>
      </c>
      <c r="F36" s="886" t="s">
        <v>595</v>
      </c>
      <c r="G36" s="887"/>
      <c r="H36" s="879"/>
      <c r="I36" s="879"/>
    </row>
    <row r="37" spans="1:9" s="888" customFormat="1" ht="19.5" customHeight="1">
      <c r="A37" s="3269"/>
      <c r="B37" s="3269"/>
      <c r="C37" s="884" t="s">
        <v>596</v>
      </c>
      <c r="D37" s="885"/>
      <c r="E37" s="883">
        <v>1.5</v>
      </c>
      <c r="F37" s="886" t="s">
        <v>597</v>
      </c>
      <c r="G37" s="887"/>
      <c r="H37" s="879"/>
      <c r="I37" s="879"/>
    </row>
    <row r="38" spans="1:9" s="888" customFormat="1" ht="19.5" customHeight="1">
      <c r="A38" s="3269"/>
      <c r="B38" s="3269"/>
      <c r="C38" s="884" t="s">
        <v>598</v>
      </c>
      <c r="D38" s="885"/>
      <c r="E38" s="883">
        <v>1</v>
      </c>
      <c r="F38" s="886" t="s">
        <v>599</v>
      </c>
      <c r="G38" s="887"/>
      <c r="H38" s="879"/>
      <c r="I38" s="879"/>
    </row>
    <row r="39" spans="1:9" s="888" customFormat="1" ht="19.5" customHeight="1">
      <c r="A39" s="3269"/>
      <c r="B39" s="3269"/>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69" t="s">
        <v>614</v>
      </c>
      <c r="C61" s="819" t="s">
        <v>615</v>
      </c>
      <c r="D61" s="819" t="s">
        <v>616</v>
      </c>
      <c r="E61" s="896">
        <v>0.5</v>
      </c>
      <c r="F61" s="883">
        <v>80</v>
      </c>
    </row>
    <row r="62" spans="1:8" s="879" customFormat="1" ht="24">
      <c r="A62" s="883">
        <v>2</v>
      </c>
      <c r="B62" s="3269"/>
      <c r="C62" s="819" t="s">
        <v>617</v>
      </c>
      <c r="D62" s="819" t="s">
        <v>618</v>
      </c>
      <c r="E62" s="896">
        <v>0.5</v>
      </c>
      <c r="F62" s="883">
        <v>80</v>
      </c>
    </row>
    <row r="63" spans="1:8" s="879" customFormat="1" ht="36">
      <c r="A63" s="883">
        <v>3</v>
      </c>
      <c r="B63" s="3269"/>
      <c r="C63" s="819" t="s">
        <v>619</v>
      </c>
      <c r="D63" s="819" t="s">
        <v>620</v>
      </c>
      <c r="E63" s="896">
        <v>0.5</v>
      </c>
      <c r="F63" s="883">
        <v>80</v>
      </c>
    </row>
    <row r="64" spans="1:8" s="879" customFormat="1" ht="36">
      <c r="A64" s="883">
        <v>4</v>
      </c>
      <c r="B64" s="3269"/>
      <c r="C64" s="819" t="s">
        <v>621</v>
      </c>
      <c r="D64" s="819" t="s">
        <v>622</v>
      </c>
      <c r="E64" s="896">
        <v>0.4</v>
      </c>
      <c r="F64" s="883">
        <v>60</v>
      </c>
    </row>
    <row r="65" spans="1:6" s="879" customFormat="1" ht="36">
      <c r="A65" s="883">
        <v>5</v>
      </c>
      <c r="B65" s="3269"/>
      <c r="C65" s="819" t="s">
        <v>623</v>
      </c>
      <c r="D65" s="819" t="s">
        <v>624</v>
      </c>
      <c r="E65" s="896">
        <v>0.2</v>
      </c>
      <c r="F65" s="883">
        <v>30</v>
      </c>
    </row>
    <row r="66" spans="1:6" s="879" customFormat="1" ht="36">
      <c r="A66" s="883">
        <v>6</v>
      </c>
      <c r="B66" s="3269"/>
      <c r="C66" s="819" t="s">
        <v>625</v>
      </c>
      <c r="D66" s="819" t="s">
        <v>626</v>
      </c>
      <c r="E66" s="896">
        <v>0.3</v>
      </c>
      <c r="F66" s="883">
        <v>50</v>
      </c>
    </row>
    <row r="67" spans="1:6" s="879" customFormat="1" ht="36">
      <c r="A67" s="883">
        <v>7</v>
      </c>
      <c r="B67" s="3269"/>
      <c r="C67" s="819" t="s">
        <v>627</v>
      </c>
      <c r="D67" s="819" t="s">
        <v>628</v>
      </c>
      <c r="E67" s="896">
        <v>0.2</v>
      </c>
      <c r="F67" s="883">
        <v>30</v>
      </c>
    </row>
    <row r="68" spans="1:6" s="879" customFormat="1" ht="36">
      <c r="A68" s="883">
        <v>8</v>
      </c>
      <c r="B68" s="3269"/>
      <c r="C68" s="819" t="s">
        <v>629</v>
      </c>
      <c r="D68" s="819" t="s">
        <v>630</v>
      </c>
      <c r="E68" s="896">
        <v>0.2</v>
      </c>
      <c r="F68" s="883">
        <v>30</v>
      </c>
    </row>
    <row r="69" spans="1:6" s="879" customFormat="1" ht="36">
      <c r="A69" s="883">
        <v>9</v>
      </c>
      <c r="B69" s="3269"/>
      <c r="C69" s="819" t="s">
        <v>631</v>
      </c>
      <c r="D69" s="819" t="s">
        <v>632</v>
      </c>
      <c r="E69" s="896">
        <v>0.2</v>
      </c>
      <c r="F69" s="883">
        <v>30</v>
      </c>
    </row>
    <row r="70" spans="1:6" s="879" customFormat="1" ht="48">
      <c r="A70" s="883">
        <v>10</v>
      </c>
      <c r="B70" s="3269"/>
      <c r="C70" s="819" t="s">
        <v>633</v>
      </c>
      <c r="D70" s="819" t="s">
        <v>634</v>
      </c>
      <c r="E70" s="896">
        <v>0.2</v>
      </c>
      <c r="F70" s="883">
        <v>30</v>
      </c>
    </row>
    <row r="71" spans="1:6" s="879" customFormat="1" ht="48">
      <c r="A71" s="883">
        <v>11</v>
      </c>
      <c r="B71" s="3269"/>
      <c r="C71" s="819" t="s">
        <v>635</v>
      </c>
      <c r="D71" s="819" t="s">
        <v>636</v>
      </c>
      <c r="E71" s="896">
        <v>0.2</v>
      </c>
      <c r="F71" s="883">
        <v>30</v>
      </c>
    </row>
    <row r="72" spans="1:6" s="879" customFormat="1" ht="36">
      <c r="A72" s="883">
        <v>12</v>
      </c>
      <c r="B72" s="3269"/>
      <c r="C72" s="819" t="s">
        <v>637</v>
      </c>
      <c r="D72" s="819" t="s">
        <v>638</v>
      </c>
      <c r="E72" s="896">
        <v>0.5</v>
      </c>
      <c r="F72" s="883">
        <v>80</v>
      </c>
    </row>
    <row r="73" spans="1:6" s="879" customFormat="1" ht="24">
      <c r="A73" s="883">
        <v>13</v>
      </c>
      <c r="B73" s="3269"/>
      <c r="C73" s="819" t="s">
        <v>639</v>
      </c>
      <c r="D73" s="819" t="s">
        <v>640</v>
      </c>
      <c r="E73" s="896">
        <v>0.4</v>
      </c>
      <c r="F73" s="883">
        <v>60</v>
      </c>
    </row>
    <row r="74" spans="1:6" s="879" customFormat="1" ht="24">
      <c r="A74" s="883">
        <v>14</v>
      </c>
      <c r="B74" s="3269"/>
      <c r="C74" s="819" t="s">
        <v>641</v>
      </c>
      <c r="D74" s="819" t="s">
        <v>642</v>
      </c>
      <c r="E74" s="896">
        <v>0.2</v>
      </c>
      <c r="F74" s="883">
        <v>30</v>
      </c>
    </row>
    <row r="75" spans="1:6" s="879" customFormat="1" ht="24">
      <c r="A75" s="883">
        <v>15</v>
      </c>
      <c r="B75" s="3269"/>
      <c r="C75" s="819" t="s">
        <v>643</v>
      </c>
      <c r="D75" s="819" t="s">
        <v>644</v>
      </c>
      <c r="E75" s="896">
        <v>0.2</v>
      </c>
      <c r="F75" s="883">
        <v>30</v>
      </c>
    </row>
    <row r="76" spans="1:6" s="879" customFormat="1" ht="24">
      <c r="A76" s="883">
        <v>16</v>
      </c>
      <c r="B76" s="3269" t="s">
        <v>645</v>
      </c>
      <c r="C76" s="819" t="s">
        <v>646</v>
      </c>
      <c r="D76" s="819" t="s">
        <v>647</v>
      </c>
      <c r="E76" s="896">
        <v>0.5</v>
      </c>
      <c r="F76" s="883">
        <v>80</v>
      </c>
    </row>
    <row r="77" spans="1:6" s="879" customFormat="1" ht="24">
      <c r="A77" s="883">
        <v>17</v>
      </c>
      <c r="B77" s="3269"/>
      <c r="C77" s="819" t="s">
        <v>648</v>
      </c>
      <c r="D77" s="819" t="s">
        <v>649</v>
      </c>
      <c r="E77" s="896">
        <v>0.5</v>
      </c>
      <c r="F77" s="883">
        <v>80</v>
      </c>
    </row>
    <row r="78" spans="1:6" s="879" customFormat="1" ht="24">
      <c r="A78" s="883">
        <v>18</v>
      </c>
      <c r="B78" s="3269"/>
      <c r="C78" s="819" t="s">
        <v>650</v>
      </c>
      <c r="D78" s="819" t="s">
        <v>651</v>
      </c>
      <c r="E78" s="896">
        <v>0.2</v>
      </c>
      <c r="F78" s="883">
        <v>30</v>
      </c>
    </row>
    <row r="79" spans="1:6" s="879" customFormat="1" ht="24">
      <c r="A79" s="883">
        <v>19</v>
      </c>
      <c r="B79" s="3269"/>
      <c r="C79" s="819" t="s">
        <v>652</v>
      </c>
      <c r="D79" s="819" t="s">
        <v>653</v>
      </c>
      <c r="E79" s="896">
        <v>0.5</v>
      </c>
      <c r="F79" s="883">
        <v>80</v>
      </c>
    </row>
    <row r="80" spans="1:6" s="879" customFormat="1" ht="36">
      <c r="A80" s="883">
        <v>20</v>
      </c>
      <c r="B80" s="3269"/>
      <c r="C80" s="819" t="s">
        <v>654</v>
      </c>
      <c r="D80" s="819" t="s">
        <v>655</v>
      </c>
      <c r="E80" s="896">
        <v>0.2</v>
      </c>
      <c r="F80" s="883">
        <v>30</v>
      </c>
    </row>
    <row r="81" spans="1:6" s="879" customFormat="1" ht="36">
      <c r="A81" s="883">
        <v>21</v>
      </c>
      <c r="B81" s="3269"/>
      <c r="C81" s="819" t="s">
        <v>656</v>
      </c>
      <c r="D81" s="819" t="s">
        <v>657</v>
      </c>
      <c r="E81" s="896">
        <v>0.2</v>
      </c>
      <c r="F81" s="883">
        <v>30</v>
      </c>
    </row>
    <row r="82" spans="1:6" s="879" customFormat="1" ht="48">
      <c r="A82" s="883">
        <v>22</v>
      </c>
      <c r="B82" s="3269"/>
      <c r="C82" s="819" t="s">
        <v>658</v>
      </c>
      <c r="D82" s="819" t="s">
        <v>659</v>
      </c>
      <c r="E82" s="896">
        <v>0.2</v>
      </c>
      <c r="F82" s="883">
        <v>30</v>
      </c>
    </row>
    <row r="83" spans="1:6" s="879" customFormat="1" ht="48">
      <c r="A83" s="883">
        <v>23</v>
      </c>
      <c r="B83" s="3269"/>
      <c r="C83" s="819" t="s">
        <v>660</v>
      </c>
      <c r="D83" s="819" t="s">
        <v>661</v>
      </c>
      <c r="E83" s="896">
        <v>0.2</v>
      </c>
      <c r="F83" s="883">
        <v>30</v>
      </c>
    </row>
    <row r="84" spans="1:6" s="879" customFormat="1" ht="36">
      <c r="A84" s="883">
        <v>24</v>
      </c>
      <c r="B84" s="3269"/>
      <c r="C84" s="819" t="s">
        <v>662</v>
      </c>
      <c r="D84" s="819" t="s">
        <v>663</v>
      </c>
      <c r="E84" s="896">
        <v>0.2</v>
      </c>
      <c r="F84" s="883">
        <v>30</v>
      </c>
    </row>
    <row r="85" spans="1:6" s="879" customFormat="1" ht="36">
      <c r="A85" s="883">
        <v>25</v>
      </c>
      <c r="B85" s="3269"/>
      <c r="C85" s="819" t="s">
        <v>664</v>
      </c>
      <c r="D85" s="819" t="s">
        <v>665</v>
      </c>
      <c r="E85" s="896">
        <v>0.5</v>
      </c>
      <c r="F85" s="883">
        <v>80</v>
      </c>
    </row>
    <row r="86" spans="1:6" s="879" customFormat="1" ht="36">
      <c r="A86" s="883">
        <v>26</v>
      </c>
      <c r="B86" s="3269"/>
      <c r="C86" s="819" t="s">
        <v>666</v>
      </c>
      <c r="D86" s="819" t="s">
        <v>667</v>
      </c>
      <c r="E86" s="896">
        <v>0.2</v>
      </c>
      <c r="F86" s="883">
        <v>30</v>
      </c>
    </row>
    <row r="87" spans="1:6" s="879" customFormat="1" ht="36">
      <c r="A87" s="883">
        <v>27</v>
      </c>
      <c r="B87" s="3269"/>
      <c r="C87" s="819" t="s">
        <v>668</v>
      </c>
      <c r="D87" s="819" t="s">
        <v>669</v>
      </c>
      <c r="E87" s="896">
        <v>0.2</v>
      </c>
      <c r="F87" s="883">
        <v>30</v>
      </c>
    </row>
    <row r="88" spans="1:6" s="879" customFormat="1" ht="36">
      <c r="A88" s="883">
        <v>28</v>
      </c>
      <c r="B88" s="3269"/>
      <c r="C88" s="819" t="s">
        <v>670</v>
      </c>
      <c r="D88" s="819" t="s">
        <v>671</v>
      </c>
      <c r="E88" s="896">
        <v>0.2</v>
      </c>
      <c r="F88" s="883">
        <v>30</v>
      </c>
    </row>
    <row r="89" spans="1:6" s="879" customFormat="1" ht="24">
      <c r="A89" s="883">
        <v>29</v>
      </c>
      <c r="B89" s="3269"/>
      <c r="C89" s="819" t="s">
        <v>672</v>
      </c>
      <c r="D89" s="819" t="s">
        <v>673</v>
      </c>
      <c r="E89" s="896">
        <v>0.2</v>
      </c>
      <c r="F89" s="883">
        <v>30</v>
      </c>
    </row>
    <row r="90" spans="1:6" s="879" customFormat="1" ht="24">
      <c r="A90" s="883">
        <v>30</v>
      </c>
      <c r="B90" s="3269"/>
      <c r="C90" s="819" t="s">
        <v>674</v>
      </c>
      <c r="D90" s="819" t="s">
        <v>675</v>
      </c>
      <c r="E90" s="896">
        <v>0.2</v>
      </c>
      <c r="F90" s="883">
        <v>30</v>
      </c>
    </row>
    <row r="91" spans="1:6" s="879" customFormat="1" ht="36">
      <c r="A91" s="883">
        <v>31</v>
      </c>
      <c r="B91" s="3269"/>
      <c r="C91" s="819" t="s">
        <v>676</v>
      </c>
      <c r="D91" s="819" t="s">
        <v>677</v>
      </c>
      <c r="E91" s="896">
        <v>0.2</v>
      </c>
      <c r="F91" s="883">
        <v>30</v>
      </c>
    </row>
    <row r="92" spans="1:6" s="879" customFormat="1" ht="24">
      <c r="A92" s="883">
        <v>32</v>
      </c>
      <c r="B92" s="3269" t="s">
        <v>678</v>
      </c>
      <c r="C92" s="883" t="s">
        <v>679</v>
      </c>
      <c r="D92" s="819" t="s">
        <v>680</v>
      </c>
      <c r="E92" s="896">
        <v>0.2</v>
      </c>
      <c r="F92" s="883">
        <v>30</v>
      </c>
    </row>
    <row r="93" spans="1:6" s="879" customFormat="1" ht="36">
      <c r="A93" s="883">
        <v>33</v>
      </c>
      <c r="B93" s="3269"/>
      <c r="C93" s="883" t="s">
        <v>681</v>
      </c>
      <c r="D93" s="819" t="s">
        <v>682</v>
      </c>
      <c r="E93" s="896">
        <v>0.2</v>
      </c>
      <c r="F93" s="883">
        <v>30</v>
      </c>
    </row>
    <row r="94" spans="1:6" s="879" customFormat="1" ht="48">
      <c r="A94" s="883">
        <v>34</v>
      </c>
      <c r="B94" s="3269"/>
      <c r="C94" s="883" t="s">
        <v>683</v>
      </c>
      <c r="D94" s="819" t="s">
        <v>684</v>
      </c>
      <c r="E94" s="896">
        <v>0.2</v>
      </c>
      <c r="F94" s="883">
        <v>30</v>
      </c>
    </row>
    <row r="95" spans="1:6" s="879" customFormat="1" ht="36">
      <c r="A95" s="883">
        <v>35</v>
      </c>
      <c r="B95" s="3269"/>
      <c r="C95" s="883" t="s">
        <v>685</v>
      </c>
      <c r="D95" s="819" t="s">
        <v>686</v>
      </c>
      <c r="E95" s="896">
        <v>0.2</v>
      </c>
      <c r="F95" s="883">
        <v>30</v>
      </c>
    </row>
    <row r="96" spans="1:6" s="879" customFormat="1" ht="48">
      <c r="A96" s="883">
        <v>36</v>
      </c>
      <c r="B96" s="3269"/>
      <c r="C96" s="819" t="s">
        <v>687</v>
      </c>
      <c r="D96" s="819" t="s">
        <v>688</v>
      </c>
      <c r="E96" s="896">
        <v>0.2</v>
      </c>
      <c r="F96" s="883">
        <v>30</v>
      </c>
    </row>
    <row r="97" spans="1:6" s="879" customFormat="1" ht="36">
      <c r="A97" s="883">
        <v>37</v>
      </c>
      <c r="B97" s="3269"/>
      <c r="C97" s="883" t="s">
        <v>689</v>
      </c>
      <c r="D97" s="819" t="s">
        <v>690</v>
      </c>
      <c r="E97" s="896">
        <v>0.2</v>
      </c>
      <c r="F97" s="883">
        <v>30</v>
      </c>
    </row>
    <row r="98" spans="1:6" s="879" customFormat="1" ht="36">
      <c r="A98" s="883">
        <v>38</v>
      </c>
      <c r="B98" s="3269"/>
      <c r="C98" s="883" t="s">
        <v>691</v>
      </c>
      <c r="D98" s="819" t="s">
        <v>692</v>
      </c>
      <c r="E98" s="896">
        <v>0.2</v>
      </c>
      <c r="F98" s="883">
        <v>30</v>
      </c>
    </row>
    <row r="99" spans="1:6" s="879" customFormat="1" ht="36">
      <c r="A99" s="883">
        <v>39</v>
      </c>
      <c r="B99" s="3269" t="s">
        <v>693</v>
      </c>
      <c r="C99" s="883" t="s">
        <v>694</v>
      </c>
      <c r="D99" s="819" t="s">
        <v>695</v>
      </c>
      <c r="E99" s="896">
        <v>0.3</v>
      </c>
      <c r="F99" s="883">
        <v>50</v>
      </c>
    </row>
    <row r="100" spans="1:6" s="879" customFormat="1" ht="24">
      <c r="A100" s="883">
        <v>40</v>
      </c>
      <c r="B100" s="3269"/>
      <c r="C100" s="883" t="s">
        <v>696</v>
      </c>
      <c r="D100" s="819" t="s">
        <v>697</v>
      </c>
      <c r="E100" s="896">
        <v>0.2</v>
      </c>
      <c r="F100" s="883">
        <v>30</v>
      </c>
    </row>
    <row r="101" spans="1:6" s="879" customFormat="1" ht="36">
      <c r="A101" s="883">
        <v>41</v>
      </c>
      <c r="B101" s="3269"/>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69" t="s">
        <v>708</v>
      </c>
      <c r="C105" s="883" t="s">
        <v>709</v>
      </c>
      <c r="D105" s="819" t="s">
        <v>710</v>
      </c>
      <c r="E105" s="896">
        <v>0.2</v>
      </c>
      <c r="F105" s="883">
        <v>30</v>
      </c>
    </row>
    <row r="106" spans="1:6" s="879" customFormat="1" ht="36">
      <c r="A106" s="883">
        <v>46</v>
      </c>
      <c r="B106" s="3269"/>
      <c r="C106" s="883" t="s">
        <v>711</v>
      </c>
      <c r="D106" s="819" t="s">
        <v>712</v>
      </c>
      <c r="E106" s="896">
        <v>0.2</v>
      </c>
      <c r="F106" s="883">
        <v>30</v>
      </c>
    </row>
    <row r="107" spans="1:6" s="879" customFormat="1" ht="36">
      <c r="A107" s="883">
        <v>47</v>
      </c>
      <c r="B107" s="3269" t="s">
        <v>713</v>
      </c>
      <c r="C107" s="883" t="s">
        <v>714</v>
      </c>
      <c r="D107" s="819" t="s">
        <v>715</v>
      </c>
      <c r="E107" s="896">
        <v>0.3</v>
      </c>
      <c r="F107" s="883">
        <v>50</v>
      </c>
    </row>
    <row r="108" spans="1:6" s="879" customFormat="1" ht="36">
      <c r="A108" s="883">
        <v>48</v>
      </c>
      <c r="B108" s="3269"/>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69" t="s">
        <v>724</v>
      </c>
      <c r="C111" s="883" t="s">
        <v>725</v>
      </c>
      <c r="D111" s="819" t="s">
        <v>726</v>
      </c>
      <c r="E111" s="896">
        <v>0.2</v>
      </c>
      <c r="F111" s="883">
        <v>30</v>
      </c>
    </row>
    <row r="112" spans="1:6" s="879" customFormat="1" ht="24">
      <c r="A112" s="883">
        <v>52</v>
      </c>
      <c r="B112" s="3269"/>
      <c r="C112" s="883" t="s">
        <v>727</v>
      </c>
      <c r="D112" s="819" t="s">
        <v>728</v>
      </c>
      <c r="E112" s="896">
        <v>0.2</v>
      </c>
      <c r="F112" s="883">
        <v>30</v>
      </c>
    </row>
    <row r="113" spans="1:6" s="879" customFormat="1" ht="24">
      <c r="A113" s="883">
        <v>53</v>
      </c>
      <c r="B113" s="3269"/>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69" t="s">
        <v>737</v>
      </c>
      <c r="C116" s="883" t="s">
        <v>738</v>
      </c>
      <c r="D116" s="819" t="s">
        <v>739</v>
      </c>
      <c r="E116" s="896">
        <v>0.2</v>
      </c>
      <c r="F116" s="883">
        <v>30</v>
      </c>
    </row>
    <row r="117" spans="1:6" ht="36">
      <c r="A117" s="883">
        <v>57</v>
      </c>
      <c r="B117" s="3269"/>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7" t="s">
        <v>3003</v>
      </c>
    </row>
    <row r="2" spans="1:5" ht="15.75">
      <c r="A2" s="2916" t="s">
        <v>2995</v>
      </c>
      <c r="B2" s="2917" t="e">
        <f ca="1">SUMIF(B6:B13,"&lt;&gt;#ref!",B6:B13)</f>
        <v>#DIV/0!</v>
      </c>
      <c r="C2" s="2916" t="s">
        <v>2996</v>
      </c>
      <c r="D2" s="2916" t="s">
        <v>2997</v>
      </c>
      <c r="E2" s="2917" t="e">
        <f ca="1">SUM(E6:E13)</f>
        <v>#REF!</v>
      </c>
    </row>
    <row r="3" spans="1:5" ht="15.75">
      <c r="A3" s="2916" t="s">
        <v>2998</v>
      </c>
      <c r="B3" s="2917" t="e">
        <f ca="1">ROUND(B2*10000/E2,0)</f>
        <v>#DIV/0!</v>
      </c>
      <c r="C3" s="2916" t="s">
        <v>3004</v>
      </c>
      <c r="D3" s="2918"/>
      <c r="E3" s="2918"/>
    </row>
    <row r="4" spans="1:5" ht="15.75">
      <c r="A4" s="2919"/>
      <c r="B4" s="2918"/>
      <c r="C4" s="2918"/>
      <c r="D4" s="2918"/>
      <c r="E4" s="2918"/>
    </row>
    <row r="5" spans="1:5" ht="28.5">
      <c r="A5" s="2920" t="s">
        <v>2999</v>
      </c>
      <c r="B5" s="2916" t="s">
        <v>3000</v>
      </c>
      <c r="C5" s="2917"/>
      <c r="D5" s="2918"/>
      <c r="E5" s="2916" t="s">
        <v>3001</v>
      </c>
    </row>
    <row r="6" spans="1:5" ht="15.75">
      <c r="A6" s="2921" t="s">
        <v>3002</v>
      </c>
      <c r="B6" s="2917" t="e">
        <f ca="1">SUMIF(INDIRECT("'"&amp;A6&amp;"'"&amp;"!A:A"),"总价",INDIRECT("'"&amp;A6&amp;"'"&amp;"!B:B"))</f>
        <v>#DIV/0!</v>
      </c>
      <c r="C6" s="2916" t="s">
        <v>2996</v>
      </c>
      <c r="D6" s="2918"/>
      <c r="E6" s="2581">
        <f ca="1">SUMIF(INDIRECT("'"&amp;A6&amp;"'"&amp;"!C:C"),"建筑面积",INDIRECT("'"&amp;A6&amp;"'"&amp;"!D:D"))</f>
        <v>0</v>
      </c>
    </row>
    <row r="7" spans="1:5" ht="15.75">
      <c r="A7" s="2921"/>
      <c r="B7" s="2917" t="e">
        <f ca="1">SUMIF(INDIRECT("'"&amp;A7&amp;"'"&amp;"!A:A"),"总价",INDIRECT("'"&amp;A7&amp;"'"&amp;"!B:B"))</f>
        <v>#REF!</v>
      </c>
      <c r="C7" s="2916" t="s">
        <v>2996</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2996</v>
      </c>
      <c r="D8" s="2918"/>
      <c r="E8" s="2581" t="e">
        <f t="shared" ca="1" si="0"/>
        <v>#REF!</v>
      </c>
    </row>
    <row r="9" spans="1:5" ht="15.75">
      <c r="A9" s="2921"/>
      <c r="B9" s="2917" t="e">
        <f t="shared" ca="1" si="1"/>
        <v>#REF!</v>
      </c>
      <c r="C9" s="2916" t="s">
        <v>2996</v>
      </c>
      <c r="D9" s="2918"/>
      <c r="E9" s="2581" t="e">
        <f t="shared" ca="1" si="0"/>
        <v>#REF!</v>
      </c>
    </row>
    <row r="10" spans="1:5" ht="15.75">
      <c r="A10" s="2921"/>
      <c r="B10" s="2917" t="e">
        <f t="shared" ca="1" si="1"/>
        <v>#REF!</v>
      </c>
      <c r="C10" s="2916" t="s">
        <v>2996</v>
      </c>
      <c r="D10" s="2918"/>
      <c r="E10" s="2581" t="e">
        <f t="shared" ca="1" si="0"/>
        <v>#REF!</v>
      </c>
    </row>
    <row r="11" spans="1:5" ht="15.75">
      <c r="A11" s="2921"/>
      <c r="B11" s="2917" t="e">
        <f t="shared" ca="1" si="1"/>
        <v>#REF!</v>
      </c>
      <c r="C11" s="2916" t="s">
        <v>2996</v>
      </c>
      <c r="D11" s="2918"/>
      <c r="E11" s="2581" t="e">
        <f t="shared" ca="1" si="0"/>
        <v>#REF!</v>
      </c>
    </row>
    <row r="12" spans="1:5" ht="15.75">
      <c r="A12" s="2921"/>
      <c r="B12" s="2917" t="e">
        <f t="shared" ca="1" si="1"/>
        <v>#REF!</v>
      </c>
      <c r="C12" s="2916" t="s">
        <v>2996</v>
      </c>
      <c r="D12" s="2918"/>
      <c r="E12" s="2581" t="e">
        <f t="shared" ca="1" si="0"/>
        <v>#REF!</v>
      </c>
    </row>
    <row r="13" spans="1:5" ht="15.75">
      <c r="A13" s="2921"/>
      <c r="B13" s="2917" t="e">
        <f t="shared" ca="1" si="1"/>
        <v>#REF!</v>
      </c>
      <c r="C13" s="2916" t="s">
        <v>2996</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75" t="s">
        <v>1150</v>
      </c>
      <c r="C1" s="3275"/>
      <c r="D1" s="3275"/>
      <c r="E1" s="3275"/>
      <c r="F1" s="3275"/>
      <c r="G1" s="3274" t="s">
        <v>1151</v>
      </c>
      <c r="H1" s="3274"/>
      <c r="I1" s="3274"/>
      <c r="J1" s="3274"/>
      <c r="K1" s="3274"/>
      <c r="L1" s="3274"/>
      <c r="N1" s="3274" t="s">
        <v>1152</v>
      </c>
      <c r="O1" s="3274"/>
      <c r="P1" s="3274"/>
      <c r="Q1" s="3274"/>
      <c r="R1" s="1450"/>
      <c r="S1" s="3274" t="s">
        <v>1153</v>
      </c>
      <c r="T1" s="3274"/>
      <c r="U1" s="3274"/>
      <c r="V1" s="3274"/>
      <c r="X1" s="3273" t="s">
        <v>1154</v>
      </c>
      <c r="Y1" s="3274"/>
      <c r="Z1" s="3274"/>
      <c r="AA1" s="3274"/>
      <c r="AB1" s="3274"/>
      <c r="AD1" s="3273" t="s">
        <v>1155</v>
      </c>
      <c r="AE1" s="3274"/>
      <c r="AF1" s="3274"/>
      <c r="AG1" s="3274"/>
      <c r="AH1" s="3274"/>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0"/>
      <c r="J3" s="2930"/>
      <c r="K3" s="2930"/>
      <c r="L3" s="2930"/>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3038</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0">
        <f>ROUND(AVERAGE(I5:I20),2)</f>
        <v>2.4900000000000002</v>
      </c>
      <c r="J4" s="2930">
        <f t="shared" ref="J4:L4" si="7">ROUND(AVERAGE(J5:J20),2)</f>
        <v>1.64</v>
      </c>
      <c r="K4" s="2930">
        <f t="shared" si="7"/>
        <v>2.78</v>
      </c>
      <c r="L4" s="2930">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3036</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7">
        <v>2017</v>
      </c>
      <c r="H5" s="1735">
        <v>4</v>
      </c>
      <c r="I5" s="2931">
        <f>ROUND(AVERAGE(I6:I20),2)</f>
        <v>2.4900000000000002</v>
      </c>
      <c r="J5" s="2931">
        <f>ROUND(AVERAGE(J6:J20),2)</f>
        <v>1.64</v>
      </c>
      <c r="K5" s="2931">
        <f>ROUND(AVERAGE(K6:K20),2)</f>
        <v>2.78</v>
      </c>
      <c r="L5" s="2931">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3037</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9"/>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8"/>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9"/>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276">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71"/>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71"/>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72"/>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70">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71"/>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71"/>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72"/>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70">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71"/>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71"/>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72"/>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277">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78"/>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78"/>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79"/>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70">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71"/>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71"/>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72"/>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70">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71">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71">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72">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70">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71">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71">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72">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70">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71">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71">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72">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70">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71">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71">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72">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70">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71">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71">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72">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70">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71">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71">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72">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70">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71">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71">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72">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70">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71">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71">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72">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70">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71">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71">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72">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70">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71">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71">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72">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pageSetUpPr fitToPage="1"/>
  </sheetPr>
  <dimension ref="A1:AC132"/>
  <sheetViews>
    <sheetView topLeftCell="A28" zoomScale="90" zoomScaleNormal="90" workbookViewId="0">
      <selection activeCell="K28" sqref="K28"/>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675" t="s">
        <v>2684</v>
      </c>
      <c r="C1" s="1625" t="s">
        <v>2528</v>
      </c>
      <c r="D1" s="1626" t="s">
        <v>27</v>
      </c>
      <c r="E1" s="1635"/>
      <c r="F1" s="2590" t="s">
        <v>3108</v>
      </c>
      <c r="G1" s="1636" t="s">
        <v>2530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0</v>
      </c>
      <c r="C2" s="2592" t="s">
        <v>70</v>
      </c>
      <c r="D2" s="1369" t="e">
        <f ca="1">SUMIF(INDIRECT("'"&amp;F2&amp;"'"&amp;"!A:A"),"承租人权益价值",INDIRECT("'"&amp;F2&amp;"'"&amp;"!c:c"))</f>
        <v>#REF!</v>
      </c>
      <c r="E2" s="2593" t="s">
        <v>2326</v>
      </c>
      <c r="F2" s="2594"/>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5.5</v>
      </c>
      <c r="C3" s="401" t="s">
        <v>2532</v>
      </c>
      <c r="D3" s="400">
        <f>IF(D1="",'数据-汇总表'!E3,SUMIF('数据-汇总表'!$C19:$C33,D1,'数据-汇总表'!$E19:$E33))</f>
        <v>898.32</v>
      </c>
      <c r="E3" s="2669"/>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2533</v>
      </c>
      <c r="B4" s="403"/>
      <c r="C4" s="3168" t="s">
        <v>2534</v>
      </c>
      <c r="D4" s="3169"/>
      <c r="E4" s="3170" t="s">
        <v>2535</v>
      </c>
      <c r="F4" s="3171"/>
      <c r="G4" s="3168" t="s">
        <v>2536</v>
      </c>
      <c r="H4" s="3169"/>
      <c r="I4" s="3168" t="s">
        <v>2537</v>
      </c>
      <c r="J4" s="3169"/>
      <c r="K4" s="611" t="s">
        <v>2538</v>
      </c>
      <c r="L4" s="1134"/>
      <c r="M4" s="1135"/>
      <c r="N4" s="1135"/>
      <c r="O4" s="1135"/>
      <c r="P4" s="3172" t="s">
        <v>2539</v>
      </c>
      <c r="Q4" s="3173"/>
      <c r="R4" s="3178" t="s">
        <v>2535</v>
      </c>
      <c r="S4" s="3179"/>
      <c r="T4" s="3178" t="s">
        <v>2536</v>
      </c>
      <c r="U4" s="3179"/>
      <c r="V4" s="3184" t="s">
        <v>2537</v>
      </c>
      <c r="W4" s="3184"/>
      <c r="X4" s="2940"/>
      <c r="Y4" s="3178" t="s">
        <v>2539</v>
      </c>
      <c r="Z4" s="3179"/>
      <c r="AA4" s="3197" t="s">
        <v>2535</v>
      </c>
      <c r="AB4" s="3197" t="s">
        <v>2536</v>
      </c>
      <c r="AC4" s="3165" t="s">
        <v>2537</v>
      </c>
    </row>
    <row r="5" spans="1:29" ht="15">
      <c r="A5" s="405"/>
      <c r="B5" s="406"/>
      <c r="C5" s="3194" t="s">
        <v>2540</v>
      </c>
      <c r="D5" s="3189"/>
      <c r="E5" s="3200" t="s">
        <v>3135</v>
      </c>
      <c r="F5" s="3201"/>
      <c r="G5" s="3188" t="s">
        <v>3136</v>
      </c>
      <c r="H5" s="3189"/>
      <c r="I5" s="3188" t="s">
        <v>3137</v>
      </c>
      <c r="J5" s="3189"/>
      <c r="K5" s="611"/>
      <c r="L5" s="1134"/>
      <c r="M5" s="1135"/>
      <c r="N5" s="1135"/>
      <c r="O5" s="1135"/>
      <c r="P5" s="3174"/>
      <c r="Q5" s="3175"/>
      <c r="R5" s="3180"/>
      <c r="S5" s="3181"/>
      <c r="T5" s="3180"/>
      <c r="U5" s="3181"/>
      <c r="V5" s="3185"/>
      <c r="W5" s="3185"/>
      <c r="X5" s="2935"/>
      <c r="Y5" s="3180"/>
      <c r="Z5" s="3181"/>
      <c r="AA5" s="3198"/>
      <c r="AB5" s="3198"/>
      <c r="AC5" s="3166"/>
    </row>
    <row r="6" spans="1:29" ht="15.75" thickBot="1">
      <c r="A6" s="407"/>
      <c r="B6" s="408"/>
      <c r="C6" s="3186" t="s">
        <v>2544</v>
      </c>
      <c r="D6" s="3187"/>
      <c r="E6" s="3195" t="s">
        <v>2544</v>
      </c>
      <c r="F6" s="3196"/>
      <c r="G6" s="3186" t="s">
        <v>2544</v>
      </c>
      <c r="H6" s="3187"/>
      <c r="I6" s="3186" t="s">
        <v>2544</v>
      </c>
      <c r="J6" s="3187"/>
      <c r="K6" s="611" t="s">
        <v>2545</v>
      </c>
      <c r="L6" s="1134"/>
      <c r="M6" s="1135"/>
      <c r="N6" s="1135"/>
      <c r="O6" s="1135"/>
      <c r="P6" s="3176"/>
      <c r="Q6" s="3177"/>
      <c r="R6" s="3180"/>
      <c r="S6" s="3181"/>
      <c r="T6" s="3182"/>
      <c r="U6" s="3183"/>
      <c r="V6" s="3185"/>
      <c r="W6" s="3185"/>
      <c r="X6" s="2935"/>
      <c r="Y6" s="3182"/>
      <c r="Z6" s="3183"/>
      <c r="AA6" s="3199"/>
      <c r="AB6" s="3199"/>
      <c r="AC6" s="3167"/>
    </row>
    <row r="7" spans="1:29" s="117" customFormat="1" ht="15.75" thickBot="1">
      <c r="A7" s="409" t="s">
        <v>2546</v>
      </c>
      <c r="B7" s="410"/>
      <c r="C7" s="411">
        <f>'数据-取费表'!B2</f>
        <v>43053</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190" t="s">
        <v>2547</v>
      </c>
      <c r="Q7" s="3193"/>
      <c r="R7" s="771" t="s">
        <v>17</v>
      </c>
      <c r="S7" s="772">
        <f t="shared" ref="S7:S15" si="0">F7</f>
        <v>100</v>
      </c>
      <c r="T7" s="771" t="s">
        <v>17</v>
      </c>
      <c r="U7" s="772">
        <f t="shared" ref="U7:U15" si="1">H7</f>
        <v>100</v>
      </c>
      <c r="V7" s="771" t="s">
        <v>17</v>
      </c>
      <c r="W7" s="772">
        <f t="shared" ref="W7:W15" si="2">J7</f>
        <v>100</v>
      </c>
      <c r="X7" s="773"/>
      <c r="Y7" s="3192" t="s">
        <v>2547</v>
      </c>
      <c r="Z7" s="3191"/>
      <c r="AA7" s="774">
        <f>D7/F7</f>
        <v>1</v>
      </c>
      <c r="AB7" s="774">
        <f>D7/H7</f>
        <v>1</v>
      </c>
      <c r="AC7" s="2677">
        <f>D7/J7</f>
        <v>1</v>
      </c>
    </row>
    <row r="8" spans="1:29" s="117" customFormat="1" ht="15.75" thickBot="1">
      <c r="A8" s="409" t="s">
        <v>2548</v>
      </c>
      <c r="B8" s="410"/>
      <c r="C8" s="415" t="s">
        <v>2585</v>
      </c>
      <c r="D8" s="412">
        <v>100</v>
      </c>
      <c r="E8" s="415" t="s">
        <v>3092</v>
      </c>
      <c r="F8" s="414">
        <f>SUMIF(62:62,E8,63:63)-SUMIF(62:62,C8,63:63)+100</f>
        <v>100</v>
      </c>
      <c r="G8" s="415" t="s">
        <v>3092</v>
      </c>
      <c r="H8" s="412">
        <f>SUMIF(62:62,G8,63:63)-SUMIF(62:62,C8,63:63)+100</f>
        <v>100</v>
      </c>
      <c r="I8" s="415" t="s">
        <v>3092</v>
      </c>
      <c r="J8" s="412">
        <f>SUMIF(62:62,I8,63:63)-SUMIF(62:62,C8,63:63)+100</f>
        <v>100</v>
      </c>
      <c r="K8" s="612"/>
      <c r="L8" s="1136"/>
      <c r="M8" s="1137"/>
      <c r="N8" s="1137"/>
      <c r="O8" s="1137"/>
      <c r="P8" s="3190" t="s">
        <v>2550</v>
      </c>
      <c r="Q8" s="3191"/>
      <c r="R8" s="771" t="s">
        <v>17</v>
      </c>
      <c r="S8" s="772">
        <f t="shared" si="0"/>
        <v>100</v>
      </c>
      <c r="T8" s="771" t="s">
        <v>17</v>
      </c>
      <c r="U8" s="772">
        <f t="shared" si="1"/>
        <v>100</v>
      </c>
      <c r="V8" s="771" t="s">
        <v>17</v>
      </c>
      <c r="W8" s="772">
        <f t="shared" si="2"/>
        <v>100</v>
      </c>
      <c r="X8" s="773"/>
      <c r="Y8" s="3192" t="s">
        <v>2550</v>
      </c>
      <c r="Z8" s="3191"/>
      <c r="AA8" s="774">
        <f t="shared" ref="AA8:AA47" si="3">D8/F8</f>
        <v>1</v>
      </c>
      <c r="AB8" s="774">
        <f t="shared" ref="AB8:AB47" si="4">D8/H8</f>
        <v>1</v>
      </c>
      <c r="AC8" s="2677">
        <f t="shared" ref="AC8:AC47" si="5">D8/J8</f>
        <v>1</v>
      </c>
    </row>
    <row r="9" spans="1:29" s="117" customFormat="1">
      <c r="A9" s="416" t="s">
        <v>2551</v>
      </c>
      <c r="B9" s="71" t="s">
        <v>2552</v>
      </c>
      <c r="C9" s="2947" t="s">
        <v>3093</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150" t="s">
        <v>2553</v>
      </c>
      <c r="Q9" s="2932" t="str">
        <f t="shared" ref="Q9:Q15" si="6">B9</f>
        <v>用途</v>
      </c>
      <c r="R9" s="771" t="s">
        <v>17</v>
      </c>
      <c r="S9" s="772">
        <f t="shared" si="0"/>
        <v>100</v>
      </c>
      <c r="T9" s="771" t="s">
        <v>17</v>
      </c>
      <c r="U9" s="772">
        <f t="shared" si="1"/>
        <v>100</v>
      </c>
      <c r="V9" s="771" t="s">
        <v>17</v>
      </c>
      <c r="W9" s="772">
        <f t="shared" si="2"/>
        <v>100</v>
      </c>
      <c r="X9" s="773"/>
      <c r="Y9" s="3005" t="s">
        <v>2554</v>
      </c>
      <c r="Z9" s="2933" t="str">
        <f t="shared" ref="Z9:Z15" si="7">Q9</f>
        <v>用途</v>
      </c>
      <c r="AA9" s="774">
        <f t="shared" si="3"/>
        <v>1</v>
      </c>
      <c r="AB9" s="774">
        <f t="shared" si="4"/>
        <v>1</v>
      </c>
      <c r="AC9" s="2677">
        <f t="shared" si="5"/>
        <v>1</v>
      </c>
    </row>
    <row r="10" spans="1:29" s="428" customFormat="1" ht="27">
      <c r="A10" s="422"/>
      <c r="B10" s="2934" t="s">
        <v>2555</v>
      </c>
      <c r="C10" s="424" t="s">
        <v>3096</v>
      </c>
      <c r="D10" s="136">
        <v>100</v>
      </c>
      <c r="E10" s="424" t="s">
        <v>3095</v>
      </c>
      <c r="F10" s="136">
        <f>SUMIF(66:66,E10,67:67)-SUMIF(66:66,C10,67:67)+100</f>
        <v>99</v>
      </c>
      <c r="G10" s="425" t="s">
        <v>3096</v>
      </c>
      <c r="H10" s="136">
        <f>SUMIF(66:66,G10,67:67)-SUMIF(66:66,C10,67:67)+100</f>
        <v>100</v>
      </c>
      <c r="I10" s="424" t="s">
        <v>3095</v>
      </c>
      <c r="J10" s="136">
        <f>SUMIF(66:66,I10,67:67)-SUMIF(66:66,C10,67:67)+100</f>
        <v>99</v>
      </c>
      <c r="K10" s="613">
        <v>1</v>
      </c>
      <c r="L10" s="1139"/>
      <c r="M10" s="1140"/>
      <c r="N10" s="1140"/>
      <c r="O10" s="1140"/>
      <c r="P10" s="3150"/>
      <c r="Q10" s="2932" t="str">
        <f t="shared" si="6"/>
        <v>土地使用年限（年）</v>
      </c>
      <c r="R10" s="771" t="s">
        <v>17</v>
      </c>
      <c r="S10" s="772">
        <f t="shared" si="0"/>
        <v>99</v>
      </c>
      <c r="T10" s="771" t="s">
        <v>17</v>
      </c>
      <c r="U10" s="772">
        <f t="shared" si="1"/>
        <v>100</v>
      </c>
      <c r="V10" s="771" t="s">
        <v>17</v>
      </c>
      <c r="W10" s="772">
        <f t="shared" si="2"/>
        <v>99</v>
      </c>
      <c r="X10" s="773"/>
      <c r="Y10" s="3005"/>
      <c r="Z10" s="2933" t="str">
        <f t="shared" si="7"/>
        <v>土地使用年限（年）</v>
      </c>
      <c r="AA10" s="774">
        <f t="shared" si="3"/>
        <v>1.0101010101010102</v>
      </c>
      <c r="AB10" s="774">
        <f t="shared" si="4"/>
        <v>1</v>
      </c>
      <c r="AC10" s="2677">
        <f t="shared" si="5"/>
        <v>1.0101010101010102</v>
      </c>
    </row>
    <row r="11" spans="1:29" ht="15">
      <c r="A11" s="429"/>
      <c r="B11" s="2934" t="s">
        <v>2556</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150"/>
      <c r="Q11" s="2932" t="str">
        <f t="shared" si="6"/>
        <v>容积率</v>
      </c>
      <c r="R11" s="771" t="s">
        <v>17</v>
      </c>
      <c r="S11" s="772">
        <f t="shared" si="0"/>
        <v>100</v>
      </c>
      <c r="T11" s="771" t="s">
        <v>17</v>
      </c>
      <c r="U11" s="772">
        <f t="shared" si="1"/>
        <v>100</v>
      </c>
      <c r="V11" s="771" t="s">
        <v>17</v>
      </c>
      <c r="W11" s="772">
        <f t="shared" si="2"/>
        <v>100</v>
      </c>
      <c r="X11" s="773"/>
      <c r="Y11" s="3005"/>
      <c r="Z11" s="2933" t="str">
        <f t="shared" si="7"/>
        <v>容积率</v>
      </c>
      <c r="AA11" s="774">
        <f t="shared" si="3"/>
        <v>1</v>
      </c>
      <c r="AB11" s="774">
        <f t="shared" si="4"/>
        <v>1</v>
      </c>
      <c r="AC11" s="2677">
        <f t="shared" si="5"/>
        <v>1</v>
      </c>
    </row>
    <row r="12" spans="1:29" s="117" customFormat="1" ht="15">
      <c r="A12" s="432"/>
      <c r="B12" s="2606">
        <v>111</v>
      </c>
      <c r="C12" s="433"/>
      <c r="D12" s="434">
        <v>100</v>
      </c>
      <c r="E12" s="433"/>
      <c r="F12" s="136">
        <f>SUMIF(71:71,E12,72:72)-SUMIF(71:71,C12,72:72)+100</f>
        <v>100</v>
      </c>
      <c r="G12" s="2678"/>
      <c r="H12" s="136">
        <f>SUMIF(71:71,G12,72:72)-SUMIF(71:71,C12,72:72)+100</f>
        <v>100</v>
      </c>
      <c r="I12" s="433"/>
      <c r="J12" s="136">
        <f>SUMIF(71:71,I12,72:72)-SUMIF(71:71,C12,72:72)+100</f>
        <v>100</v>
      </c>
      <c r="K12" s="614"/>
      <c r="L12" s="1136"/>
      <c r="M12" s="1137"/>
      <c r="N12" s="1137"/>
      <c r="O12" s="1137"/>
      <c r="P12" s="3150"/>
      <c r="Q12" s="2932">
        <f t="shared" si="6"/>
        <v>111</v>
      </c>
      <c r="R12" s="771" t="s">
        <v>17</v>
      </c>
      <c r="S12" s="772">
        <f t="shared" si="0"/>
        <v>100</v>
      </c>
      <c r="T12" s="771" t="s">
        <v>17</v>
      </c>
      <c r="U12" s="772">
        <f t="shared" si="1"/>
        <v>100</v>
      </c>
      <c r="V12" s="771" t="s">
        <v>17</v>
      </c>
      <c r="W12" s="772">
        <f t="shared" si="2"/>
        <v>100</v>
      </c>
      <c r="X12" s="773"/>
      <c r="Y12" s="3005"/>
      <c r="Z12" s="2933">
        <f t="shared" si="7"/>
        <v>111</v>
      </c>
      <c r="AA12" s="774">
        <f>D12/F12</f>
        <v>1</v>
      </c>
      <c r="AB12" s="774">
        <f>D12/H12</f>
        <v>1</v>
      </c>
      <c r="AC12" s="2677">
        <f>D12/J12</f>
        <v>1</v>
      </c>
    </row>
    <row r="13" spans="1:29" ht="15">
      <c r="A13" s="429"/>
      <c r="B13" s="2606">
        <v>111</v>
      </c>
      <c r="C13" s="435"/>
      <c r="D13" s="436">
        <v>100</v>
      </c>
      <c r="E13" s="433"/>
      <c r="F13" s="136">
        <f>SUMIF(73:73,E13,74:74)-SUMIF(73:73,C13,74:74)+100</f>
        <v>100</v>
      </c>
      <c r="G13" s="2678"/>
      <c r="H13" s="436">
        <f>SUMIF(73:73,G13,74:74)-SUMIF(73:73,C13,74:74)+100</f>
        <v>100</v>
      </c>
      <c r="I13" s="433"/>
      <c r="J13" s="436">
        <f>SUMIF(73:73,I13,74:74)-SUMIF(73:73,C13,74:74)+100</f>
        <v>100</v>
      </c>
      <c r="K13" s="614"/>
      <c r="L13" s="1144"/>
      <c r="M13" s="1135"/>
      <c r="N13" s="1135"/>
      <c r="O13" s="1135"/>
      <c r="P13" s="3150"/>
      <c r="Q13" s="2932">
        <f t="shared" si="6"/>
        <v>111</v>
      </c>
      <c r="R13" s="771" t="s">
        <v>17</v>
      </c>
      <c r="S13" s="772">
        <f t="shared" si="0"/>
        <v>100</v>
      </c>
      <c r="T13" s="771" t="s">
        <v>17</v>
      </c>
      <c r="U13" s="772">
        <f t="shared" si="1"/>
        <v>100</v>
      </c>
      <c r="V13" s="771" t="s">
        <v>17</v>
      </c>
      <c r="W13" s="772">
        <f t="shared" si="2"/>
        <v>100</v>
      </c>
      <c r="X13" s="773"/>
      <c r="Y13" s="3005"/>
      <c r="Z13" s="2933">
        <f t="shared" si="7"/>
        <v>111</v>
      </c>
      <c r="AA13" s="774">
        <f t="shared" si="3"/>
        <v>1</v>
      </c>
      <c r="AB13" s="774">
        <f t="shared" si="4"/>
        <v>1</v>
      </c>
      <c r="AC13" s="2677">
        <f t="shared" si="5"/>
        <v>1</v>
      </c>
    </row>
    <row r="14" spans="1:29" ht="15.75" thickBot="1">
      <c r="A14" s="437"/>
      <c r="B14" s="2608">
        <v>111</v>
      </c>
      <c r="C14" s="438"/>
      <c r="D14" s="439">
        <v>100</v>
      </c>
      <c r="E14" s="629"/>
      <c r="F14" s="439">
        <f>SUMIF(75:75,E14,76:76)-SUMIF(75:75,C14,76:76)+100</f>
        <v>100</v>
      </c>
      <c r="G14" s="2678"/>
      <c r="H14" s="439">
        <f>SUMIF(75:75,G14,76:76)-SUMIF(75:75,C14,76:76)+100</f>
        <v>100</v>
      </c>
      <c r="I14" s="433"/>
      <c r="J14" s="439">
        <f>SUMIF(75:75,I14,76:76)-SUMIF(75:75,C14,76:76)+100</f>
        <v>100</v>
      </c>
      <c r="K14" s="614"/>
      <c r="L14" s="1144"/>
      <c r="M14" s="1135"/>
      <c r="N14" s="1135"/>
      <c r="O14" s="1135"/>
      <c r="P14" s="3150"/>
      <c r="Q14" s="2932">
        <f t="shared" si="6"/>
        <v>111</v>
      </c>
      <c r="R14" s="771" t="s">
        <v>17</v>
      </c>
      <c r="S14" s="772">
        <f t="shared" si="0"/>
        <v>100</v>
      </c>
      <c r="T14" s="771" t="s">
        <v>17</v>
      </c>
      <c r="U14" s="772">
        <f t="shared" si="1"/>
        <v>100</v>
      </c>
      <c r="V14" s="771" t="s">
        <v>17</v>
      </c>
      <c r="W14" s="772">
        <f t="shared" si="2"/>
        <v>100</v>
      </c>
      <c r="X14" s="773"/>
      <c r="Y14" s="3005"/>
      <c r="Z14" s="2933">
        <f t="shared" si="7"/>
        <v>111</v>
      </c>
      <c r="AA14" s="774">
        <f t="shared" si="3"/>
        <v>1</v>
      </c>
      <c r="AB14" s="774">
        <f t="shared" si="4"/>
        <v>1</v>
      </c>
      <c r="AC14" s="2677">
        <f t="shared" si="5"/>
        <v>1</v>
      </c>
    </row>
    <row r="15" spans="1:29" ht="57">
      <c r="A15" s="441" t="s">
        <v>2557</v>
      </c>
      <c r="B15" s="630" t="s">
        <v>2685</v>
      </c>
      <c r="C15" s="2679" t="str">
        <f>估价对象房地状况!C5</f>
        <v>估价对象周边办公楼项目较多，入驻率高，办公集聚程度较好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156" t="s">
        <v>2558</v>
      </c>
      <c r="Q15" s="2938" t="str">
        <f t="shared" si="6"/>
        <v>办公集聚程度</v>
      </c>
      <c r="R15" s="775" t="s">
        <v>17</v>
      </c>
      <c r="S15" s="776">
        <f t="shared" si="0"/>
        <v>100</v>
      </c>
      <c r="T15" s="775" t="s">
        <v>17</v>
      </c>
      <c r="U15" s="776">
        <f t="shared" si="1"/>
        <v>100</v>
      </c>
      <c r="V15" s="775" t="s">
        <v>17</v>
      </c>
      <c r="W15" s="776">
        <f t="shared" si="2"/>
        <v>100</v>
      </c>
      <c r="X15" s="2935"/>
      <c r="Y15" s="3158" t="s">
        <v>2558</v>
      </c>
      <c r="Z15" s="2936" t="str">
        <f t="shared" si="7"/>
        <v>办公集聚程度</v>
      </c>
      <c r="AA15" s="2939">
        <f t="shared" si="3"/>
        <v>1</v>
      </c>
      <c r="AB15" s="2939">
        <f t="shared" si="4"/>
        <v>1</v>
      </c>
      <c r="AC15" s="2680">
        <f t="shared" si="5"/>
        <v>1</v>
      </c>
    </row>
    <row r="16" spans="1:29" ht="15">
      <c r="A16" s="429"/>
      <c r="B16" s="631"/>
      <c r="C16" s="2617" t="s">
        <v>3097</v>
      </c>
      <c r="D16" s="449"/>
      <c r="E16" s="448" t="s">
        <v>3097</v>
      </c>
      <c r="F16" s="449"/>
      <c r="G16" s="2617" t="s">
        <v>3097</v>
      </c>
      <c r="H16" s="451"/>
      <c r="I16" s="448" t="s">
        <v>3097</v>
      </c>
      <c r="J16" s="449"/>
      <c r="K16" s="616"/>
      <c r="L16" s="1144"/>
      <c r="M16" s="1135"/>
      <c r="N16" s="1135"/>
      <c r="O16" s="1135"/>
      <c r="P16" s="3157"/>
      <c r="Q16" s="2938"/>
      <c r="R16" s="775"/>
      <c r="S16" s="776"/>
      <c r="T16" s="775"/>
      <c r="U16" s="776"/>
      <c r="V16" s="775"/>
      <c r="W16" s="776"/>
      <c r="X16" s="2935"/>
      <c r="Y16" s="3159"/>
      <c r="Z16" s="2936"/>
      <c r="AA16" s="2939">
        <v>1</v>
      </c>
      <c r="AB16" s="2939">
        <v>1</v>
      </c>
      <c r="AC16" s="2680">
        <v>1</v>
      </c>
    </row>
    <row r="17" spans="1:29" ht="71.25">
      <c r="A17" s="429"/>
      <c r="B17" s="632" t="s">
        <v>2095</v>
      </c>
      <c r="C17" s="2681" t="str">
        <f>估价对象房地状况!C6</f>
        <v>估价对象周边道路通达、公共交通通达、停车便捷，综合评价交通便捷度较好</v>
      </c>
      <c r="D17" s="451">
        <v>100</v>
      </c>
      <c r="E17" s="455"/>
      <c r="F17" s="451">
        <f>SUMIF(79:79,E18,80:80)-SUMIF(79:79,C18,80:80)+100</f>
        <v>102</v>
      </c>
      <c r="G17" s="453"/>
      <c r="H17" s="456">
        <f>SUMIF(79:79,G18,80:80)-SUMIF(79:79,C18,80:80)+100</f>
        <v>100</v>
      </c>
      <c r="I17" s="453"/>
      <c r="J17" s="456">
        <f>SUMIF(79:79,I18,80:80)-SUMIF(79:79,C18,80:80)+100</f>
        <v>102</v>
      </c>
      <c r="K17" s="615">
        <v>2</v>
      </c>
      <c r="L17" s="1144"/>
      <c r="M17" s="1135"/>
      <c r="N17" s="1135"/>
      <c r="O17" s="1135"/>
      <c r="P17" s="3157"/>
      <c r="Q17" s="2938" t="str">
        <f>B17</f>
        <v>交通便捷度</v>
      </c>
      <c r="R17" s="775" t="s">
        <v>17</v>
      </c>
      <c r="S17" s="776">
        <f>F17</f>
        <v>102</v>
      </c>
      <c r="T17" s="775" t="s">
        <v>17</v>
      </c>
      <c r="U17" s="776">
        <f>H17</f>
        <v>100</v>
      </c>
      <c r="V17" s="775" t="s">
        <v>17</v>
      </c>
      <c r="W17" s="776">
        <f>J17</f>
        <v>102</v>
      </c>
      <c r="X17" s="2935"/>
      <c r="Y17" s="3159"/>
      <c r="Z17" s="2936" t="str">
        <f>Q17</f>
        <v>交通便捷度</v>
      </c>
      <c r="AA17" s="2939">
        <f t="shared" si="3"/>
        <v>0.98039215686274506</v>
      </c>
      <c r="AB17" s="2939">
        <f t="shared" si="4"/>
        <v>1</v>
      </c>
      <c r="AC17" s="2680">
        <f t="shared" si="5"/>
        <v>0.98039215686274506</v>
      </c>
    </row>
    <row r="18" spans="1:29" ht="15">
      <c r="A18" s="429"/>
      <c r="B18" s="633"/>
      <c r="C18" s="2682" t="s">
        <v>3097</v>
      </c>
      <c r="D18" s="451"/>
      <c r="E18" s="2615" t="s">
        <v>3098</v>
      </c>
      <c r="F18" s="451"/>
      <c r="G18" s="2616" t="s">
        <v>3097</v>
      </c>
      <c r="H18" s="449"/>
      <c r="I18" s="2616" t="s">
        <v>3098</v>
      </c>
      <c r="J18" s="449"/>
      <c r="K18" s="616"/>
      <c r="L18" s="1144"/>
      <c r="M18" s="1135"/>
      <c r="N18" s="1135"/>
      <c r="O18" s="1135"/>
      <c r="P18" s="3157"/>
      <c r="Q18" s="2938"/>
      <c r="R18" s="775"/>
      <c r="S18" s="776"/>
      <c r="T18" s="775"/>
      <c r="U18" s="776"/>
      <c r="V18" s="775"/>
      <c r="W18" s="776"/>
      <c r="X18" s="2935"/>
      <c r="Y18" s="3159"/>
      <c r="Z18" s="2936"/>
      <c r="AA18" s="2939">
        <v>1</v>
      </c>
      <c r="AB18" s="2939">
        <v>1</v>
      </c>
      <c r="AC18" s="2680">
        <v>1</v>
      </c>
    </row>
    <row r="19" spans="1:29" ht="28.5">
      <c r="A19" s="429"/>
      <c r="B19" s="632" t="s">
        <v>2686</v>
      </c>
      <c r="C19" s="2681"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157"/>
      <c r="Q19" s="2938" t="str">
        <f>B19</f>
        <v>公共配套设施</v>
      </c>
      <c r="R19" s="775" t="s">
        <v>17</v>
      </c>
      <c r="S19" s="776">
        <f>F19</f>
        <v>100</v>
      </c>
      <c r="T19" s="775" t="s">
        <v>17</v>
      </c>
      <c r="U19" s="776">
        <f>H19</f>
        <v>100</v>
      </c>
      <c r="V19" s="775" t="s">
        <v>17</v>
      </c>
      <c r="W19" s="776">
        <f>J19</f>
        <v>100</v>
      </c>
      <c r="X19" s="2935"/>
      <c r="Y19" s="3159"/>
      <c r="Z19" s="2936" t="str">
        <f>Q19</f>
        <v>公共配套设施</v>
      </c>
      <c r="AA19" s="2939">
        <f t="shared" si="3"/>
        <v>1</v>
      </c>
      <c r="AB19" s="2939">
        <f t="shared" si="4"/>
        <v>1</v>
      </c>
      <c r="AC19" s="2680">
        <f t="shared" si="5"/>
        <v>1</v>
      </c>
    </row>
    <row r="20" spans="1:29" ht="15">
      <c r="A20" s="429"/>
      <c r="B20" s="633"/>
      <c r="C20" s="2617" t="s">
        <v>3098</v>
      </c>
      <c r="D20" s="449"/>
      <c r="E20" s="2610" t="s">
        <v>3098</v>
      </c>
      <c r="F20" s="449"/>
      <c r="G20" s="2611" t="s">
        <v>3098</v>
      </c>
      <c r="H20" s="449"/>
      <c r="I20" s="2611" t="s">
        <v>3098</v>
      </c>
      <c r="J20" s="449"/>
      <c r="K20" s="616"/>
      <c r="L20" s="1144"/>
      <c r="M20" s="1135"/>
      <c r="N20" s="1135"/>
      <c r="O20" s="1135"/>
      <c r="P20" s="3157"/>
      <c r="Q20" s="2938"/>
      <c r="R20" s="775"/>
      <c r="S20" s="776"/>
      <c r="T20" s="775"/>
      <c r="U20" s="776"/>
      <c r="V20" s="775"/>
      <c r="W20" s="776"/>
      <c r="X20" s="2935"/>
      <c r="Y20" s="3159"/>
      <c r="Z20" s="2936"/>
      <c r="AA20" s="2939">
        <v>1</v>
      </c>
      <c r="AB20" s="2939">
        <v>1</v>
      </c>
      <c r="AC20" s="2680">
        <v>1</v>
      </c>
    </row>
    <row r="21" spans="1:29" ht="42.75">
      <c r="A21" s="429"/>
      <c r="B21" s="634" t="s">
        <v>2687</v>
      </c>
      <c r="C21" s="2681"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157"/>
      <c r="Q21" s="2938" t="str">
        <f>B21</f>
        <v>基础设施水平</v>
      </c>
      <c r="R21" s="775" t="s">
        <v>17</v>
      </c>
      <c r="S21" s="776">
        <f>F21</f>
        <v>100</v>
      </c>
      <c r="T21" s="775" t="s">
        <v>17</v>
      </c>
      <c r="U21" s="776">
        <f>H21</f>
        <v>100</v>
      </c>
      <c r="V21" s="775" t="s">
        <v>17</v>
      </c>
      <c r="W21" s="776">
        <f>J21</f>
        <v>100</v>
      </c>
      <c r="X21" s="2935"/>
      <c r="Y21" s="3159"/>
      <c r="Z21" s="2936" t="str">
        <f>Q21</f>
        <v>基础设施水平</v>
      </c>
      <c r="AA21" s="2939">
        <f t="shared" ref="AA21" si="8">D21/F21</f>
        <v>1</v>
      </c>
      <c r="AB21" s="2939">
        <f t="shared" ref="AB21" si="9">D21/H21</f>
        <v>1</v>
      </c>
      <c r="AC21" s="2680">
        <f t="shared" ref="AC21" si="10">D21/J21</f>
        <v>1</v>
      </c>
    </row>
    <row r="22" spans="1:29" ht="15">
      <c r="A22" s="429"/>
      <c r="B22" s="634"/>
      <c r="C22" s="2682" t="s">
        <v>3078</v>
      </c>
      <c r="D22" s="449"/>
      <c r="E22" s="448" t="s">
        <v>3078</v>
      </c>
      <c r="F22" s="449"/>
      <c r="G22" s="2617" t="s">
        <v>3078</v>
      </c>
      <c r="H22" s="449"/>
      <c r="I22" s="2617" t="s">
        <v>3078</v>
      </c>
      <c r="J22" s="449"/>
      <c r="K22" s="1387"/>
      <c r="L22" s="1144"/>
      <c r="M22" s="1135"/>
      <c r="N22" s="1135"/>
      <c r="O22" s="1135"/>
      <c r="P22" s="3157"/>
      <c r="Q22" s="2938"/>
      <c r="R22" s="775"/>
      <c r="S22" s="776"/>
      <c r="T22" s="775"/>
      <c r="U22" s="776"/>
      <c r="V22" s="775"/>
      <c r="W22" s="776"/>
      <c r="X22" s="2935"/>
      <c r="Y22" s="3159"/>
      <c r="Z22" s="2936"/>
      <c r="AA22" s="2939">
        <v>1</v>
      </c>
      <c r="AB22" s="2939">
        <v>1</v>
      </c>
      <c r="AC22" s="2680">
        <v>1</v>
      </c>
    </row>
    <row r="23" spans="1:29" ht="57">
      <c r="A23" s="429"/>
      <c r="B23" s="632" t="s">
        <v>2688</v>
      </c>
      <c r="C23" s="2681" t="str">
        <f>估价对象房地状况!C9</f>
        <v>区域自然环境较好；人文环境较好；综合评价环境状况较好</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157"/>
      <c r="Q23" s="2938" t="str">
        <f>B23</f>
        <v>环境质量</v>
      </c>
      <c r="R23" s="775" t="s">
        <v>17</v>
      </c>
      <c r="S23" s="776">
        <f>F23</f>
        <v>100</v>
      </c>
      <c r="T23" s="775" t="s">
        <v>17</v>
      </c>
      <c r="U23" s="776">
        <f>H23</f>
        <v>100</v>
      </c>
      <c r="V23" s="775" t="s">
        <v>17</v>
      </c>
      <c r="W23" s="776">
        <f>J23</f>
        <v>100</v>
      </c>
      <c r="X23" s="2935"/>
      <c r="Y23" s="3159"/>
      <c r="Z23" s="2936" t="str">
        <f>Q23</f>
        <v>环境质量</v>
      </c>
      <c r="AA23" s="2939">
        <f t="shared" si="3"/>
        <v>1</v>
      </c>
      <c r="AB23" s="2939">
        <f t="shared" si="4"/>
        <v>1</v>
      </c>
      <c r="AC23" s="2680">
        <f t="shared" si="5"/>
        <v>1</v>
      </c>
    </row>
    <row r="24" spans="1:29" ht="15">
      <c r="A24" s="429"/>
      <c r="B24" s="634"/>
      <c r="C24" s="2617" t="s">
        <v>3097</v>
      </c>
      <c r="D24" s="449"/>
      <c r="E24" s="2610" t="s">
        <v>3097</v>
      </c>
      <c r="F24" s="449"/>
      <c r="G24" s="2611" t="s">
        <v>3097</v>
      </c>
      <c r="H24" s="449"/>
      <c r="I24" s="2611" t="s">
        <v>3097</v>
      </c>
      <c r="J24" s="449"/>
      <c r="K24" s="616"/>
      <c r="L24" s="1144"/>
      <c r="M24" s="1135"/>
      <c r="N24" s="1135"/>
      <c r="O24" s="1135"/>
      <c r="P24" s="3157"/>
      <c r="Q24" s="2938"/>
      <c r="R24" s="775"/>
      <c r="S24" s="776"/>
      <c r="T24" s="775"/>
      <c r="U24" s="776"/>
      <c r="V24" s="775"/>
      <c r="W24" s="776"/>
      <c r="X24" s="2935"/>
      <c r="Y24" s="3159"/>
      <c r="Z24" s="2936"/>
      <c r="AA24" s="2939">
        <v>1</v>
      </c>
      <c r="AB24" s="2939">
        <v>1</v>
      </c>
      <c r="AC24" s="2680">
        <v>1</v>
      </c>
    </row>
    <row r="25" spans="1:29" ht="28.5">
      <c r="A25" s="405"/>
      <c r="B25" s="632" t="s">
        <v>2689</v>
      </c>
      <c r="C25" s="2948" t="str">
        <f>'比较法-办公'!C25</f>
        <v>城市次干道——新东路</v>
      </c>
      <c r="D25" s="436">
        <v>100</v>
      </c>
      <c r="E25" s="435" t="str">
        <f>'比较法-办公'!G25</f>
        <v>城市次干道——工人体育场北路</v>
      </c>
      <c r="F25" s="436">
        <f>SUMIF(87:87,E26,88:88)-SUMIF(87:87,C26,88:88)+100</f>
        <v>100</v>
      </c>
      <c r="G25" s="2621" t="str">
        <f>E25</f>
        <v>城市次干道——工人体育场北路</v>
      </c>
      <c r="H25" s="436">
        <f>SUMIF(87:87,G26,88:88)-SUMIF(87:87,C26,88:88)+100</f>
        <v>100</v>
      </c>
      <c r="I25" s="435" t="s">
        <v>3138</v>
      </c>
      <c r="J25" s="436">
        <f>SUMIF(87:87,I26,88:88)-SUMIF(87:87,C26,88:88)+100</f>
        <v>104</v>
      </c>
      <c r="K25" s="615">
        <v>2</v>
      </c>
      <c r="L25" s="1144"/>
      <c r="M25" s="1135"/>
      <c r="N25" s="1135"/>
      <c r="O25" s="1135"/>
      <c r="P25" s="3157"/>
      <c r="Q25" s="2938" t="str">
        <f>B25</f>
        <v>毗邻道路的类型与等级</v>
      </c>
      <c r="R25" s="775" t="s">
        <v>17</v>
      </c>
      <c r="S25" s="776">
        <f>F25</f>
        <v>100</v>
      </c>
      <c r="T25" s="775" t="s">
        <v>17</v>
      </c>
      <c r="U25" s="776">
        <f>H25</f>
        <v>100</v>
      </c>
      <c r="V25" s="775" t="s">
        <v>17</v>
      </c>
      <c r="W25" s="776">
        <f>J25</f>
        <v>104</v>
      </c>
      <c r="X25" s="2935"/>
      <c r="Y25" s="3159"/>
      <c r="Z25" s="2936" t="str">
        <f>Q25</f>
        <v>毗邻道路的类型与等级</v>
      </c>
      <c r="AA25" s="2939">
        <f t="shared" si="3"/>
        <v>1</v>
      </c>
      <c r="AB25" s="2939">
        <f t="shared" si="4"/>
        <v>1</v>
      </c>
      <c r="AC25" s="2680">
        <f t="shared" si="5"/>
        <v>0.96153846153846156</v>
      </c>
    </row>
    <row r="26" spans="1:29" ht="15">
      <c r="A26" s="405"/>
      <c r="B26" s="633"/>
      <c r="C26" s="635" t="s">
        <v>3133</v>
      </c>
      <c r="D26" s="436"/>
      <c r="E26" s="617" t="s">
        <v>3133</v>
      </c>
      <c r="F26" s="436"/>
      <c r="G26" s="635" t="s">
        <v>3133</v>
      </c>
      <c r="H26" s="436"/>
      <c r="I26" s="617" t="s">
        <v>3082</v>
      </c>
      <c r="J26" s="436"/>
      <c r="K26" s="616"/>
      <c r="L26" s="1144"/>
      <c r="M26" s="1135"/>
      <c r="N26" s="1135"/>
      <c r="O26" s="1135"/>
      <c r="P26" s="3157"/>
      <c r="Q26" s="2938"/>
      <c r="R26" s="775"/>
      <c r="S26" s="776"/>
      <c r="T26" s="775"/>
      <c r="U26" s="776"/>
      <c r="V26" s="775"/>
      <c r="W26" s="776"/>
      <c r="X26" s="2935"/>
      <c r="Y26" s="3159"/>
      <c r="Z26" s="2936"/>
      <c r="AA26" s="2939">
        <v>1</v>
      </c>
      <c r="AB26" s="2939">
        <v>1</v>
      </c>
      <c r="AC26" s="2680">
        <v>1</v>
      </c>
    </row>
    <row r="27" spans="1:29" ht="15">
      <c r="A27" s="429"/>
      <c r="B27" s="633" t="s">
        <v>2657</v>
      </c>
      <c r="C27" s="635" t="s">
        <v>3090</v>
      </c>
      <c r="D27" s="436">
        <v>100</v>
      </c>
      <c r="E27" s="617" t="s">
        <v>3111</v>
      </c>
      <c r="F27" s="436">
        <f>SUMIF(89:89,E27,90:90)-SUMIF(89:89,C27,90:90)+100</f>
        <v>104</v>
      </c>
      <c r="G27" s="635" t="s">
        <v>3111</v>
      </c>
      <c r="H27" s="436">
        <f>SUMIF(89:89,G27,90:90)-SUMIF(89:89,C27,90:90)+100</f>
        <v>104</v>
      </c>
      <c r="I27" s="617" t="s">
        <v>3111</v>
      </c>
      <c r="J27" s="436">
        <f>SUMIF(89:89,I27,90:90)-SUMIF(89:89,C27,90:90)+100</f>
        <v>104</v>
      </c>
      <c r="K27" s="613">
        <v>2</v>
      </c>
      <c r="L27" s="1144"/>
      <c r="M27" s="1135"/>
      <c r="N27" s="1135"/>
      <c r="O27" s="1135"/>
      <c r="P27" s="3157"/>
      <c r="Q27" s="2938" t="str">
        <f t="shared" ref="Q27:Q47" si="11">B27</f>
        <v>楼层</v>
      </c>
      <c r="R27" s="775" t="s">
        <v>17</v>
      </c>
      <c r="S27" s="776">
        <f>F27</f>
        <v>104</v>
      </c>
      <c r="T27" s="775" t="s">
        <v>17</v>
      </c>
      <c r="U27" s="776">
        <f>H27</f>
        <v>104</v>
      </c>
      <c r="V27" s="775" t="s">
        <v>17</v>
      </c>
      <c r="W27" s="776">
        <f>J27</f>
        <v>104</v>
      </c>
      <c r="X27" s="2935"/>
      <c r="Y27" s="3159"/>
      <c r="Z27" s="2936" t="str">
        <f>Q27</f>
        <v>楼层</v>
      </c>
      <c r="AA27" s="2939">
        <f t="shared" si="3"/>
        <v>0.96153846153846156</v>
      </c>
      <c r="AB27" s="2939">
        <f t="shared" si="4"/>
        <v>0.96153846153846156</v>
      </c>
      <c r="AC27" s="2680">
        <f t="shared" si="5"/>
        <v>0.96153846153846156</v>
      </c>
    </row>
    <row r="28" spans="1:29" s="117" customFormat="1" ht="15">
      <c r="A28" s="432"/>
      <c r="B28" s="632" t="s">
        <v>2690</v>
      </c>
      <c r="C28" s="2683"/>
      <c r="D28" s="463">
        <v>100</v>
      </c>
      <c r="E28" s="2671"/>
      <c r="F28" s="463">
        <f>SUMIF(91:91,E28,92:92)-SUMIF(91:91,C28,92:92)+100</f>
        <v>100</v>
      </c>
      <c r="G28" s="2683"/>
      <c r="H28" s="463">
        <f>SUMIF(91:91,G28,92:92)-SUMIF(91:91,C28,92:92)+100</f>
        <v>100</v>
      </c>
      <c r="I28" s="2671"/>
      <c r="J28" s="463">
        <f>SUMIF(91:91,I28,92:92)-SUMIF(91:91,C28,92:92)+100</f>
        <v>100</v>
      </c>
      <c r="K28" s="613">
        <v>1</v>
      </c>
      <c r="L28" s="1136"/>
      <c r="M28" s="1137"/>
      <c r="N28" s="1137"/>
      <c r="O28" s="1137"/>
      <c r="P28" s="3157"/>
      <c r="Q28" s="2932" t="str">
        <f t="shared" si="11"/>
        <v>朝向</v>
      </c>
      <c r="R28" s="771" t="s">
        <v>17</v>
      </c>
      <c r="S28" s="772">
        <f>F28</f>
        <v>100</v>
      </c>
      <c r="T28" s="771" t="s">
        <v>17</v>
      </c>
      <c r="U28" s="772">
        <f>H28</f>
        <v>100</v>
      </c>
      <c r="V28" s="771" t="s">
        <v>17</v>
      </c>
      <c r="W28" s="772">
        <f>J28</f>
        <v>100</v>
      </c>
      <c r="X28" s="773"/>
      <c r="Y28" s="3159"/>
      <c r="Z28" s="2933" t="str">
        <f>Q28</f>
        <v>朝向</v>
      </c>
      <c r="AA28" s="2939">
        <f>D28/F28</f>
        <v>1</v>
      </c>
      <c r="AB28" s="2939">
        <f>D28/H28</f>
        <v>1</v>
      </c>
      <c r="AC28" s="2680">
        <f>D28/J28</f>
        <v>1</v>
      </c>
    </row>
    <row r="29" spans="1:29" ht="15">
      <c r="A29" s="429"/>
      <c r="B29" s="2684">
        <v>111</v>
      </c>
      <c r="C29" s="2621"/>
      <c r="D29" s="436">
        <v>100</v>
      </c>
      <c r="E29" s="433"/>
      <c r="F29" s="436">
        <f>SUMIF(93:93,E29,94:94)-SUMIF(93:93,C29,94:94)+100</f>
        <v>100</v>
      </c>
      <c r="G29" s="2678"/>
      <c r="H29" s="436">
        <f>SUMIF(93:93,G29,94:94)-SUMIF(93:93,C29,94:94)+100</f>
        <v>100</v>
      </c>
      <c r="I29" s="433"/>
      <c r="J29" s="436">
        <f>SUMIF(93:93,I29,94:94)-SUMIF(93:93,C29,94:94)+100</f>
        <v>100</v>
      </c>
      <c r="K29" s="614"/>
      <c r="L29" s="1144"/>
      <c r="M29" s="1135"/>
      <c r="N29" s="1135"/>
      <c r="O29" s="1135"/>
      <c r="P29" s="3157"/>
      <c r="Q29" s="2938">
        <f t="shared" si="11"/>
        <v>111</v>
      </c>
      <c r="R29" s="775" t="s">
        <v>17</v>
      </c>
      <c r="S29" s="776">
        <f t="shared" ref="S29:S47" si="12">F29</f>
        <v>100</v>
      </c>
      <c r="T29" s="775" t="s">
        <v>17</v>
      </c>
      <c r="U29" s="776">
        <f t="shared" ref="U29:U47" si="13">H29</f>
        <v>100</v>
      </c>
      <c r="V29" s="775" t="s">
        <v>17</v>
      </c>
      <c r="W29" s="776">
        <f t="shared" ref="W29:W47" si="14">J29</f>
        <v>100</v>
      </c>
      <c r="X29" s="2935"/>
      <c r="Y29" s="3159"/>
      <c r="Z29" s="2936">
        <f t="shared" ref="Z29:Z47" si="15">Q29</f>
        <v>111</v>
      </c>
      <c r="AA29" s="2939">
        <f t="shared" si="3"/>
        <v>1</v>
      </c>
      <c r="AB29" s="2939">
        <f t="shared" si="4"/>
        <v>1</v>
      </c>
      <c r="AC29" s="2680">
        <f t="shared" si="5"/>
        <v>1</v>
      </c>
    </row>
    <row r="30" spans="1:29" ht="15">
      <c r="A30" s="429"/>
      <c r="B30" s="2684">
        <v>111</v>
      </c>
      <c r="C30" s="2621"/>
      <c r="D30" s="436">
        <v>100</v>
      </c>
      <c r="E30" s="433"/>
      <c r="F30" s="436">
        <f>SUMIF(95:95,E30,96:96)-SUMIF(95:95,C30,96:96)+100</f>
        <v>100</v>
      </c>
      <c r="G30" s="2678"/>
      <c r="H30" s="436">
        <f>SUMIF(95:95,G30,96:96)-SUMIF(95:95,C30,96:96)+100</f>
        <v>100</v>
      </c>
      <c r="I30" s="433"/>
      <c r="J30" s="436">
        <f>SUMIF(95:95,I30,96:96)-SUMIF(95:95,C30,96:96)+100</f>
        <v>100</v>
      </c>
      <c r="K30" s="614"/>
      <c r="L30" s="1144"/>
      <c r="M30" s="1135"/>
      <c r="N30" s="1135"/>
      <c r="O30" s="1135"/>
      <c r="P30" s="3157"/>
      <c r="Q30" s="2938">
        <f t="shared" si="11"/>
        <v>111</v>
      </c>
      <c r="R30" s="775" t="s">
        <v>17</v>
      </c>
      <c r="S30" s="776">
        <f t="shared" si="12"/>
        <v>100</v>
      </c>
      <c r="T30" s="775" t="s">
        <v>17</v>
      </c>
      <c r="U30" s="776">
        <f t="shared" si="13"/>
        <v>100</v>
      </c>
      <c r="V30" s="775" t="s">
        <v>17</v>
      </c>
      <c r="W30" s="776">
        <f t="shared" si="14"/>
        <v>100</v>
      </c>
      <c r="X30" s="2935"/>
      <c r="Y30" s="3159"/>
      <c r="Z30" s="2936">
        <f t="shared" si="15"/>
        <v>111</v>
      </c>
      <c r="AA30" s="2939">
        <f t="shared" si="3"/>
        <v>1</v>
      </c>
      <c r="AB30" s="2939">
        <f t="shared" si="4"/>
        <v>1</v>
      </c>
      <c r="AC30" s="2680">
        <f t="shared" si="5"/>
        <v>1</v>
      </c>
    </row>
    <row r="31" spans="1:29" ht="15">
      <c r="A31" s="429"/>
      <c r="B31" s="2684">
        <v>111</v>
      </c>
      <c r="C31" s="2621"/>
      <c r="D31" s="436">
        <v>100</v>
      </c>
      <c r="E31" s="433"/>
      <c r="F31" s="436">
        <f>SUMIF(97:97,E31,98:98)-SUMIF(97:97,C31,98:98)+100</f>
        <v>100</v>
      </c>
      <c r="G31" s="2678"/>
      <c r="H31" s="436">
        <f>SUMIF(97:97,G31,98:98)-SUMIF(97:97,C31,98:98)+100</f>
        <v>100</v>
      </c>
      <c r="I31" s="433"/>
      <c r="J31" s="436">
        <f>SUMIF(97:97,I31,98:98)-SUMIF(97:97,C31,98:98)+100</f>
        <v>100</v>
      </c>
      <c r="K31" s="614"/>
      <c r="L31" s="1144"/>
      <c r="M31" s="1135"/>
      <c r="N31" s="1135"/>
      <c r="O31" s="1135"/>
      <c r="P31" s="3157"/>
      <c r="Q31" s="2938">
        <f t="shared" si="11"/>
        <v>111</v>
      </c>
      <c r="R31" s="775" t="s">
        <v>17</v>
      </c>
      <c r="S31" s="776">
        <f t="shared" si="12"/>
        <v>100</v>
      </c>
      <c r="T31" s="775" t="s">
        <v>17</v>
      </c>
      <c r="U31" s="776">
        <f t="shared" si="13"/>
        <v>100</v>
      </c>
      <c r="V31" s="775" t="s">
        <v>17</v>
      </c>
      <c r="W31" s="776">
        <f t="shared" si="14"/>
        <v>100</v>
      </c>
      <c r="X31" s="2935"/>
      <c r="Y31" s="3159"/>
      <c r="Z31" s="2936">
        <f t="shared" si="15"/>
        <v>111</v>
      </c>
      <c r="AA31" s="2939">
        <f t="shared" si="3"/>
        <v>1</v>
      </c>
      <c r="AB31" s="2939">
        <f t="shared" si="4"/>
        <v>1</v>
      </c>
      <c r="AC31" s="2680">
        <f t="shared" si="5"/>
        <v>1</v>
      </c>
    </row>
    <row r="32" spans="1:29" ht="15.75" thickBot="1">
      <c r="A32" s="437"/>
      <c r="B32" s="636">
        <v>111</v>
      </c>
      <c r="C32" s="2622"/>
      <c r="D32" s="439">
        <v>100</v>
      </c>
      <c r="E32" s="629"/>
      <c r="F32" s="439">
        <f>SUMIF(99:99,E32,100:100)-SUMIF(99:99,C32,100:100)+100</f>
        <v>100</v>
      </c>
      <c r="G32" s="2678"/>
      <c r="H32" s="439">
        <f>SUMIF(99:99,G32,100:100)-SUMIF(99:99,C32,100:100)+100</f>
        <v>100</v>
      </c>
      <c r="I32" s="433"/>
      <c r="J32" s="439">
        <f>SUMIF(99:99,I32,100:100)-SUMIF(99:99,C32,100:100)+100</f>
        <v>100</v>
      </c>
      <c r="K32" s="614"/>
      <c r="L32" s="1144"/>
      <c r="M32" s="1135"/>
      <c r="N32" s="1135"/>
      <c r="O32" s="1135"/>
      <c r="P32" s="3157"/>
      <c r="Q32" s="2938">
        <f t="shared" si="11"/>
        <v>111</v>
      </c>
      <c r="R32" s="775" t="s">
        <v>17</v>
      </c>
      <c r="S32" s="776">
        <f t="shared" si="12"/>
        <v>100</v>
      </c>
      <c r="T32" s="775" t="s">
        <v>17</v>
      </c>
      <c r="U32" s="776">
        <f t="shared" si="13"/>
        <v>100</v>
      </c>
      <c r="V32" s="775" t="s">
        <v>17</v>
      </c>
      <c r="W32" s="776">
        <f t="shared" si="14"/>
        <v>100</v>
      </c>
      <c r="X32" s="2935"/>
      <c r="Y32" s="3159"/>
      <c r="Z32" s="2936">
        <f t="shared" si="15"/>
        <v>111</v>
      </c>
      <c r="AA32" s="2939">
        <f t="shared" si="3"/>
        <v>1</v>
      </c>
      <c r="AB32" s="2939">
        <f t="shared" si="4"/>
        <v>1</v>
      </c>
      <c r="AC32" s="2680">
        <f t="shared" si="5"/>
        <v>1</v>
      </c>
    </row>
    <row r="33" spans="1:29" ht="15">
      <c r="A33" s="441" t="s">
        <v>2561</v>
      </c>
      <c r="B33" s="71" t="s">
        <v>2691</v>
      </c>
      <c r="C33" s="2685" t="s">
        <v>3099</v>
      </c>
      <c r="D33" s="468">
        <v>100</v>
      </c>
      <c r="E33" s="2685" t="s">
        <v>3099</v>
      </c>
      <c r="F33" s="462">
        <f>SUMIF(101:101,E33,102:102)-SUMIF(101:101,C33,102:102)+100</f>
        <v>100</v>
      </c>
      <c r="G33" s="2685" t="s">
        <v>3099</v>
      </c>
      <c r="H33" s="436">
        <f>SUMIF(101:101,G33,102:102)-SUMIF(101:101,C33,102:102)+100</f>
        <v>100</v>
      </c>
      <c r="I33" s="2685" t="s">
        <v>3099</v>
      </c>
      <c r="J33" s="468">
        <f>SUMIF(101:101,I33,102:102)-SUMIF(101:101,C33,102:102)+100</f>
        <v>100</v>
      </c>
      <c r="K33" s="613">
        <v>1</v>
      </c>
      <c r="L33" s="1144"/>
      <c r="M33" s="1135"/>
      <c r="N33" s="1135"/>
      <c r="O33" s="1135"/>
      <c r="P33" s="3160" t="s">
        <v>2563</v>
      </c>
      <c r="Q33" s="2938" t="str">
        <f t="shared" si="11"/>
        <v>建筑类型</v>
      </c>
      <c r="R33" s="775" t="s">
        <v>17</v>
      </c>
      <c r="S33" s="776">
        <f t="shared" si="12"/>
        <v>100</v>
      </c>
      <c r="T33" s="775" t="s">
        <v>17</v>
      </c>
      <c r="U33" s="776">
        <f t="shared" si="13"/>
        <v>100</v>
      </c>
      <c r="V33" s="775" t="s">
        <v>17</v>
      </c>
      <c r="W33" s="776">
        <f t="shared" si="14"/>
        <v>100</v>
      </c>
      <c r="X33" s="2935"/>
      <c r="Y33" s="3163" t="s">
        <v>2563</v>
      </c>
      <c r="Z33" s="2936" t="str">
        <f t="shared" si="15"/>
        <v>建筑类型</v>
      </c>
      <c r="AA33" s="2939">
        <f t="shared" si="3"/>
        <v>1</v>
      </c>
      <c r="AB33" s="2939">
        <f t="shared" si="4"/>
        <v>1</v>
      </c>
      <c r="AC33" s="2680">
        <f t="shared" si="5"/>
        <v>1</v>
      </c>
    </row>
    <row r="34" spans="1:29" s="472" customFormat="1" ht="15">
      <c r="A34" s="469"/>
      <c r="B34" s="2960" t="s">
        <v>2564</v>
      </c>
      <c r="C34" s="470">
        <f>'比较法-办公'!C34</f>
        <v>898.32</v>
      </c>
      <c r="D34" s="136">
        <v>100</v>
      </c>
      <c r="E34" s="431">
        <v>600</v>
      </c>
      <c r="F34" s="426">
        <f>LOOKUP(E34,104:104,105:105)-LOOKUP(C34,104:104,105:105)+100</f>
        <v>100</v>
      </c>
      <c r="G34" s="430">
        <v>174</v>
      </c>
      <c r="H34" s="136">
        <f>LOOKUP(G34,104:104,105:105)-LOOKUP(C34,104:104,105:105)+100</f>
        <v>99</v>
      </c>
      <c r="I34" s="430">
        <v>650</v>
      </c>
      <c r="J34" s="136">
        <f>LOOKUP(I34,104:104,105:105)-LOOKUP(C34,104:104,105:105)+100</f>
        <v>100</v>
      </c>
      <c r="K34" s="614"/>
      <c r="L34" s="1142"/>
      <c r="M34" s="1145"/>
      <c r="N34" s="1145"/>
      <c r="O34" s="1145"/>
      <c r="P34" s="3161"/>
      <c r="Q34" s="777" t="str">
        <f t="shared" si="11"/>
        <v>项目建筑规模</v>
      </c>
      <c r="R34" s="778" t="s">
        <v>17</v>
      </c>
      <c r="S34" s="779">
        <f t="shared" si="12"/>
        <v>100</v>
      </c>
      <c r="T34" s="778" t="s">
        <v>17</v>
      </c>
      <c r="U34" s="779">
        <f t="shared" si="13"/>
        <v>99</v>
      </c>
      <c r="V34" s="778" t="s">
        <v>17</v>
      </c>
      <c r="W34" s="779">
        <f t="shared" si="14"/>
        <v>100</v>
      </c>
      <c r="X34" s="780"/>
      <c r="Y34" s="3163"/>
      <c r="Z34" s="781" t="str">
        <f t="shared" si="15"/>
        <v>项目建筑规模</v>
      </c>
      <c r="AA34" s="2939">
        <f t="shared" si="3"/>
        <v>1</v>
      </c>
      <c r="AB34" s="2939">
        <f t="shared" si="4"/>
        <v>1.0101010101010102</v>
      </c>
      <c r="AC34" s="2680">
        <f t="shared" si="5"/>
        <v>1</v>
      </c>
    </row>
    <row r="35" spans="1:29" ht="15">
      <c r="A35" s="473"/>
      <c r="B35" s="2934" t="s">
        <v>2565</v>
      </c>
      <c r="C35" s="461" t="s">
        <v>3065</v>
      </c>
      <c r="D35" s="436">
        <v>100</v>
      </c>
      <c r="E35" s="461" t="s">
        <v>3065</v>
      </c>
      <c r="F35" s="462">
        <f>SUMIF(106:106,E35,107:107)-SUMIF(106:106,C35,107:107)+100</f>
        <v>100</v>
      </c>
      <c r="G35" s="461" t="s">
        <v>3065</v>
      </c>
      <c r="H35" s="436">
        <f>SUMIF(106:106,G35,107:107)-SUMIF(106:106,C35,107:107)+100</f>
        <v>100</v>
      </c>
      <c r="I35" s="461" t="s">
        <v>3065</v>
      </c>
      <c r="J35" s="436">
        <f>SUMIF(106:106,I35,107:107)-SUMIF(106:106,C35,107:107)+100</f>
        <v>100</v>
      </c>
      <c r="K35" s="613">
        <v>2</v>
      </c>
      <c r="L35" s="1144"/>
      <c r="M35" s="1135"/>
      <c r="N35" s="1135"/>
      <c r="O35" s="1135"/>
      <c r="P35" s="3161"/>
      <c r="Q35" s="2938" t="str">
        <f t="shared" si="11"/>
        <v>建筑结构</v>
      </c>
      <c r="R35" s="775" t="s">
        <v>17</v>
      </c>
      <c r="S35" s="776">
        <f t="shared" si="12"/>
        <v>100</v>
      </c>
      <c r="T35" s="775" t="s">
        <v>17</v>
      </c>
      <c r="U35" s="776">
        <f t="shared" si="13"/>
        <v>100</v>
      </c>
      <c r="V35" s="775" t="s">
        <v>17</v>
      </c>
      <c r="W35" s="776">
        <f t="shared" si="14"/>
        <v>100</v>
      </c>
      <c r="X35" s="2935"/>
      <c r="Y35" s="3163"/>
      <c r="Z35" s="2936" t="str">
        <f t="shared" si="15"/>
        <v>建筑结构</v>
      </c>
      <c r="AA35" s="2939">
        <f t="shared" si="3"/>
        <v>1</v>
      </c>
      <c r="AB35" s="2939">
        <f t="shared" si="4"/>
        <v>1</v>
      </c>
      <c r="AC35" s="2680">
        <f t="shared" si="5"/>
        <v>1</v>
      </c>
    </row>
    <row r="36" spans="1:29" ht="15">
      <c r="A36" s="473"/>
      <c r="B36" s="2934" t="s">
        <v>2659</v>
      </c>
      <c r="C36" s="461" t="s">
        <v>3068</v>
      </c>
      <c r="D36" s="436">
        <v>100</v>
      </c>
      <c r="E36" s="461" t="s">
        <v>3068</v>
      </c>
      <c r="F36" s="462">
        <f>SUMIF(108:108,E36,109:109)-SUMIF(108:108,C36,109:109)+100</f>
        <v>100</v>
      </c>
      <c r="G36" s="461" t="s">
        <v>3068</v>
      </c>
      <c r="H36" s="436">
        <f>SUMIF(108:108,G36,109:109)-SUMIF(108:108,C36,109:109)+100</f>
        <v>100</v>
      </c>
      <c r="I36" s="461" t="s">
        <v>3068</v>
      </c>
      <c r="J36" s="436">
        <f>SUMIF(108:108,I36,109:109)-SUMIF(108:108,C36,109:109)+100</f>
        <v>100</v>
      </c>
      <c r="K36" s="613">
        <v>1</v>
      </c>
      <c r="L36" s="1144"/>
      <c r="M36" s="1135"/>
      <c r="N36" s="1135"/>
      <c r="O36" s="1135"/>
      <c r="P36" s="3161"/>
      <c r="Q36" s="2938" t="str">
        <f t="shared" si="11"/>
        <v>公共部分装修</v>
      </c>
      <c r="R36" s="775" t="s">
        <v>17</v>
      </c>
      <c r="S36" s="776">
        <f t="shared" si="12"/>
        <v>100</v>
      </c>
      <c r="T36" s="775" t="s">
        <v>17</v>
      </c>
      <c r="U36" s="776">
        <f t="shared" si="13"/>
        <v>100</v>
      </c>
      <c r="V36" s="775" t="s">
        <v>17</v>
      </c>
      <c r="W36" s="776">
        <f t="shared" si="14"/>
        <v>100</v>
      </c>
      <c r="X36" s="2935"/>
      <c r="Y36" s="3163"/>
      <c r="Z36" s="2936" t="str">
        <f t="shared" si="15"/>
        <v>公共部分装修</v>
      </c>
      <c r="AA36" s="2939">
        <f t="shared" si="3"/>
        <v>1</v>
      </c>
      <c r="AB36" s="2939">
        <f t="shared" si="4"/>
        <v>1</v>
      </c>
      <c r="AC36" s="2680">
        <f t="shared" si="5"/>
        <v>1</v>
      </c>
    </row>
    <row r="37" spans="1:29" ht="15">
      <c r="A37" s="473"/>
      <c r="B37" s="2934" t="s">
        <v>2660</v>
      </c>
      <c r="C37" s="475">
        <v>0.88</v>
      </c>
      <c r="D37" s="436">
        <v>100</v>
      </c>
      <c r="E37" s="475">
        <v>0.7</v>
      </c>
      <c r="F37" s="462">
        <f>LOOKUP(E37,111:111,112:112)-LOOKUP(C37,111:111,112:112)+100</f>
        <v>99</v>
      </c>
      <c r="G37" s="475">
        <v>0.88</v>
      </c>
      <c r="H37" s="462">
        <f>LOOKUP(G37,111:111,112:112)-LOOKUP(C37,111:111,112:112)+100</f>
        <v>100</v>
      </c>
      <c r="I37" s="475">
        <v>0.77</v>
      </c>
      <c r="J37" s="436">
        <f>LOOKUP(I37,111:111,112:112)-LOOKUP(C37,111:111,112:112)+100</f>
        <v>99</v>
      </c>
      <c r="K37" s="613">
        <v>1</v>
      </c>
      <c r="L37" s="1144"/>
      <c r="M37" s="1135"/>
      <c r="N37" s="1135"/>
      <c r="O37" s="1135"/>
      <c r="P37" s="3161"/>
      <c r="Q37" s="2938" t="str">
        <f t="shared" si="11"/>
        <v>成新度</v>
      </c>
      <c r="R37" s="775" t="s">
        <v>17</v>
      </c>
      <c r="S37" s="776">
        <f t="shared" si="12"/>
        <v>99</v>
      </c>
      <c r="T37" s="775" t="s">
        <v>17</v>
      </c>
      <c r="U37" s="776">
        <f t="shared" si="13"/>
        <v>100</v>
      </c>
      <c r="V37" s="775" t="s">
        <v>17</v>
      </c>
      <c r="W37" s="776">
        <f t="shared" si="14"/>
        <v>99</v>
      </c>
      <c r="X37" s="2935"/>
      <c r="Y37" s="3163"/>
      <c r="Z37" s="2936" t="str">
        <f t="shared" si="15"/>
        <v>成新度</v>
      </c>
      <c r="AA37" s="2939">
        <f t="shared" si="3"/>
        <v>1.0101010101010102</v>
      </c>
      <c r="AB37" s="2939">
        <f t="shared" si="4"/>
        <v>1</v>
      </c>
      <c r="AC37" s="2680">
        <f t="shared" si="5"/>
        <v>1.0101010101010102</v>
      </c>
    </row>
    <row r="38" spans="1:29" s="117" customFormat="1" ht="15">
      <c r="A38" s="474"/>
      <c r="B38" s="2934" t="s">
        <v>2692</v>
      </c>
      <c r="C38" s="461" t="s">
        <v>3072</v>
      </c>
      <c r="D38" s="136">
        <v>100</v>
      </c>
      <c r="E38" s="461" t="s">
        <v>3072</v>
      </c>
      <c r="F38" s="462">
        <f>SUMIF(113:113,E38,114:114)-SUMIF(113:113,C38,114:114)+100</f>
        <v>100</v>
      </c>
      <c r="G38" s="461" t="s">
        <v>3072</v>
      </c>
      <c r="H38" s="436">
        <f>SUMIF(113:113,G38,114:114)-SUMIF(113:113,C38,114:114)+100</f>
        <v>100</v>
      </c>
      <c r="I38" s="461" t="s">
        <v>3072</v>
      </c>
      <c r="J38" s="436">
        <f>SUMIF(113:113,I38,114:114)-SUMIF(113:113,C38,114:114)+100</f>
        <v>100</v>
      </c>
      <c r="K38" s="613">
        <v>2</v>
      </c>
      <c r="L38" s="1136"/>
      <c r="M38" s="1137"/>
      <c r="N38" s="1137"/>
      <c r="O38" s="1137"/>
      <c r="P38" s="3161"/>
      <c r="Q38" s="2932" t="str">
        <f t="shared" si="11"/>
        <v>写字楼等级</v>
      </c>
      <c r="R38" s="771" t="s">
        <v>17</v>
      </c>
      <c r="S38" s="772">
        <f t="shared" si="12"/>
        <v>100</v>
      </c>
      <c r="T38" s="771" t="s">
        <v>17</v>
      </c>
      <c r="U38" s="772">
        <f t="shared" si="13"/>
        <v>100</v>
      </c>
      <c r="V38" s="771" t="s">
        <v>17</v>
      </c>
      <c r="W38" s="772">
        <f t="shared" si="14"/>
        <v>100</v>
      </c>
      <c r="X38" s="773"/>
      <c r="Y38" s="3163"/>
      <c r="Z38" s="2933" t="str">
        <f t="shared" si="15"/>
        <v>写字楼等级</v>
      </c>
      <c r="AA38" s="774">
        <f t="shared" si="3"/>
        <v>1</v>
      </c>
      <c r="AB38" s="774">
        <f t="shared" si="4"/>
        <v>1</v>
      </c>
      <c r="AC38" s="2677">
        <f t="shared" si="5"/>
        <v>1</v>
      </c>
    </row>
    <row r="39" spans="1:29" ht="15">
      <c r="A39" s="473"/>
      <c r="B39" s="2934" t="s">
        <v>2693</v>
      </c>
      <c r="C39" s="461" t="s">
        <v>3076</v>
      </c>
      <c r="D39" s="436">
        <v>100</v>
      </c>
      <c r="E39" s="461" t="s">
        <v>3076</v>
      </c>
      <c r="F39" s="462">
        <f>SUMIF(115:115,E39,116:116)-SUMIF(115:115,C39,116:116)+100</f>
        <v>100</v>
      </c>
      <c r="G39" s="461" t="s">
        <v>3076</v>
      </c>
      <c r="H39" s="436">
        <f>SUMIF(115:115,G39,116:116)-SUMIF(115:115,C39,116:116)+100</f>
        <v>100</v>
      </c>
      <c r="I39" s="461" t="s">
        <v>3076</v>
      </c>
      <c r="J39" s="436">
        <f>SUMIF(115:115,I39,116:116)-SUMIF(115:115,C39,116:116)+100</f>
        <v>100</v>
      </c>
      <c r="K39" s="613">
        <v>2</v>
      </c>
      <c r="L39" s="1144"/>
      <c r="M39" s="1135"/>
      <c r="N39" s="1135"/>
      <c r="O39" s="1135"/>
      <c r="P39" s="3161" t="s">
        <v>2563</v>
      </c>
      <c r="Q39" s="2938" t="str">
        <f t="shared" si="11"/>
        <v>物业管理</v>
      </c>
      <c r="R39" s="775" t="s">
        <v>17</v>
      </c>
      <c r="S39" s="776">
        <f t="shared" si="12"/>
        <v>100</v>
      </c>
      <c r="T39" s="775" t="s">
        <v>17</v>
      </c>
      <c r="U39" s="776">
        <f t="shared" si="13"/>
        <v>100</v>
      </c>
      <c r="V39" s="775" t="s">
        <v>17</v>
      </c>
      <c r="W39" s="776">
        <f t="shared" si="14"/>
        <v>100</v>
      </c>
      <c r="X39" s="2935"/>
      <c r="Y39" s="3163" t="s">
        <v>2563</v>
      </c>
      <c r="Z39" s="2936" t="str">
        <f t="shared" si="15"/>
        <v>物业管理</v>
      </c>
      <c r="AA39" s="2939">
        <f t="shared" si="3"/>
        <v>1</v>
      </c>
      <c r="AB39" s="2939">
        <f t="shared" si="4"/>
        <v>1</v>
      </c>
      <c r="AC39" s="2680">
        <f t="shared" si="5"/>
        <v>1</v>
      </c>
    </row>
    <row r="40" spans="1:29" ht="15">
      <c r="A40" s="473"/>
      <c r="B40" s="2934" t="s">
        <v>2661</v>
      </c>
      <c r="C40" s="461" t="s">
        <v>3078</v>
      </c>
      <c r="D40" s="436">
        <v>100</v>
      </c>
      <c r="E40" s="461" t="s">
        <v>3078</v>
      </c>
      <c r="F40" s="462">
        <f>SUMIF(117:117,E40,118:118)-SUMIF(117:117,C40,118:118)+100</f>
        <v>100</v>
      </c>
      <c r="G40" s="461" t="s">
        <v>3078</v>
      </c>
      <c r="H40" s="436">
        <f>SUMIF(117:117,G40,118:118)-SUMIF(117:117,C40,118:118)+100</f>
        <v>100</v>
      </c>
      <c r="I40" s="461" t="s">
        <v>3078</v>
      </c>
      <c r="J40" s="436">
        <f>SUMIF(117:117,I40,118:118)-SUMIF(117:117,C40,118:118)+100</f>
        <v>100</v>
      </c>
      <c r="K40" s="613">
        <v>1</v>
      </c>
      <c r="L40" s="1144"/>
      <c r="M40" s="1135"/>
      <c r="N40" s="1135"/>
      <c r="O40" s="1135"/>
      <c r="P40" s="3161"/>
      <c r="Q40" s="2938" t="str">
        <f t="shared" si="11"/>
        <v>市政基础设施</v>
      </c>
      <c r="R40" s="775" t="s">
        <v>17</v>
      </c>
      <c r="S40" s="776">
        <f t="shared" si="12"/>
        <v>100</v>
      </c>
      <c r="T40" s="775" t="s">
        <v>17</v>
      </c>
      <c r="U40" s="776">
        <f t="shared" si="13"/>
        <v>100</v>
      </c>
      <c r="V40" s="775" t="s">
        <v>17</v>
      </c>
      <c r="W40" s="776">
        <f t="shared" si="14"/>
        <v>100</v>
      </c>
      <c r="X40" s="2935"/>
      <c r="Y40" s="3163"/>
      <c r="Z40" s="2936" t="str">
        <f t="shared" si="15"/>
        <v>市政基础设施</v>
      </c>
      <c r="AA40" s="2939">
        <f t="shared" si="3"/>
        <v>1</v>
      </c>
      <c r="AB40" s="2939">
        <f t="shared" si="4"/>
        <v>1</v>
      </c>
      <c r="AC40" s="2680">
        <f t="shared" si="5"/>
        <v>1</v>
      </c>
    </row>
    <row r="41" spans="1:29" ht="15">
      <c r="A41" s="473"/>
      <c r="B41" s="2934" t="s">
        <v>2663</v>
      </c>
      <c r="C41" s="617" t="s">
        <v>3101</v>
      </c>
      <c r="D41" s="436">
        <v>100</v>
      </c>
      <c r="E41" s="617" t="s">
        <v>3101</v>
      </c>
      <c r="F41" s="462">
        <f>SUMIF(119:119,E41,120:120)-SUMIF(119:119,C41,120:120)+100</f>
        <v>100</v>
      </c>
      <c r="G41" s="617" t="s">
        <v>3101</v>
      </c>
      <c r="H41" s="436">
        <f>SUMIF(119:119,G41,120:120)-SUMIF(119:119,C41,120:120)+100</f>
        <v>100</v>
      </c>
      <c r="I41" s="617" t="s">
        <v>3101</v>
      </c>
      <c r="J41" s="436">
        <f>SUMIF(119:119,I41,120:120)-SUMIF(119:119,C41,120:120)+100</f>
        <v>100</v>
      </c>
      <c r="K41" s="613">
        <v>1</v>
      </c>
      <c r="L41" s="1144"/>
      <c r="M41" s="1135"/>
      <c r="N41" s="1135"/>
      <c r="O41" s="1135"/>
      <c r="P41" s="3161"/>
      <c r="Q41" s="2938" t="str">
        <f t="shared" si="11"/>
        <v>层高</v>
      </c>
      <c r="R41" s="775" t="s">
        <v>17</v>
      </c>
      <c r="S41" s="776">
        <f t="shared" si="12"/>
        <v>100</v>
      </c>
      <c r="T41" s="775" t="s">
        <v>17</v>
      </c>
      <c r="U41" s="776">
        <f t="shared" si="13"/>
        <v>100</v>
      </c>
      <c r="V41" s="775" t="s">
        <v>17</v>
      </c>
      <c r="W41" s="776">
        <f t="shared" si="14"/>
        <v>100</v>
      </c>
      <c r="X41" s="2935"/>
      <c r="Y41" s="3163"/>
      <c r="Z41" s="2936" t="str">
        <f t="shared" si="15"/>
        <v>层高</v>
      </c>
      <c r="AA41" s="2939">
        <f t="shared" si="3"/>
        <v>1</v>
      </c>
      <c r="AB41" s="2939">
        <f t="shared" si="4"/>
        <v>1</v>
      </c>
      <c r="AC41" s="2680">
        <f t="shared" si="5"/>
        <v>1</v>
      </c>
    </row>
    <row r="42" spans="1:29" s="472" customFormat="1" ht="15">
      <c r="A42" s="469"/>
      <c r="B42" s="2937" t="s">
        <v>2694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161"/>
      <c r="Q42" s="777" t="str">
        <f t="shared" si="11"/>
        <v>单套建筑面积</v>
      </c>
      <c r="R42" s="778" t="s">
        <v>17</v>
      </c>
      <c r="S42" s="779">
        <f t="shared" si="12"/>
        <v>100</v>
      </c>
      <c r="T42" s="778" t="s">
        <v>17</v>
      </c>
      <c r="U42" s="779">
        <f t="shared" si="13"/>
        <v>100</v>
      </c>
      <c r="V42" s="778" t="s">
        <v>17</v>
      </c>
      <c r="W42" s="779">
        <f t="shared" si="14"/>
        <v>100</v>
      </c>
      <c r="X42" s="780"/>
      <c r="Y42" s="3163"/>
      <c r="Z42" s="781" t="str">
        <f t="shared" si="15"/>
        <v>单套建筑面积</v>
      </c>
      <c r="AA42" s="2939">
        <f t="shared" si="3"/>
        <v>1</v>
      </c>
      <c r="AB42" s="2939">
        <f t="shared" si="4"/>
        <v>1</v>
      </c>
      <c r="AC42" s="2680">
        <f t="shared" si="5"/>
        <v>1</v>
      </c>
    </row>
    <row r="43" spans="1:29" ht="15">
      <c r="A43" s="473"/>
      <c r="B43" s="2934" t="s">
        <v>2666</v>
      </c>
      <c r="C43" s="461" t="s">
        <v>3068</v>
      </c>
      <c r="D43" s="436">
        <v>100</v>
      </c>
      <c r="E43" s="461" t="s">
        <v>3068</v>
      </c>
      <c r="F43" s="462">
        <f>SUMIF(123:123,E43,124:124)-SUMIF(123:123,C43,124:124)+100</f>
        <v>100</v>
      </c>
      <c r="G43" s="461" t="s">
        <v>3068</v>
      </c>
      <c r="H43" s="436">
        <f>SUMIF(123:123,G43,124:124)-SUMIF(123:123,C43,124:124)+100</f>
        <v>100</v>
      </c>
      <c r="I43" s="461" t="s">
        <v>3068</v>
      </c>
      <c r="J43" s="436">
        <f>SUMIF(123:123,I43,124:124)-SUMIF(123:123,C43,124:124)+100</f>
        <v>100</v>
      </c>
      <c r="K43" s="613">
        <v>1</v>
      </c>
      <c r="L43" s="1144"/>
      <c r="M43" s="1135"/>
      <c r="N43" s="1135"/>
      <c r="O43" s="1135"/>
      <c r="P43" s="3161"/>
      <c r="Q43" s="2938" t="str">
        <f t="shared" si="11"/>
        <v>内部装修</v>
      </c>
      <c r="R43" s="775" t="s">
        <v>17</v>
      </c>
      <c r="S43" s="776">
        <f t="shared" si="12"/>
        <v>100</v>
      </c>
      <c r="T43" s="775" t="s">
        <v>17</v>
      </c>
      <c r="U43" s="776">
        <f t="shared" si="13"/>
        <v>100</v>
      </c>
      <c r="V43" s="775" t="s">
        <v>17</v>
      </c>
      <c r="W43" s="776">
        <f t="shared" si="14"/>
        <v>100</v>
      </c>
      <c r="X43" s="2935"/>
      <c r="Y43" s="3163"/>
      <c r="Z43" s="2936" t="str">
        <f t="shared" si="15"/>
        <v>内部装修</v>
      </c>
      <c r="AA43" s="2939">
        <f t="shared" si="3"/>
        <v>1</v>
      </c>
      <c r="AB43" s="2939">
        <f t="shared" si="4"/>
        <v>1</v>
      </c>
      <c r="AC43" s="2680">
        <f t="shared" si="5"/>
        <v>1</v>
      </c>
    </row>
    <row r="44" spans="1:29" ht="15">
      <c r="A44" s="473"/>
      <c r="B44" s="2934" t="s">
        <v>2574</v>
      </c>
      <c r="C44" s="461" t="s">
        <v>3097</v>
      </c>
      <c r="D44" s="436">
        <v>100</v>
      </c>
      <c r="E44" s="2619" t="s">
        <v>3097</v>
      </c>
      <c r="F44" s="462">
        <f>SUMIF(125:125,E44,126:126)-SUMIF(125:125,C44,126:126)+100</f>
        <v>100</v>
      </c>
      <c r="G44" s="2619" t="s">
        <v>3097</v>
      </c>
      <c r="H44" s="436">
        <f>SUMIF(125:125,G44,126:126)-SUMIF(125:125,C44,126:126)+100</f>
        <v>100</v>
      </c>
      <c r="I44" s="2619" t="s">
        <v>3097</v>
      </c>
      <c r="J44" s="436">
        <f>SUMIF(125:125,I44,126:126)-SUMIF(125:125,C44,126:126)+100</f>
        <v>100</v>
      </c>
      <c r="K44" s="613">
        <v>2</v>
      </c>
      <c r="L44" s="1144"/>
      <c r="M44" s="1135"/>
      <c r="N44" s="1135"/>
      <c r="O44" s="1135"/>
      <c r="P44" s="3161"/>
      <c r="Q44" s="2938" t="str">
        <f t="shared" si="11"/>
        <v>内部装修维护情况</v>
      </c>
      <c r="R44" s="775" t="s">
        <v>17</v>
      </c>
      <c r="S44" s="776">
        <f t="shared" si="12"/>
        <v>100</v>
      </c>
      <c r="T44" s="775" t="s">
        <v>17</v>
      </c>
      <c r="U44" s="776">
        <f t="shared" si="13"/>
        <v>100</v>
      </c>
      <c r="V44" s="775" t="s">
        <v>17</v>
      </c>
      <c r="W44" s="776">
        <f t="shared" si="14"/>
        <v>100</v>
      </c>
      <c r="X44" s="2935"/>
      <c r="Y44" s="3163"/>
      <c r="Z44" s="2936" t="str">
        <f t="shared" si="15"/>
        <v>内部装修维护情况</v>
      </c>
      <c r="AA44" s="2939">
        <f t="shared" si="3"/>
        <v>1</v>
      </c>
      <c r="AB44" s="2939">
        <f t="shared" si="4"/>
        <v>1</v>
      </c>
      <c r="AC44" s="2680">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161"/>
      <c r="Q45" s="2932">
        <f t="shared" si="11"/>
        <v>111</v>
      </c>
      <c r="R45" s="771" t="s">
        <v>17</v>
      </c>
      <c r="S45" s="772">
        <f t="shared" si="12"/>
        <v>100</v>
      </c>
      <c r="T45" s="771" t="s">
        <v>17</v>
      </c>
      <c r="U45" s="772">
        <f t="shared" si="13"/>
        <v>100</v>
      </c>
      <c r="V45" s="771" t="s">
        <v>17</v>
      </c>
      <c r="W45" s="772">
        <f t="shared" si="14"/>
        <v>100</v>
      </c>
      <c r="X45" s="773"/>
      <c r="Y45" s="3163"/>
      <c r="Z45" s="2933">
        <f t="shared" si="15"/>
        <v>111</v>
      </c>
      <c r="AA45" s="774">
        <f t="shared" si="3"/>
        <v>1</v>
      </c>
      <c r="AB45" s="774">
        <f t="shared" si="4"/>
        <v>1</v>
      </c>
      <c r="AC45" s="2677">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161"/>
      <c r="Q46" s="2938">
        <f t="shared" si="11"/>
        <v>111</v>
      </c>
      <c r="R46" s="775" t="s">
        <v>17</v>
      </c>
      <c r="S46" s="776">
        <f t="shared" si="12"/>
        <v>100</v>
      </c>
      <c r="T46" s="775" t="s">
        <v>17</v>
      </c>
      <c r="U46" s="776">
        <f t="shared" si="13"/>
        <v>100</v>
      </c>
      <c r="V46" s="775" t="s">
        <v>17</v>
      </c>
      <c r="W46" s="776">
        <f t="shared" si="14"/>
        <v>100</v>
      </c>
      <c r="X46" s="2935"/>
      <c r="Y46" s="3163"/>
      <c r="Z46" s="2936">
        <f t="shared" si="15"/>
        <v>111</v>
      </c>
      <c r="AA46" s="2939">
        <f t="shared" si="3"/>
        <v>1</v>
      </c>
      <c r="AB46" s="2939">
        <f t="shared" si="4"/>
        <v>1</v>
      </c>
      <c r="AC46" s="2680">
        <f t="shared" si="5"/>
        <v>1</v>
      </c>
    </row>
    <row r="47" spans="1:29" ht="15.75" thickBot="1">
      <c r="A47" s="479"/>
      <c r="B47" s="2608">
        <v>111</v>
      </c>
      <c r="C47" s="438">
        <v>2010</v>
      </c>
      <c r="D47" s="439">
        <v>100</v>
      </c>
      <c r="E47" s="433">
        <v>1999</v>
      </c>
      <c r="F47" s="440">
        <f>SUMIF(131:131,E47,132:132)-SUMIF(131:131,C47,132:132)+100</f>
        <v>100</v>
      </c>
      <c r="G47" s="433">
        <v>2010</v>
      </c>
      <c r="H47" s="439">
        <f>SUMIF(131:131,G47,132:132)-SUMIF(131:131,C47,132:132)+100</f>
        <v>100</v>
      </c>
      <c r="I47" s="433">
        <v>2003</v>
      </c>
      <c r="J47" s="439">
        <f>SUMIF(131:131,I47,132:132)-SUMIF(131:131,C47,132:132)+100</f>
        <v>100</v>
      </c>
      <c r="K47" s="614"/>
      <c r="L47" s="1144"/>
      <c r="M47" s="1135"/>
      <c r="N47" s="1135"/>
      <c r="O47" s="1135"/>
      <c r="P47" s="3162"/>
      <c r="Q47" s="2938">
        <f t="shared" si="11"/>
        <v>111</v>
      </c>
      <c r="R47" s="775" t="s">
        <v>17</v>
      </c>
      <c r="S47" s="776">
        <f t="shared" si="12"/>
        <v>100</v>
      </c>
      <c r="T47" s="775" t="s">
        <v>17</v>
      </c>
      <c r="U47" s="776">
        <f t="shared" si="13"/>
        <v>100</v>
      </c>
      <c r="V47" s="775" t="s">
        <v>17</v>
      </c>
      <c r="W47" s="776">
        <f t="shared" si="14"/>
        <v>100</v>
      </c>
      <c r="X47" s="2935"/>
      <c r="Y47" s="3164"/>
      <c r="Z47" s="2936">
        <f t="shared" si="15"/>
        <v>111</v>
      </c>
      <c r="AA47" s="2939">
        <f t="shared" si="3"/>
        <v>1</v>
      </c>
      <c r="AB47" s="2939">
        <f t="shared" si="4"/>
        <v>1</v>
      </c>
      <c r="AC47" s="2680">
        <f t="shared" si="5"/>
        <v>1</v>
      </c>
    </row>
    <row r="48" spans="1:29" ht="15">
      <c r="A48" s="480" t="s">
        <v>2575</v>
      </c>
      <c r="B48" s="481"/>
      <c r="C48" s="1411" t="s">
        <v>1</v>
      </c>
      <c r="D48" s="1412"/>
      <c r="E48" s="1413">
        <v>6</v>
      </c>
      <c r="F48" s="1414"/>
      <c r="G48" s="1415">
        <v>5.3</v>
      </c>
      <c r="H48" s="1416"/>
      <c r="I48" s="1413">
        <v>6</v>
      </c>
      <c r="J48" s="486"/>
      <c r="K48" s="784"/>
      <c r="L48" s="1147"/>
      <c r="M48" s="1135"/>
      <c r="N48" s="1135"/>
      <c r="O48" s="1135"/>
      <c r="P48" s="3150" t="str">
        <f>A48</f>
        <v>成交单价（元/平方米）</v>
      </c>
      <c r="Q48" s="3151"/>
      <c r="R48" s="3152">
        <f>E48</f>
        <v>6</v>
      </c>
      <c r="S48" s="3152"/>
      <c r="T48" s="3152">
        <f>G48</f>
        <v>5.3</v>
      </c>
      <c r="U48" s="3152"/>
      <c r="V48" s="3152">
        <f>I48</f>
        <v>6</v>
      </c>
      <c r="W48" s="3152"/>
      <c r="X48" s="447"/>
      <c r="Y48" s="782"/>
      <c r="Z48" s="447"/>
      <c r="AA48" s="447"/>
      <c r="AB48" s="447"/>
      <c r="AC48" s="631"/>
    </row>
    <row r="49" spans="1:29" ht="15.75" thickBot="1">
      <c r="A49" s="487" t="s">
        <v>2576</v>
      </c>
      <c r="B49" s="488"/>
      <c r="C49" s="1417">
        <f>R50</f>
        <v>5.5</v>
      </c>
      <c r="D49" s="1418"/>
      <c r="E49" s="1419">
        <f>R49</f>
        <v>5.8</v>
      </c>
      <c r="F49" s="1419"/>
      <c r="G49" s="1417">
        <f>T49</f>
        <v>5.0999999999999996</v>
      </c>
      <c r="H49" s="1418"/>
      <c r="I49" s="1419">
        <f>V49</f>
        <v>5.5</v>
      </c>
      <c r="J49" s="490"/>
      <c r="K49" s="785"/>
      <c r="L49" s="1147"/>
      <c r="M49" s="1135"/>
      <c r="N49" s="1135"/>
      <c r="O49" s="1135"/>
      <c r="P49" s="3150" t="str">
        <f>A49</f>
        <v>比较价值（元/平方米）</v>
      </c>
      <c r="Q49" s="3151"/>
      <c r="R49" s="3152">
        <f>IF(F1="售价",ROUND(PRODUCT(R48,AA7:AA47),0),ROUND(PRODUCT(R48,AA7:AA47),1))</f>
        <v>5.8</v>
      </c>
      <c r="S49" s="3152"/>
      <c r="T49" s="3152">
        <f>IF(F1="售价",ROUND(PRODUCT(T48,AB7:AB47),0),ROUND(PRODUCT(T48,AB7:AB47),1))</f>
        <v>5.0999999999999996</v>
      </c>
      <c r="U49" s="3152"/>
      <c r="V49" s="3152">
        <f>IF(F1="售价",ROUND(PRODUCT(V48,AC7:AC47),0),ROUND(PRODUCT(V48,AC7:AC47),1))</f>
        <v>5.5</v>
      </c>
      <c r="W49" s="3152"/>
      <c r="X49" s="447"/>
      <c r="Y49" s="447"/>
      <c r="Z49" s="447"/>
      <c r="AA49" s="447"/>
      <c r="AB49" s="447"/>
      <c r="AC49" s="631"/>
    </row>
    <row r="50" spans="1:29" ht="15.75" thickBot="1">
      <c r="A50" s="493" t="s">
        <v>3094</v>
      </c>
      <c r="B50" s="494"/>
      <c r="C50" s="1421">
        <f>R50</f>
        <v>5.5</v>
      </c>
      <c r="D50" s="1421"/>
      <c r="E50" s="1421"/>
      <c r="F50" s="1421"/>
      <c r="G50" s="1421"/>
      <c r="H50" s="1421"/>
      <c r="I50" s="1421"/>
      <c r="J50" s="495"/>
      <c r="K50" s="786"/>
      <c r="L50" s="1147"/>
      <c r="M50" s="1135"/>
      <c r="N50" s="1135"/>
      <c r="O50" s="1135"/>
      <c r="P50" s="3153" t="str">
        <f>A50</f>
        <v>估价对象办公用房的比较价值（楼面单价，元/平方米）</v>
      </c>
      <c r="Q50" s="3154"/>
      <c r="R50" s="3155">
        <f>IF(F1="售价",ROUND(AVERAGE(R49:V49),0),ROUND(AVERAGE(R49:V49),1))</f>
        <v>5.5</v>
      </c>
      <c r="S50" s="3155"/>
      <c r="T50" s="3155"/>
      <c r="U50" s="3155"/>
      <c r="V50" s="3155"/>
      <c r="W50" s="3155"/>
      <c r="X50" s="2660"/>
      <c r="Y50" s="2660"/>
      <c r="Z50" s="2660"/>
      <c r="AA50" s="2660"/>
      <c r="AB50" s="2660"/>
      <c r="AC50" s="2661"/>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2578</v>
      </c>
      <c r="D53" s="499"/>
      <c r="E53" s="500">
        <f>IF(E48&lt;E49,E49/E48-1,E48/E49-1)</f>
        <v>3.4482758620689724E-2</v>
      </c>
      <c r="F53" s="501" t="str">
        <f>IF(OR(E53&gt;=0.3,E53&lt;=-0.3),"超过30%","")</f>
        <v/>
      </c>
      <c r="G53" s="500">
        <f>IF(G48&lt;G49,G49/G48-1,G48/G49-1)</f>
        <v>3.9215686274509887E-2</v>
      </c>
      <c r="H53" s="501" t="str">
        <f>IF(OR(G53&gt;=0.3,G53&lt;=-0.3),"超过30%","")</f>
        <v/>
      </c>
      <c r="I53" s="500">
        <f>IF(I48&lt;I49,I49/I48-1,I48/I49-1)</f>
        <v>9.0909090909090828E-2</v>
      </c>
      <c r="J53" s="501" t="str">
        <f>IF(OR(I53&gt;=0.3,I53&lt;=-0.3),"超过30%","")</f>
        <v/>
      </c>
      <c r="K53" s="1109"/>
      <c r="L53" s="1110"/>
      <c r="M53" s="1148"/>
      <c r="N53" s="1148"/>
      <c r="O53" s="1148"/>
    </row>
    <row r="54" spans="1:29" ht="13.5" customHeight="1">
      <c r="A54" s="1148"/>
      <c r="B54" s="1148"/>
      <c r="C54" s="498" t="s">
        <v>2579</v>
      </c>
      <c r="D54" s="502"/>
      <c r="E54" s="500">
        <f>IF(E49&lt;G49,G49/E49-1,E49/G49-1)</f>
        <v>0.13725490196078427</v>
      </c>
      <c r="F54" s="501" t="str">
        <f>IF(OR(E54&gt;=0.2,E54&lt;=-0.2),"超过20%","")</f>
        <v/>
      </c>
      <c r="G54" s="500">
        <f>IF(G49&lt;I49,I49/G49-1,G49/I49-1)</f>
        <v>7.8431372549019773E-2</v>
      </c>
      <c r="H54" s="501" t="str">
        <f>IF(OR(G54&gt;=0.2,G54&lt;=-0.2),"超过20%","")</f>
        <v/>
      </c>
      <c r="I54" s="500">
        <f>IF(I49&lt;E49,E49/I49-1,I49/E49-1)</f>
        <v>5.4545454545454453E-2</v>
      </c>
      <c r="J54" s="501" t="str">
        <f>IF(OR(I54&gt;=0.2,I54&lt;=-0.2),"超过20%","")</f>
        <v/>
      </c>
      <c r="K54" s="1109"/>
      <c r="L54" s="1110"/>
      <c r="M54" s="1148"/>
      <c r="N54" s="1148"/>
      <c r="O54" s="1148"/>
    </row>
    <row r="55" spans="1:29" s="503" customFormat="1" ht="13.5" customHeight="1">
      <c r="A55" s="1149"/>
      <c r="B55" s="1149"/>
      <c r="C55" s="498" t="s">
        <v>2580</v>
      </c>
      <c r="D55" s="502"/>
      <c r="E55" s="500">
        <f>IF(E48&lt;G48,G48/E48-1,E48/G48-1)</f>
        <v>0.13207547169811318</v>
      </c>
      <c r="F55" s="501" t="str">
        <f>IF(OR(E55&gt;=0.3,E55&lt;=-0.3),"超过30%","")</f>
        <v/>
      </c>
      <c r="G55" s="500">
        <f>IF(G48&lt;I48,I48/G48-1,G48/I48-1)</f>
        <v>0.13207547169811318</v>
      </c>
      <c r="H55" s="501" t="str">
        <f>IF(OR(G55&gt;=0.3,G55&lt;=-0.3),"超过30%","")</f>
        <v/>
      </c>
      <c r="I55" s="500">
        <f>IF(I48&lt;E48,E48/I48-1,I48/E48-1)</f>
        <v>0</v>
      </c>
      <c r="J55" s="501" t="str">
        <f>IF(OR(I55&gt;=0.3,I55&lt;=-0.3),"超过30%","")</f>
        <v/>
      </c>
      <c r="K55" s="1152"/>
      <c r="L55" s="1153"/>
      <c r="M55" s="1149"/>
      <c r="N55" s="1149"/>
      <c r="O55" s="1149"/>
      <c r="P55" s="2686"/>
    </row>
    <row r="56" spans="1:29" s="503" customFormat="1">
      <c r="A56" s="1149"/>
      <c r="B56" s="1150"/>
      <c r="C56" s="1154"/>
      <c r="D56" s="1149"/>
      <c r="E56" s="1149"/>
      <c r="F56" s="1149"/>
      <c r="G56" s="1149"/>
      <c r="H56" s="1149"/>
      <c r="I56" s="1149"/>
      <c r="J56" s="1149"/>
      <c r="K56" s="1152"/>
      <c r="L56" s="1153"/>
      <c r="M56" s="1149"/>
      <c r="N56" s="1149"/>
      <c r="O56" s="1149"/>
      <c r="P56" s="2686"/>
    </row>
    <row r="57" spans="1:29">
      <c r="A57" s="1148"/>
      <c r="B57" s="1150"/>
      <c r="C57" s="1154"/>
      <c r="D57" s="1148"/>
      <c r="E57" s="1148"/>
      <c r="F57" s="1148"/>
      <c r="G57" s="1148"/>
      <c r="H57" s="1148"/>
      <c r="I57" s="1148"/>
      <c r="J57" s="1148"/>
      <c r="K57" s="1109"/>
      <c r="L57" s="1110"/>
      <c r="M57" s="1148"/>
      <c r="N57" s="1148"/>
      <c r="O57" s="1148"/>
    </row>
    <row r="58" spans="1:29" ht="21.75" thickBot="1">
      <c r="A58" s="764" t="s">
        <v>2581</v>
      </c>
      <c r="B58" s="760"/>
      <c r="C58" s="765"/>
      <c r="D58" s="765"/>
      <c r="E58" s="765"/>
      <c r="F58" s="766"/>
      <c r="G58" s="766"/>
      <c r="H58" s="765"/>
      <c r="I58" s="765"/>
      <c r="J58" s="765"/>
      <c r="K58" s="767"/>
      <c r="L58" s="1165"/>
      <c r="M58" s="1163"/>
      <c r="N58" s="1163"/>
      <c r="O58" s="1163"/>
      <c r="P58" s="2687"/>
      <c r="Q58" s="505"/>
    </row>
    <row r="59" spans="1:29" s="509" customFormat="1" ht="15">
      <c r="A59" s="506" t="s">
        <v>2546</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8"/>
    </row>
    <row r="61" spans="1:29" s="117" customFormat="1" ht="15.75" thickBot="1">
      <c r="A61" s="516" t="s">
        <v>2583</v>
      </c>
      <c r="B61" s="517"/>
      <c r="C61" s="518"/>
      <c r="D61" s="519"/>
      <c r="E61" s="519"/>
      <c r="F61" s="519"/>
      <c r="G61" s="519"/>
      <c r="H61" s="519"/>
      <c r="I61" s="519"/>
      <c r="J61" s="519"/>
      <c r="K61" s="519"/>
      <c r="L61" s="519"/>
      <c r="M61" s="520"/>
      <c r="N61" s="519"/>
      <c r="O61" s="520"/>
      <c r="P61" s="2688"/>
      <c r="Q61" s="505"/>
    </row>
    <row r="62" spans="1:29" s="117" customFormat="1" ht="15">
      <c r="A62" s="522" t="s">
        <v>2548</v>
      </c>
      <c r="B62" s="511"/>
      <c r="C62" s="523" t="s">
        <v>2585</v>
      </c>
      <c r="D62" s="524"/>
      <c r="E62" s="524"/>
      <c r="F62" s="524"/>
      <c r="G62" s="524"/>
      <c r="H62" s="524"/>
      <c r="I62" s="524"/>
      <c r="J62" s="524"/>
      <c r="K62" s="524"/>
      <c r="L62" s="525"/>
      <c r="M62" s="526"/>
      <c r="N62" s="1155"/>
      <c r="O62" s="1155"/>
      <c r="P62" s="2689"/>
      <c r="Q62" s="505"/>
    </row>
    <row r="63" spans="1:29" s="117" customFormat="1" ht="15.75" thickBot="1">
      <c r="A63" s="522"/>
      <c r="B63" s="511"/>
      <c r="C63" s="512">
        <v>100</v>
      </c>
      <c r="D63" s="513"/>
      <c r="E63" s="513"/>
      <c r="F63" s="513"/>
      <c r="G63" s="513"/>
      <c r="H63" s="513"/>
      <c r="I63" s="513"/>
      <c r="J63" s="513"/>
      <c r="K63" s="513"/>
      <c r="L63" s="513"/>
      <c r="M63" s="515"/>
      <c r="N63" s="1155"/>
      <c r="O63" s="1155"/>
      <c r="P63" s="2688"/>
      <c r="Q63" s="505"/>
    </row>
    <row r="64" spans="1:29">
      <c r="A64" s="528" t="s">
        <v>2586</v>
      </c>
      <c r="B64" s="529" t="s">
        <v>2552</v>
      </c>
      <c r="C64" s="530" t="str">
        <f>C9</f>
        <v>办公</v>
      </c>
      <c r="D64" s="531"/>
      <c r="E64" s="531"/>
      <c r="F64" s="531"/>
      <c r="G64" s="531"/>
      <c r="H64" s="531"/>
      <c r="I64" s="531"/>
      <c r="J64" s="531"/>
      <c r="K64" s="532"/>
      <c r="L64" s="533"/>
      <c r="M64" s="534"/>
      <c r="N64" s="1156"/>
      <c r="O64" s="1156"/>
      <c r="P64" s="2690"/>
      <c r="Q64" s="505"/>
    </row>
    <row r="65" spans="1:17" ht="15.75" thickBot="1">
      <c r="A65" s="535"/>
      <c r="B65" s="536"/>
      <c r="C65" s="537">
        <v>100</v>
      </c>
      <c r="D65" s="537"/>
      <c r="E65" s="537"/>
      <c r="F65" s="537"/>
      <c r="G65" s="537"/>
      <c r="H65" s="537"/>
      <c r="I65" s="537"/>
      <c r="J65" s="537"/>
      <c r="K65" s="537"/>
      <c r="L65" s="537"/>
      <c r="M65" s="538"/>
      <c r="N65" s="1157"/>
      <c r="O65" s="1157"/>
      <c r="P65" s="2690"/>
      <c r="Q65" s="505"/>
    </row>
    <row r="66" spans="1:17" ht="27.75" thickTop="1">
      <c r="A66" s="535"/>
      <c r="B66" s="539" t="s">
        <v>2555</v>
      </c>
      <c r="C66" s="540" t="s">
        <v>2587</v>
      </c>
      <c r="D66" s="540" t="s">
        <v>2588</v>
      </c>
      <c r="E66" s="540" t="s">
        <v>2589</v>
      </c>
      <c r="F66" s="540" t="s">
        <v>2590</v>
      </c>
      <c r="G66" s="540" t="s">
        <v>2591</v>
      </c>
      <c r="H66" s="540" t="s">
        <v>2592</v>
      </c>
      <c r="I66" s="540" t="s">
        <v>2593</v>
      </c>
      <c r="J66" s="540"/>
      <c r="K66" s="541"/>
      <c r="L66" s="542"/>
      <c r="M66" s="543"/>
      <c r="N66" s="1156"/>
      <c r="O66" s="1156"/>
      <c r="P66" s="2690"/>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0"/>
      <c r="Q67" s="505"/>
    </row>
    <row r="68" spans="1:17" ht="15.75" thickTop="1">
      <c r="A68" s="535"/>
      <c r="B68" s="547" t="s">
        <v>2556</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0"/>
      <c r="Q68" s="505"/>
    </row>
    <row r="69" spans="1:17" ht="15">
      <c r="A69" s="535"/>
      <c r="B69" s="549"/>
      <c r="C69" s="550">
        <v>0</v>
      </c>
      <c r="D69" s="550">
        <v>1</v>
      </c>
      <c r="E69" s="550"/>
      <c r="F69" s="550"/>
      <c r="G69" s="550"/>
      <c r="H69" s="550"/>
      <c r="I69" s="550"/>
      <c r="J69" s="550"/>
      <c r="K69" s="551"/>
      <c r="L69" s="552"/>
      <c r="M69" s="553"/>
      <c r="N69" s="1156"/>
      <c r="O69" s="1156"/>
      <c r="P69" s="2690"/>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0"/>
      <c r="Q70" s="505"/>
    </row>
    <row r="71" spans="1:17" s="472" customFormat="1" ht="15.75" thickTop="1">
      <c r="A71" s="554"/>
      <c r="B71" s="539">
        <f>B12</f>
        <v>111</v>
      </c>
      <c r="C71" s="555"/>
      <c r="D71" s="555"/>
      <c r="E71" s="555"/>
      <c r="F71" s="555"/>
      <c r="G71" s="555"/>
      <c r="H71" s="556"/>
      <c r="I71" s="556"/>
      <c r="J71" s="556"/>
      <c r="K71" s="556"/>
      <c r="L71" s="557"/>
      <c r="M71" s="558"/>
      <c r="N71" s="1158"/>
      <c r="O71" s="1158"/>
      <c r="P71" s="2691"/>
      <c r="Q71" s="560"/>
    </row>
    <row r="72" spans="1:17" s="472" customFormat="1" ht="15.75" thickBot="1">
      <c r="A72" s="554"/>
      <c r="B72" s="544"/>
      <c r="C72" s="561"/>
      <c r="D72" s="537"/>
      <c r="E72" s="537"/>
      <c r="F72" s="537"/>
      <c r="G72" s="537"/>
      <c r="H72" s="537"/>
      <c r="I72" s="537"/>
      <c r="J72" s="537"/>
      <c r="K72" s="537"/>
      <c r="L72" s="537"/>
      <c r="M72" s="538"/>
      <c r="N72" s="1157"/>
      <c r="O72" s="1157"/>
      <c r="P72" s="2691"/>
      <c r="Q72" s="560"/>
    </row>
    <row r="73" spans="1:17" s="472" customFormat="1" ht="15.75" thickTop="1">
      <c r="A73" s="554"/>
      <c r="B73" s="539">
        <f>B13</f>
        <v>111</v>
      </c>
      <c r="C73" s="555"/>
      <c r="D73" s="555"/>
      <c r="E73" s="555"/>
      <c r="F73" s="555"/>
      <c r="G73" s="555"/>
      <c r="H73" s="556"/>
      <c r="I73" s="556"/>
      <c r="J73" s="556"/>
      <c r="K73" s="556"/>
      <c r="L73" s="557"/>
      <c r="M73" s="558"/>
      <c r="N73" s="1158"/>
      <c r="O73" s="1158"/>
      <c r="P73" s="2692"/>
      <c r="Q73" s="562"/>
    </row>
    <row r="74" spans="1:17" s="472" customFormat="1" ht="15.75" thickBot="1">
      <c r="A74" s="554"/>
      <c r="B74" s="544"/>
      <c r="C74" s="561"/>
      <c r="D74" s="561"/>
      <c r="E74" s="561"/>
      <c r="F74" s="561"/>
      <c r="G74" s="561"/>
      <c r="H74" s="563"/>
      <c r="I74" s="563"/>
      <c r="J74" s="563"/>
      <c r="K74" s="563"/>
      <c r="L74" s="563"/>
      <c r="M74" s="564"/>
      <c r="N74" s="1158"/>
      <c r="O74" s="1158"/>
      <c r="P74" s="2691"/>
      <c r="Q74" s="560"/>
    </row>
    <row r="75" spans="1:17" s="472" customFormat="1" ht="15.75" thickTop="1">
      <c r="A75" s="554"/>
      <c r="B75" s="547">
        <f>B14</f>
        <v>111</v>
      </c>
      <c r="C75" s="524"/>
      <c r="D75" s="524"/>
      <c r="E75" s="524"/>
      <c r="F75" s="524"/>
      <c r="G75" s="524"/>
      <c r="H75" s="565"/>
      <c r="I75" s="565"/>
      <c r="J75" s="565"/>
      <c r="K75" s="565"/>
      <c r="L75" s="566"/>
      <c r="M75" s="567"/>
      <c r="N75" s="1158"/>
      <c r="O75" s="1158"/>
      <c r="P75" s="2693"/>
      <c r="Q75" s="560"/>
    </row>
    <row r="76" spans="1:17" s="472" customFormat="1" ht="15.75" thickBot="1">
      <c r="A76" s="569"/>
      <c r="B76" s="570"/>
      <c r="C76" s="571"/>
      <c r="D76" s="571"/>
      <c r="E76" s="571"/>
      <c r="F76" s="571"/>
      <c r="G76" s="571"/>
      <c r="H76" s="572"/>
      <c r="I76" s="572"/>
      <c r="J76" s="572"/>
      <c r="K76" s="572"/>
      <c r="L76" s="572"/>
      <c r="M76" s="573"/>
      <c r="N76" s="1158"/>
      <c r="O76" s="1158"/>
      <c r="P76" s="2691"/>
      <c r="Q76" s="560"/>
    </row>
    <row r="77" spans="1:17">
      <c r="A77" s="528" t="s">
        <v>2557</v>
      </c>
      <c r="B77" s="529" t="s">
        <v>2695</v>
      </c>
      <c r="C77" s="574" t="s">
        <v>2595</v>
      </c>
      <c r="D77" s="574" t="s">
        <v>2596</v>
      </c>
      <c r="E77" s="574" t="s">
        <v>2597</v>
      </c>
      <c r="F77" s="574" t="s">
        <v>2598</v>
      </c>
      <c r="G77" s="574" t="s">
        <v>2599</v>
      </c>
      <c r="H77" s="530"/>
      <c r="I77" s="530"/>
      <c r="J77" s="530"/>
      <c r="K77" s="575"/>
      <c r="L77" s="576"/>
      <c r="M77" s="577"/>
      <c r="N77" s="1156"/>
      <c r="O77" s="1156"/>
      <c r="P77" s="2694"/>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0"/>
      <c r="Q78" s="505"/>
    </row>
    <row r="79" spans="1:17" ht="15.75" thickTop="1">
      <c r="A79" s="535"/>
      <c r="B79" s="539" t="s">
        <v>2600</v>
      </c>
      <c r="C79" s="579" t="s">
        <v>2595</v>
      </c>
      <c r="D79" s="579" t="s">
        <v>2596</v>
      </c>
      <c r="E79" s="579" t="s">
        <v>2597</v>
      </c>
      <c r="F79" s="579" t="s">
        <v>2598</v>
      </c>
      <c r="G79" s="579" t="s">
        <v>2599</v>
      </c>
      <c r="H79" s="540"/>
      <c r="I79" s="540"/>
      <c r="J79" s="540"/>
      <c r="K79" s="541"/>
      <c r="L79" s="542"/>
      <c r="M79" s="543"/>
      <c r="N79" s="1156"/>
      <c r="O79" s="1156"/>
      <c r="P79" s="2690"/>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0"/>
      <c r="Q80" s="505"/>
    </row>
    <row r="81" spans="1:17" ht="15.75" thickTop="1">
      <c r="A81" s="535"/>
      <c r="B81" s="539" t="s">
        <v>2601</v>
      </c>
      <c r="C81" s="579" t="s">
        <v>2595</v>
      </c>
      <c r="D81" s="579" t="s">
        <v>2596</v>
      </c>
      <c r="E81" s="579" t="s">
        <v>2597</v>
      </c>
      <c r="F81" s="579" t="s">
        <v>2598</v>
      </c>
      <c r="G81" s="579" t="s">
        <v>2599</v>
      </c>
      <c r="H81" s="540"/>
      <c r="I81" s="540"/>
      <c r="J81" s="540"/>
      <c r="K81" s="541"/>
      <c r="L81" s="542"/>
      <c r="M81" s="543"/>
      <c r="N81" s="1156"/>
      <c r="O81" s="1156"/>
      <c r="P81" s="2690"/>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0"/>
      <c r="Q82" s="505"/>
    </row>
    <row r="83" spans="1:17" ht="15.75" thickTop="1">
      <c r="A83" s="535"/>
      <c r="B83" s="547" t="s">
        <v>2687</v>
      </c>
      <c r="C83" s="661" t="s">
        <v>2673</v>
      </c>
      <c r="D83" s="661" t="s">
        <v>2674</v>
      </c>
      <c r="E83" s="661" t="s">
        <v>2675</v>
      </c>
      <c r="F83" s="661" t="s">
        <v>2676</v>
      </c>
      <c r="G83" s="661" t="s">
        <v>2677</v>
      </c>
      <c r="H83" s="540"/>
      <c r="I83" s="540"/>
      <c r="J83" s="540"/>
      <c r="K83" s="540"/>
      <c r="L83" s="540"/>
      <c r="M83" s="1386"/>
      <c r="N83" s="1157"/>
      <c r="O83" s="1157"/>
      <c r="P83" s="2690"/>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0"/>
      <c r="Q84" s="505"/>
    </row>
    <row r="85" spans="1:17" ht="15.75" thickTop="1">
      <c r="A85" s="535"/>
      <c r="B85" s="539" t="s">
        <v>2696</v>
      </c>
      <c r="C85" s="579" t="s">
        <v>2595</v>
      </c>
      <c r="D85" s="579" t="s">
        <v>2596</v>
      </c>
      <c r="E85" s="579" t="s">
        <v>2597</v>
      </c>
      <c r="F85" s="579" t="s">
        <v>2598</v>
      </c>
      <c r="G85" s="579" t="s">
        <v>2599</v>
      </c>
      <c r="H85" s="540"/>
      <c r="I85" s="540"/>
      <c r="J85" s="540"/>
      <c r="K85" s="541"/>
      <c r="L85" s="542"/>
      <c r="M85" s="543"/>
      <c r="N85" s="1156"/>
      <c r="O85" s="1156"/>
      <c r="P85" s="2690"/>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0"/>
      <c r="Q86" s="505"/>
    </row>
    <row r="87" spans="1:17" s="117" customFormat="1" ht="27.75" thickTop="1">
      <c r="A87" s="580"/>
      <c r="B87" s="539" t="s">
        <v>2697</v>
      </c>
      <c r="C87" s="2945" t="s">
        <v>3081</v>
      </c>
      <c r="D87" s="2945" t="s">
        <v>3083</v>
      </c>
      <c r="E87" s="2945" t="s">
        <v>3084</v>
      </c>
      <c r="F87" s="2945" t="s">
        <v>3085</v>
      </c>
      <c r="G87" s="2945" t="s">
        <v>3086</v>
      </c>
      <c r="H87" s="555"/>
      <c r="I87" s="555"/>
      <c r="J87" s="555"/>
      <c r="K87" s="555"/>
      <c r="L87" s="581"/>
      <c r="M87" s="582"/>
      <c r="N87" s="1155"/>
      <c r="O87" s="1155"/>
      <c r="P87" s="2690"/>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0"/>
      <c r="Q88" s="505"/>
    </row>
    <row r="89" spans="1:17" s="117" customFormat="1" ht="15.75" thickTop="1">
      <c r="A89" s="580"/>
      <c r="B89" s="539" t="str">
        <f>B27</f>
        <v>楼层</v>
      </c>
      <c r="C89" s="2945" t="s">
        <v>3087</v>
      </c>
      <c r="D89" s="2945" t="s">
        <v>3089</v>
      </c>
      <c r="E89" s="2945" t="s">
        <v>3091</v>
      </c>
      <c r="F89" s="2641"/>
      <c r="G89" s="555"/>
      <c r="H89" s="555"/>
      <c r="I89" s="555"/>
      <c r="J89" s="555"/>
      <c r="K89" s="555"/>
      <c r="L89" s="555"/>
      <c r="M89" s="582"/>
      <c r="N89" s="1155"/>
      <c r="O89" s="1155"/>
      <c r="P89" s="2690"/>
      <c r="Q89" s="505"/>
    </row>
    <row r="90" spans="1:17" s="117" customFormat="1" ht="15.75" thickBot="1">
      <c r="A90" s="580"/>
      <c r="B90" s="544"/>
      <c r="C90" s="583">
        <v>100</v>
      </c>
      <c r="D90" s="545">
        <f>C90-$K27</f>
        <v>98</v>
      </c>
      <c r="E90" s="545">
        <f t="shared" ref="E90:M90" si="20">D90-$K27</f>
        <v>96</v>
      </c>
      <c r="F90" s="545">
        <f t="shared" si="20"/>
        <v>94</v>
      </c>
      <c r="G90" s="545">
        <f t="shared" si="20"/>
        <v>92</v>
      </c>
      <c r="H90" s="545">
        <f t="shared" si="20"/>
        <v>90</v>
      </c>
      <c r="I90" s="545">
        <f t="shared" si="20"/>
        <v>88</v>
      </c>
      <c r="J90" s="545">
        <f t="shared" si="20"/>
        <v>86</v>
      </c>
      <c r="K90" s="545">
        <f t="shared" si="20"/>
        <v>84</v>
      </c>
      <c r="L90" s="545">
        <f t="shared" si="20"/>
        <v>82</v>
      </c>
      <c r="M90" s="545">
        <f t="shared" si="20"/>
        <v>80</v>
      </c>
      <c r="N90" s="1157"/>
      <c r="O90" s="1157"/>
      <c r="P90" s="2690"/>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1"/>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1"/>
      <c r="Q92" s="560"/>
    </row>
    <row r="93" spans="1:17" ht="15.75" thickTop="1">
      <c r="A93" s="535"/>
      <c r="B93" s="539">
        <f>B29</f>
        <v>111</v>
      </c>
      <c r="C93" s="555"/>
      <c r="D93" s="555"/>
      <c r="E93" s="555"/>
      <c r="F93" s="555"/>
      <c r="G93" s="555"/>
      <c r="H93" s="555"/>
      <c r="I93" s="555"/>
      <c r="J93" s="555"/>
      <c r="K93" s="555"/>
      <c r="L93" s="581"/>
      <c r="M93" s="582"/>
      <c r="N93" s="1156"/>
      <c r="O93" s="1156"/>
      <c r="P93" s="2690"/>
      <c r="Q93" s="505"/>
    </row>
    <row r="94" spans="1:17" ht="15.75" thickBot="1">
      <c r="A94" s="535"/>
      <c r="B94" s="544"/>
      <c r="C94" s="561"/>
      <c r="D94" s="537"/>
      <c r="E94" s="537"/>
      <c r="F94" s="537"/>
      <c r="G94" s="537"/>
      <c r="H94" s="537"/>
      <c r="I94" s="537"/>
      <c r="J94" s="537"/>
      <c r="K94" s="537"/>
      <c r="L94" s="537"/>
      <c r="M94" s="538"/>
      <c r="N94" s="1157"/>
      <c r="O94" s="1157"/>
      <c r="P94" s="2690"/>
      <c r="Q94" s="505"/>
    </row>
    <row r="95" spans="1:17" ht="15.75" thickTop="1">
      <c r="A95" s="535"/>
      <c r="B95" s="539">
        <f>B30</f>
        <v>111</v>
      </c>
      <c r="C95" s="555"/>
      <c r="D95" s="555"/>
      <c r="E95" s="555"/>
      <c r="F95" s="555"/>
      <c r="G95" s="584"/>
      <c r="H95" s="584"/>
      <c r="I95" s="584"/>
      <c r="J95" s="584"/>
      <c r="K95" s="585"/>
      <c r="L95" s="586"/>
      <c r="M95" s="587"/>
      <c r="N95" s="1156"/>
      <c r="O95" s="1156"/>
      <c r="P95" s="2690"/>
      <c r="Q95" s="505"/>
    </row>
    <row r="96" spans="1:17" ht="15.75" thickBot="1">
      <c r="A96" s="535"/>
      <c r="B96" s="544"/>
      <c r="C96" s="561"/>
      <c r="D96" s="561"/>
      <c r="E96" s="561"/>
      <c r="F96" s="561"/>
      <c r="G96" s="537"/>
      <c r="H96" s="537"/>
      <c r="I96" s="537"/>
      <c r="J96" s="537"/>
      <c r="K96" s="537"/>
      <c r="L96" s="537"/>
      <c r="M96" s="538"/>
      <c r="N96" s="1157"/>
      <c r="O96" s="1157"/>
      <c r="P96" s="2690"/>
      <c r="Q96" s="505"/>
    </row>
    <row r="97" spans="1:17" ht="15.75" thickTop="1">
      <c r="A97" s="535"/>
      <c r="B97" s="539">
        <f>B31</f>
        <v>111</v>
      </c>
      <c r="C97" s="555"/>
      <c r="D97" s="555"/>
      <c r="E97" s="555"/>
      <c r="F97" s="555"/>
      <c r="G97" s="584"/>
      <c r="H97" s="584"/>
      <c r="I97" s="584"/>
      <c r="J97" s="584"/>
      <c r="K97" s="585"/>
      <c r="L97" s="586"/>
      <c r="M97" s="587"/>
      <c r="N97" s="1156"/>
      <c r="O97" s="1156"/>
      <c r="P97" s="2690"/>
      <c r="Q97" s="505"/>
    </row>
    <row r="98" spans="1:17" ht="15.75" thickBot="1">
      <c r="A98" s="535"/>
      <c r="B98" s="544"/>
      <c r="C98" s="561"/>
      <c r="D98" s="537"/>
      <c r="E98" s="537"/>
      <c r="F98" s="537"/>
      <c r="G98" s="537"/>
      <c r="H98" s="537"/>
      <c r="I98" s="537"/>
      <c r="J98" s="537"/>
      <c r="K98" s="537"/>
      <c r="L98" s="537"/>
      <c r="M98" s="538"/>
      <c r="N98" s="1157"/>
      <c r="O98" s="1157"/>
      <c r="P98" s="2690"/>
      <c r="Q98" s="505"/>
    </row>
    <row r="99" spans="1:17" ht="15.75" thickTop="1">
      <c r="A99" s="535"/>
      <c r="B99" s="547">
        <f>B32</f>
        <v>111</v>
      </c>
      <c r="C99" s="524"/>
      <c r="D99" s="524"/>
      <c r="E99" s="524"/>
      <c r="F99" s="524"/>
      <c r="G99" s="588"/>
      <c r="H99" s="588"/>
      <c r="I99" s="588"/>
      <c r="J99" s="588"/>
      <c r="K99" s="589"/>
      <c r="L99" s="590"/>
      <c r="M99" s="591"/>
      <c r="N99" s="1156"/>
      <c r="O99" s="1156"/>
      <c r="P99" s="2690"/>
      <c r="Q99" s="505"/>
    </row>
    <row r="100" spans="1:17" ht="15.75" thickBot="1">
      <c r="A100" s="2642"/>
      <c r="B100" s="570"/>
      <c r="C100" s="571"/>
      <c r="D100" s="571"/>
      <c r="E100" s="571"/>
      <c r="F100" s="571"/>
      <c r="G100" s="592"/>
      <c r="H100" s="592"/>
      <c r="I100" s="592"/>
      <c r="J100" s="592"/>
      <c r="K100" s="592"/>
      <c r="L100" s="592"/>
      <c r="M100" s="593"/>
      <c r="N100" s="1157"/>
      <c r="O100" s="1157"/>
      <c r="P100" s="2690"/>
      <c r="Q100" s="505"/>
    </row>
    <row r="101" spans="1:17">
      <c r="A101" s="528" t="s">
        <v>2561</v>
      </c>
      <c r="B101" s="529" t="s">
        <v>2610</v>
      </c>
      <c r="C101" s="2949" t="s">
        <v>3100</v>
      </c>
      <c r="D101" s="531"/>
      <c r="E101" s="531"/>
      <c r="F101" s="531"/>
      <c r="G101" s="531"/>
      <c r="H101" s="531"/>
      <c r="I101" s="531"/>
      <c r="J101" s="531"/>
      <c r="K101" s="532"/>
      <c r="L101" s="533"/>
      <c r="M101" s="534"/>
      <c r="N101" s="1156"/>
      <c r="O101" s="1156"/>
      <c r="P101" s="2690"/>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0"/>
      <c r="Q102" s="505"/>
    </row>
    <row r="103" spans="1:17" ht="29.25" thickTop="1">
      <c r="A103" s="535"/>
      <c r="B103" s="539" t="s">
        <v>2611</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0"/>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1"/>
      <c r="Q104" s="560"/>
    </row>
    <row r="105" spans="1:17" s="472" customFormat="1" ht="15.75" thickBot="1">
      <c r="A105" s="554"/>
      <c r="B105" s="544"/>
      <c r="C105" s="561">
        <v>98</v>
      </c>
      <c r="D105" s="537">
        <v>99</v>
      </c>
      <c r="E105" s="537">
        <v>100</v>
      </c>
      <c r="F105" s="537">
        <v>99</v>
      </c>
      <c r="G105" s="537">
        <v>98</v>
      </c>
      <c r="H105" s="537">
        <v>97</v>
      </c>
      <c r="I105" s="537">
        <v>96</v>
      </c>
      <c r="J105" s="537">
        <v>95</v>
      </c>
      <c r="K105" s="537"/>
      <c r="L105" s="537"/>
      <c r="M105" s="537"/>
      <c r="N105" s="1157"/>
      <c r="O105" s="1157"/>
      <c r="P105" s="2691"/>
      <c r="Q105" s="560"/>
    </row>
    <row r="106" spans="1:17" ht="15" thickTop="1">
      <c r="A106" s="600"/>
      <c r="B106" s="539" t="s">
        <v>2612</v>
      </c>
      <c r="C106" s="2945" t="s">
        <v>3066</v>
      </c>
      <c r="D106" s="555"/>
      <c r="E106" s="584"/>
      <c r="F106" s="584"/>
      <c r="G106" s="584"/>
      <c r="H106" s="584"/>
      <c r="I106" s="584"/>
      <c r="J106" s="584"/>
      <c r="K106" s="585"/>
      <c r="L106" s="586"/>
      <c r="M106" s="587"/>
      <c r="N106" s="1156"/>
      <c r="O106" s="1156"/>
      <c r="P106" s="2690"/>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0"/>
      <c r="Q107" s="505"/>
    </row>
    <row r="108" spans="1:17" ht="15" thickTop="1">
      <c r="A108" s="600"/>
      <c r="B108" s="539" t="s">
        <v>2614</v>
      </c>
      <c r="C108" s="2945" t="s">
        <v>3067</v>
      </c>
      <c r="D108" s="2945" t="s">
        <v>3069</v>
      </c>
      <c r="E108" s="2945" t="s">
        <v>3070</v>
      </c>
      <c r="F108" s="2946" t="s">
        <v>3071</v>
      </c>
      <c r="G108" s="584"/>
      <c r="H108" s="584"/>
      <c r="I108" s="584"/>
      <c r="J108" s="584"/>
      <c r="K108" s="585"/>
      <c r="L108" s="586"/>
      <c r="M108" s="587"/>
      <c r="N108" s="1156"/>
      <c r="O108" s="1156"/>
      <c r="P108" s="2690"/>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0"/>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0"/>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0"/>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0"/>
      <c r="Q112" s="505"/>
    </row>
    <row r="113" spans="1:17" s="472" customFormat="1" ht="15" thickTop="1">
      <c r="A113" s="594"/>
      <c r="B113" s="539" t="s">
        <v>2698</v>
      </c>
      <c r="C113" s="2945" t="s">
        <v>3073</v>
      </c>
      <c r="D113" s="2945" t="s">
        <v>3074</v>
      </c>
      <c r="E113" s="555"/>
      <c r="F113" s="555"/>
      <c r="G113" s="555"/>
      <c r="H113" s="584"/>
      <c r="I113" s="584"/>
      <c r="J113" s="584"/>
      <c r="K113" s="585"/>
      <c r="L113" s="586"/>
      <c r="M113" s="587"/>
      <c r="N113" s="1158"/>
      <c r="O113" s="1158"/>
      <c r="P113" s="2691"/>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1"/>
      <c r="Q114" s="560"/>
    </row>
    <row r="115" spans="1:17" ht="15" thickTop="1">
      <c r="A115" s="600"/>
      <c r="B115" s="539" t="s">
        <v>2615</v>
      </c>
      <c r="C115" s="2945" t="s">
        <v>3075</v>
      </c>
      <c r="D115" s="2945" t="s">
        <v>3077</v>
      </c>
      <c r="E115" s="584"/>
      <c r="F115" s="584"/>
      <c r="G115" s="584"/>
      <c r="H115" s="584"/>
      <c r="I115" s="584"/>
      <c r="J115" s="584"/>
      <c r="K115" s="585"/>
      <c r="L115" s="586"/>
      <c r="M115" s="587"/>
      <c r="N115" s="1156"/>
      <c r="O115" s="1156"/>
      <c r="P115" s="2690"/>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0"/>
      <c r="Q116" s="505"/>
    </row>
    <row r="117" spans="1:17" ht="15" thickTop="1">
      <c r="A117" s="600"/>
      <c r="B117" s="539" t="s">
        <v>2616</v>
      </c>
      <c r="C117" s="2945" t="s">
        <v>3079</v>
      </c>
      <c r="D117" s="555"/>
      <c r="E117" s="555"/>
      <c r="F117" s="555"/>
      <c r="G117" s="555"/>
      <c r="H117" s="584"/>
      <c r="I117" s="584"/>
      <c r="J117" s="584"/>
      <c r="K117" s="585"/>
      <c r="L117" s="586"/>
      <c r="M117" s="587"/>
      <c r="N117" s="1156"/>
      <c r="O117" s="1156"/>
      <c r="P117" s="2690"/>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0"/>
      <c r="Q118" s="505"/>
    </row>
    <row r="119" spans="1:17" ht="15" thickTop="1">
      <c r="A119" s="600"/>
      <c r="B119" s="637" t="s">
        <v>2699</v>
      </c>
      <c r="C119" s="2946" t="s">
        <v>3080</v>
      </c>
      <c r="D119" s="2946" t="s">
        <v>3102</v>
      </c>
      <c r="E119" s="584"/>
      <c r="F119" s="584"/>
      <c r="G119" s="584"/>
      <c r="H119" s="584"/>
      <c r="I119" s="584"/>
      <c r="J119" s="584"/>
      <c r="K119" s="584"/>
      <c r="L119" s="2695"/>
      <c r="M119" s="2696"/>
      <c r="N119" s="1157"/>
      <c r="O119" s="1157"/>
      <c r="P119" s="2697"/>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0"/>
      <c r="Q120" s="505"/>
    </row>
    <row r="121" spans="1:17" s="472" customFormat="1" ht="15" thickTop="1">
      <c r="A121" s="594"/>
      <c r="B121" s="539" t="s">
        <v>2682</v>
      </c>
      <c r="C121" s="555"/>
      <c r="D121" s="555"/>
      <c r="E121" s="555"/>
      <c r="F121" s="584"/>
      <c r="G121" s="556"/>
      <c r="H121" s="556"/>
      <c r="I121" s="556"/>
      <c r="J121" s="556"/>
      <c r="K121" s="556"/>
      <c r="L121" s="557"/>
      <c r="M121" s="558"/>
      <c r="N121" s="1158"/>
      <c r="O121" s="1158"/>
      <c r="P121" s="2691"/>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1"/>
      <c r="Q122" s="560"/>
    </row>
    <row r="123" spans="1:17" ht="15" thickTop="1">
      <c r="A123" s="600"/>
      <c r="B123" s="539" t="s">
        <v>2618</v>
      </c>
      <c r="C123" s="2945" t="s">
        <v>3067</v>
      </c>
      <c r="D123" s="2945" t="s">
        <v>3069</v>
      </c>
      <c r="E123" s="2945" t="s">
        <v>3070</v>
      </c>
      <c r="F123" s="2946" t="s">
        <v>3071</v>
      </c>
      <c r="G123" s="584"/>
      <c r="H123" s="584"/>
      <c r="I123" s="584"/>
      <c r="J123" s="584"/>
      <c r="K123" s="585"/>
      <c r="L123" s="586"/>
      <c r="M123" s="587"/>
      <c r="N123" s="1156"/>
      <c r="O123" s="1156"/>
      <c r="P123" s="2690"/>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0"/>
      <c r="Q124" s="505"/>
    </row>
    <row r="125" spans="1:17" ht="15" thickTop="1">
      <c r="A125" s="600"/>
      <c r="B125" s="539" t="s">
        <v>2619</v>
      </c>
      <c r="C125" s="579" t="s">
        <v>2595</v>
      </c>
      <c r="D125" s="579" t="s">
        <v>2596</v>
      </c>
      <c r="E125" s="579" t="s">
        <v>2597</v>
      </c>
      <c r="F125" s="579" t="s">
        <v>2598</v>
      </c>
      <c r="G125" s="579" t="s">
        <v>2599</v>
      </c>
      <c r="H125" s="540"/>
      <c r="I125" s="540"/>
      <c r="J125" s="540"/>
      <c r="K125" s="541"/>
      <c r="L125" s="542"/>
      <c r="M125" s="543"/>
      <c r="N125" s="1156"/>
      <c r="O125" s="1156"/>
      <c r="P125" s="2691"/>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0"/>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1"/>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1"/>
      <c r="Q128" s="560"/>
    </row>
    <row r="129" spans="1:17" ht="15" thickTop="1">
      <c r="A129" s="600"/>
      <c r="B129" s="539">
        <f>B46</f>
        <v>111</v>
      </c>
      <c r="C129" s="555"/>
      <c r="D129" s="555"/>
      <c r="E129" s="555"/>
      <c r="F129" s="555"/>
      <c r="G129" s="584"/>
      <c r="H129" s="584"/>
      <c r="I129" s="584"/>
      <c r="J129" s="584"/>
      <c r="K129" s="585"/>
      <c r="L129" s="586"/>
      <c r="M129" s="587"/>
      <c r="N129" s="1156"/>
      <c r="O129" s="1156"/>
      <c r="P129" s="2690"/>
      <c r="Q129" s="505"/>
    </row>
    <row r="130" spans="1:17" ht="15.75" thickBot="1">
      <c r="A130" s="535"/>
      <c r="B130" s="544"/>
      <c r="C130" s="561"/>
      <c r="D130" s="561"/>
      <c r="E130" s="561"/>
      <c r="F130" s="561"/>
      <c r="G130" s="537"/>
      <c r="H130" s="537"/>
      <c r="I130" s="537"/>
      <c r="J130" s="537"/>
      <c r="K130" s="537"/>
      <c r="L130" s="537"/>
      <c r="M130" s="538"/>
      <c r="N130" s="1157"/>
      <c r="O130" s="1157"/>
      <c r="P130" s="2690"/>
      <c r="Q130" s="505"/>
    </row>
    <row r="131" spans="1:17" ht="15" thickTop="1">
      <c r="A131" s="600"/>
      <c r="B131" s="547">
        <f>B47</f>
        <v>111</v>
      </c>
      <c r="C131" s="524"/>
      <c r="D131" s="524"/>
      <c r="E131" s="524"/>
      <c r="F131" s="524"/>
      <c r="G131" s="588"/>
      <c r="H131" s="588"/>
      <c r="I131" s="588"/>
      <c r="J131" s="588"/>
      <c r="K131" s="524"/>
      <c r="L131" s="525"/>
      <c r="M131" s="591"/>
      <c r="N131" s="1156"/>
      <c r="O131" s="1156"/>
      <c r="P131" s="2690"/>
      <c r="Q131" s="505"/>
    </row>
    <row r="132" spans="1:17" ht="15.75" thickBot="1">
      <c r="A132" s="2642"/>
      <c r="B132" s="570"/>
      <c r="C132" s="571"/>
      <c r="D132" s="571"/>
      <c r="E132" s="571"/>
      <c r="F132" s="571"/>
      <c r="G132" s="592"/>
      <c r="H132" s="592"/>
      <c r="I132" s="592"/>
      <c r="J132" s="592"/>
      <c r="K132" s="592"/>
      <c r="L132" s="592"/>
      <c r="M132" s="593"/>
      <c r="N132" s="1157"/>
      <c r="O132" s="1157"/>
      <c r="P132" s="2690"/>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1622</v>
      </c>
      <c r="B1" s="1964"/>
      <c r="C1" s="1964"/>
      <c r="D1" s="1964"/>
      <c r="E1" s="1964"/>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6"/>
      <c r="B4" s="2965" t="s">
        <v>1631</v>
      </c>
      <c r="C4" s="2965"/>
      <c r="D4" s="2965"/>
      <c r="E4" s="1966"/>
    </row>
    <row r="5" spans="1:5" ht="16.5" thickTop="1">
      <c r="A5" s="1964"/>
      <c r="B5" s="2963" t="s">
        <v>1623</v>
      </c>
      <c r="C5" s="1967" t="s">
        <v>1624</v>
      </c>
      <c r="D5" s="1044">
        <f ca="1">结果表!H101</f>
        <v>4097</v>
      </c>
      <c r="E5" s="1964"/>
    </row>
    <row r="6" spans="1:5" ht="15.75">
      <c r="A6" s="1964"/>
      <c r="B6" s="2963"/>
      <c r="C6" s="1967" t="s">
        <v>1625</v>
      </c>
      <c r="D6" s="1044" t="str">
        <f ca="1">NUMBERSTRING(INT(D5*10000),2)&amp;"元整"</f>
        <v>肆仟零玖拾柒万元整</v>
      </c>
      <c r="E6" s="1964"/>
    </row>
    <row r="7" spans="1:5" ht="15.75">
      <c r="A7" s="1964"/>
      <c r="B7" s="2968"/>
      <c r="C7" s="1968" t="s">
        <v>1626</v>
      </c>
      <c r="D7" s="1045">
        <f ca="1">结果表!H102</f>
        <v>45607</v>
      </c>
      <c r="E7" s="1964"/>
    </row>
    <row r="8" spans="1:5" ht="15.75">
      <c r="A8" s="1964"/>
      <c r="B8" s="2969" t="str">
        <f>结果表!E103</f>
        <v>2.估价师知悉的法定优先受偿款</v>
      </c>
      <c r="C8" s="1969" t="s">
        <v>1627</v>
      </c>
      <c r="D8" s="1045">
        <f>结果表!H103</f>
        <v>0</v>
      </c>
      <c r="E8" s="1964"/>
    </row>
    <row r="9" spans="1:5" ht="15.75">
      <c r="A9" s="1964"/>
      <c r="B9" s="2971"/>
      <c r="C9" s="1967" t="s">
        <v>1625</v>
      </c>
      <c r="D9" s="1044" t="str">
        <f>NUMBERSTRING(INT(D8*10000),2)&amp;"元整"</f>
        <v>零元整</v>
      </c>
      <c r="E9" s="1964"/>
    </row>
    <row r="10" spans="1:5" ht="15">
      <c r="A10" s="1964"/>
      <c r="B10" s="1970" t="s">
        <v>1630</v>
      </c>
      <c r="C10" s="1971" t="s">
        <v>1628</v>
      </c>
      <c r="D10" s="1046">
        <f>结果表!H104</f>
        <v>0</v>
      </c>
      <c r="E10" s="1964"/>
    </row>
    <row r="11" spans="1:5" ht="15">
      <c r="A11" s="1964"/>
      <c r="B11" s="1970" t="s">
        <v>1632</v>
      </c>
      <c r="C11" s="1971" t="s">
        <v>1633</v>
      </c>
      <c r="D11" s="1046">
        <f>结果表!H105</f>
        <v>0</v>
      </c>
      <c r="E11" s="1964"/>
    </row>
    <row r="12" spans="1:5" ht="15">
      <c r="A12" s="1964"/>
      <c r="B12" s="1970" t="s">
        <v>1634</v>
      </c>
      <c r="C12" s="1971" t="s">
        <v>1633</v>
      </c>
      <c r="D12" s="1046">
        <f>结果表!H106</f>
        <v>0</v>
      </c>
      <c r="E12" s="1964"/>
    </row>
    <row r="13" spans="1:5" ht="15.75">
      <c r="A13" s="1964"/>
      <c r="B13" s="2962" t="str">
        <f>结果表!E107</f>
        <v>3.房地产抵押价值</v>
      </c>
      <c r="C13" s="1972" t="s">
        <v>1624</v>
      </c>
      <c r="D13" s="1047">
        <f ca="1">结果表!H107</f>
        <v>4097</v>
      </c>
      <c r="E13" s="1964"/>
    </row>
    <row r="14" spans="1:5" ht="15.75">
      <c r="A14" s="1964"/>
      <c r="B14" s="2963"/>
      <c r="C14" s="1967" t="s">
        <v>1625</v>
      </c>
      <c r="D14" s="1044" t="str">
        <f ca="1">NUMBERSTRING(INT(D13*10000),2)&amp;"元整"</f>
        <v>肆仟零玖拾柒万元整</v>
      </c>
      <c r="E14" s="1964"/>
    </row>
    <row r="15" spans="1:5" ht="15">
      <c r="A15" s="1964"/>
      <c r="B15" s="2968"/>
      <c r="C15" s="1968" t="s">
        <v>1635</v>
      </c>
      <c r="D15" s="1056">
        <f ca="1">结果表!H108</f>
        <v>45607</v>
      </c>
      <c r="E15" s="1964"/>
    </row>
    <row r="16" spans="1:5" ht="15">
      <c r="A16" s="1964"/>
      <c r="B16" s="2969" t="str">
        <f>结果表!E109</f>
        <v>——</v>
      </c>
      <c r="C16" s="1972" t="s">
        <v>1636</v>
      </c>
      <c r="D16" s="1973" t="str">
        <f>结果表!H109</f>
        <v>——</v>
      </c>
      <c r="E16" s="1964"/>
    </row>
    <row r="17" spans="1:5" ht="15.75">
      <c r="A17" s="1964"/>
      <c r="B17" s="2970"/>
      <c r="C17" s="1967" t="s">
        <v>1637</v>
      </c>
      <c r="D17" s="1044" t="e">
        <f>NUMBERSTRING(INT(D16*10000),2)&amp;"元整"</f>
        <v>#VALUE!</v>
      </c>
      <c r="E17" s="1964"/>
    </row>
    <row r="18" spans="1:5" ht="15">
      <c r="A18" s="1964"/>
      <c r="B18" s="2971"/>
      <c r="C18" s="1968" t="s">
        <v>1626</v>
      </c>
      <c r="D18" s="1056" t="str">
        <f>结果表!H110</f>
        <v>——</v>
      </c>
      <c r="E18" s="1964"/>
    </row>
    <row r="19" spans="1:5" ht="15.75">
      <c r="A19" s="1964"/>
      <c r="B19" s="2962" t="str">
        <f>结果表!E111</f>
        <v>——</v>
      </c>
      <c r="C19" s="1972" t="s">
        <v>1624</v>
      </c>
      <c r="D19" s="1045" t="str">
        <f>结果表!H111</f>
        <v>——</v>
      </c>
      <c r="E19" s="1964"/>
    </row>
    <row r="20" spans="1:5" ht="15.75">
      <c r="A20" s="1964"/>
      <c r="B20" s="2963"/>
      <c r="C20" s="1967" t="s">
        <v>1637</v>
      </c>
      <c r="D20" s="1044" t="e">
        <f>NUMBERSTRING(INT(D19*10000),2)&amp;"元整"</f>
        <v>#VALUE!</v>
      </c>
      <c r="E20" s="1964"/>
    </row>
    <row r="21" spans="1:5" ht="15.75" thickBot="1">
      <c r="A21" s="1964"/>
      <c r="B21" s="2964"/>
      <c r="C21" s="1974" t="s">
        <v>1635</v>
      </c>
      <c r="D21" s="1057" t="str">
        <f>结果表!H112</f>
        <v>——</v>
      </c>
      <c r="E21" s="1964"/>
    </row>
    <row r="22" spans="1:5" ht="15" thickTop="1">
      <c r="A22" s="1964"/>
      <c r="B22" s="1975" t="s">
        <v>1638</v>
      </c>
      <c r="C22" s="1964"/>
      <c r="D22" s="1964"/>
      <c r="E22" s="1964"/>
    </row>
    <row r="23" spans="1:5">
      <c r="A23" s="1964"/>
      <c r="B23" s="1964"/>
      <c r="C23" s="1964"/>
      <c r="D23" s="1964"/>
      <c r="E23" s="1964"/>
    </row>
    <row r="24" spans="1:5" ht="18.75">
      <c r="A24" s="1976"/>
      <c r="B24" s="1977" t="s">
        <v>1629</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V30" sqref="V3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281" t="s">
        <v>3006</v>
      </c>
      <c r="D1" s="3282"/>
      <c r="E1" s="3282"/>
      <c r="F1" s="3282"/>
      <c r="G1" s="3282"/>
      <c r="H1" s="3282"/>
      <c r="I1" s="3282"/>
      <c r="J1" s="3282"/>
      <c r="K1" s="3282"/>
      <c r="L1" s="3282"/>
      <c r="M1" s="3282"/>
      <c r="N1" s="3282"/>
      <c r="O1" s="3282"/>
      <c r="P1" s="3282"/>
      <c r="Q1" s="3282"/>
      <c r="R1" s="3282"/>
      <c r="S1" s="3283"/>
      <c r="T1" s="1208" t="s">
        <v>3007</v>
      </c>
    </row>
    <row r="2" spans="1:45" s="708" customFormat="1" ht="38.25">
      <c r="A2" s="1209"/>
      <c r="B2" s="704" t="s">
        <v>3008</v>
      </c>
      <c r="C2" s="705" t="str">
        <f t="shared" ref="C2:L2" si="0">C3&amp;"(含)"&amp;"-"&amp;D3</f>
        <v>0(含)-200</v>
      </c>
      <c r="D2" s="706" t="str">
        <f t="shared" si="0"/>
        <v>200(含)-400</v>
      </c>
      <c r="E2" s="706" t="str">
        <f t="shared" si="0"/>
        <v>400(含)-600</v>
      </c>
      <c r="F2" s="706" t="str">
        <f t="shared" si="0"/>
        <v>600(含)-1000</v>
      </c>
      <c r="G2" s="706" t="str">
        <f t="shared" si="0"/>
        <v>1000(含)-2000</v>
      </c>
      <c r="H2" s="706" t="str">
        <f t="shared" si="0"/>
        <v>2000(含)-3000</v>
      </c>
      <c r="I2" s="706" t="str">
        <f t="shared" si="0"/>
        <v>3000(含)-4000</v>
      </c>
      <c r="J2" s="706" t="str">
        <f t="shared" si="0"/>
        <v>4000(含)-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v>0</v>
      </c>
      <c r="D3" s="711">
        <f>'比较法-办公'!D104</f>
        <v>200</v>
      </c>
      <c r="E3" s="711">
        <f>'比较法-办公'!E104</f>
        <v>400</v>
      </c>
      <c r="F3" s="1709">
        <f>'比较法-办公'!F104</f>
        <v>600</v>
      </c>
      <c r="G3" s="1709">
        <f>'比较法-办公'!G104</f>
        <v>1000</v>
      </c>
      <c r="H3" s="1709">
        <f>'比较法-办公'!H104</f>
        <v>2000</v>
      </c>
      <c r="I3" s="1709">
        <f>'比较法-办公'!I104</f>
        <v>3000</v>
      </c>
      <c r="J3" s="1709">
        <f>'比较法-办公'!J104</f>
        <v>4000</v>
      </c>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v>100</v>
      </c>
      <c r="D4" s="1215">
        <v>99</v>
      </c>
      <c r="E4" s="1214">
        <v>98</v>
      </c>
      <c r="F4" s="1215">
        <v>97</v>
      </c>
      <c r="G4" s="1214">
        <v>96</v>
      </c>
      <c r="H4" s="1215">
        <v>95</v>
      </c>
      <c r="I4" s="1214">
        <v>94</v>
      </c>
      <c r="J4" s="1215">
        <v>93</v>
      </c>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2" t="s">
        <v>3015</v>
      </c>
      <c r="B17" s="2923" t="s">
        <v>3016</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4" t="s">
        <v>3017</v>
      </c>
      <c r="E19" s="1797"/>
      <c r="F19" s="1797"/>
      <c r="G19" s="1797"/>
      <c r="H19" s="1284"/>
      <c r="I19" s="169"/>
      <c r="J19" s="169"/>
      <c r="K19" s="169"/>
      <c r="L19" s="169"/>
      <c r="M19" s="169"/>
      <c r="N19" s="169"/>
      <c r="O19" s="169"/>
      <c r="P19" s="169"/>
      <c r="Q19" s="169"/>
      <c r="R19" s="789"/>
      <c r="S19" s="138"/>
    </row>
    <row r="20" spans="1:45" ht="16.5" thickBot="1">
      <c r="A20" s="716" t="s">
        <v>3018</v>
      </c>
      <c r="B20" s="339">
        <f ca="1">IF(D20="——",S22,S22-F20)</f>
        <v>4097</v>
      </c>
      <c r="C20" s="169"/>
      <c r="D20" s="2925" t="s">
        <v>70</v>
      </c>
      <c r="E20" s="1798"/>
      <c r="F20" s="1208" t="e">
        <f ca="1">SUMIF(INDIRECT("'"&amp;H20&amp;"'"&amp;"!A:A"),"承租人权益价值",INDIRECT("'"&amp;H20&amp;"'"&amp;"!c:c"))</f>
        <v>#REF!</v>
      </c>
      <c r="G20" s="1208" t="s">
        <v>3019</v>
      </c>
      <c r="H20" s="2926"/>
      <c r="I20" s="169"/>
      <c r="J20" s="169"/>
      <c r="K20" s="169"/>
      <c r="L20" s="169"/>
      <c r="M20" s="169"/>
      <c r="N20" s="169"/>
      <c r="O20" s="169"/>
      <c r="P20" s="169"/>
      <c r="Q20" s="169"/>
      <c r="R20" s="789"/>
      <c r="S20" s="138"/>
    </row>
    <row r="21" spans="1:45" ht="15.75">
      <c r="A21" s="716" t="s">
        <v>3020</v>
      </c>
      <c r="B21" s="339">
        <f ca="1">R22</f>
        <v>45607</v>
      </c>
      <c r="C21" s="169"/>
      <c r="D21" s="169"/>
      <c r="E21" s="169"/>
      <c r="F21" s="169"/>
      <c r="G21" s="169"/>
      <c r="H21" s="169"/>
      <c r="I21" s="169"/>
      <c r="J21" s="169"/>
      <c r="K21" s="169"/>
      <c r="L21" s="169"/>
      <c r="M21" s="169"/>
      <c r="N21" s="169"/>
      <c r="O21" s="169"/>
      <c r="P21" s="169"/>
      <c r="Q21" s="169"/>
      <c r="R21" s="789"/>
      <c r="S21" s="138"/>
    </row>
    <row r="22" spans="1:45">
      <c r="A22" s="362" t="s">
        <v>3021</v>
      </c>
      <c r="B22" s="24">
        <f>SUM(B24:B10000)</f>
        <v>898.32</v>
      </c>
      <c r="C22" s="3142" t="s">
        <v>33</v>
      </c>
      <c r="D22" s="3143"/>
      <c r="E22" s="3143"/>
      <c r="F22" s="3143"/>
      <c r="G22" s="3143"/>
      <c r="H22" s="3143"/>
      <c r="I22" s="3143"/>
      <c r="J22" s="3143"/>
      <c r="K22" s="3143"/>
      <c r="L22" s="3143"/>
      <c r="M22" s="3143"/>
      <c r="N22" s="3143"/>
      <c r="O22" s="3143"/>
      <c r="P22" s="3143"/>
      <c r="Q22" s="3280"/>
      <c r="R22" s="717">
        <f ca="1">ROUND(S22*10000/B22,0)</f>
        <v>45607</v>
      </c>
      <c r="S22" s="24">
        <f ca="1">SUM(S24:S10000)</f>
        <v>4097</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8" t="s">
        <v>3025</v>
      </c>
      <c r="S23" s="11" t="s">
        <v>3026</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f>'数据-基础表'!C13</f>
        <v>401</v>
      </c>
      <c r="B24" s="719">
        <f>'数据-基础表'!I13</f>
        <v>898.32</v>
      </c>
      <c r="C24" s="720">
        <v>1</v>
      </c>
      <c r="D24" s="721"/>
      <c r="E24" s="720">
        <v>1</v>
      </c>
      <c r="F24" s="721"/>
      <c r="G24" s="720">
        <v>1</v>
      </c>
      <c r="H24" s="721"/>
      <c r="I24" s="720">
        <v>1</v>
      </c>
      <c r="J24" s="721"/>
      <c r="K24" s="720">
        <v>1</v>
      </c>
      <c r="L24" s="721"/>
      <c r="M24" s="720">
        <v>1</v>
      </c>
      <c r="N24" s="721"/>
      <c r="O24" s="720">
        <v>1</v>
      </c>
      <c r="P24" s="721"/>
      <c r="Q24" s="720">
        <v>1</v>
      </c>
      <c r="R24" s="722">
        <f ca="1">结果表!G20</f>
        <v>45603</v>
      </c>
      <c r="S24" s="720">
        <f t="shared" ref="S24:S54" ca="1" si="11">ROUND(R24*B24/10000,0)</f>
        <v>4097</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719">
        <f>'数据-基础表'!C14</f>
        <v>0</v>
      </c>
      <c r="B25" s="719">
        <f>'数据-基础表'!I14</f>
        <v>0</v>
      </c>
      <c r="C25" s="24">
        <f>IF(B25="",1,(LOOKUP(B25,$3:$3,$4:$4)-LOOKUP($B$24,$3:$3,$4:$4)+100)/100)</f>
        <v>1.03</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 ca="1">IF(B25="",0,ROUND($R$24*C25*E25*G25*I25*K25*M25*O25*Q25,0))</f>
        <v>46971</v>
      </c>
      <c r="S25" s="362">
        <f t="shared" ca="1" si="11"/>
        <v>0</v>
      </c>
    </row>
    <row r="26" spans="1:45">
      <c r="A26" s="719">
        <f>'数据-基础表'!C15</f>
        <v>0</v>
      </c>
      <c r="B26" s="719">
        <f>'数据-基础表'!I15</f>
        <v>0</v>
      </c>
      <c r="C26" s="24">
        <f t="shared" ref="C26:C89" si="12">IF(B26="",1,(LOOKUP(B26,$3:$3,$4:$4)-LOOKUP($B$24,$3:$3,$4:$4)+100)/100)</f>
        <v>1.03</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ca="1" si="20">IF(B26="",0,ROUND($R$24*C26*E26*G26*I26*K26*M26*O26*Q26,0))</f>
        <v>46971</v>
      </c>
      <c r="S26" s="362">
        <f t="shared" ca="1" si="11"/>
        <v>0</v>
      </c>
    </row>
    <row r="27" spans="1:45">
      <c r="A27" s="719">
        <f>'数据-基础表'!C16</f>
        <v>0</v>
      </c>
      <c r="B27" s="719">
        <f>'数据-基础表'!I16</f>
        <v>0</v>
      </c>
      <c r="C27" s="24">
        <f t="shared" si="12"/>
        <v>1.03</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ca="1" si="20"/>
        <v>46971</v>
      </c>
      <c r="S27" s="362">
        <f t="shared" ca="1" si="11"/>
        <v>0</v>
      </c>
    </row>
    <row r="28" spans="1:45">
      <c r="A28" s="719">
        <f>'数据-基础表'!C17</f>
        <v>0</v>
      </c>
      <c r="B28" s="719">
        <f>'数据-基础表'!I17</f>
        <v>0</v>
      </c>
      <c r="C28" s="24">
        <f t="shared" si="12"/>
        <v>1.03</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ca="1" si="20"/>
        <v>46971</v>
      </c>
      <c r="S28" s="362">
        <f t="shared" ca="1" si="11"/>
        <v>0</v>
      </c>
    </row>
    <row r="29" spans="1:45">
      <c r="A29" s="719">
        <f>'数据-基础表'!C18</f>
        <v>0</v>
      </c>
      <c r="B29" s="719">
        <f>'数据-基础表'!I18</f>
        <v>0</v>
      </c>
      <c r="C29" s="24">
        <f t="shared" si="12"/>
        <v>1.03</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ca="1" si="20"/>
        <v>46971</v>
      </c>
      <c r="S29" s="362">
        <f t="shared" ca="1" si="11"/>
        <v>0</v>
      </c>
    </row>
    <row r="30" spans="1:45">
      <c r="A30" s="719"/>
      <c r="B30" s="71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719"/>
      <c r="B31" s="71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71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29363</v>
      </c>
      <c r="C2" s="2" t="s">
        <v>133</v>
      </c>
      <c r="D2" s="244"/>
      <c r="E2" s="244"/>
      <c r="F2" s="244"/>
      <c r="G2" s="244"/>
    </row>
    <row r="3" spans="1:7" s="245" customFormat="1" ht="18" customHeight="1" thickBot="1">
      <c r="A3" s="248" t="s">
        <v>85</v>
      </c>
      <c r="B3" s="249">
        <f ca="1">ROUND(B2*10000/'数据-汇总表'!E3,0)</f>
        <v>326866</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0</v>
      </c>
      <c r="D10" s="1036">
        <f>'数据-汇总表'!E6</f>
        <v>898.32</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18</v>
      </c>
      <c r="D19" s="1040">
        <f>'数据-汇总表'!E3</f>
        <v>898.32</v>
      </c>
      <c r="E19" s="256">
        <f>'数据-取费表'!B31</f>
        <v>200</v>
      </c>
      <c r="F19" s="276"/>
      <c r="G19" s="1" t="s">
        <v>1074</v>
      </c>
    </row>
    <row r="20" spans="1:7" s="259" customFormat="1" ht="13.5" customHeight="1">
      <c r="A20" s="952" t="s">
        <v>1057</v>
      </c>
      <c r="B20" s="255" t="s">
        <v>104</v>
      </c>
      <c r="C20" s="277">
        <f>ROUND((C5+C19)*F20,0)</f>
        <v>413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1502</v>
      </c>
      <c r="D22" s="280">
        <f ca="1">C26</f>
        <v>6.9999999999999999E-4</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1486</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1</v>
      </c>
      <c r="D24" s="283"/>
      <c r="E24" s="283"/>
      <c r="F24" s="284"/>
      <c r="G24" s="285" t="s">
        <v>109</v>
      </c>
    </row>
    <row r="25" spans="1:7" s="259" customFormat="1" ht="24">
      <c r="A25" s="955" t="s">
        <v>793</v>
      </c>
      <c r="B25" s="260" t="s">
        <v>1058</v>
      </c>
      <c r="C25" s="1359">
        <f ca="1">ROUND(IF('数据-取费表'!B22&lt;=1,C20*F22*'数据-取费表'!B23/2,C20*(POWER((1+F22),'数据-取费表'!B23/2)-1)),0)</f>
        <v>15</v>
      </c>
      <c r="D25" s="283"/>
      <c r="E25" s="286"/>
      <c r="F25" s="284"/>
      <c r="G25" s="287" t="s">
        <v>110</v>
      </c>
    </row>
    <row r="26" spans="1:7" s="259" customFormat="1">
      <c r="A26" s="955" t="s">
        <v>795</v>
      </c>
      <c r="B26" s="260" t="s">
        <v>1060</v>
      </c>
      <c r="C26" s="283">
        <f ca="1">ROUND(IF('数据-取费表'!B22&lt;=1,F21*F22*'数据-取费表'!B23/2,F21*(POWER((1+F22),'数据-取费表'!B23/2)-1)),4)</f>
        <v>6.9999999999999999E-4</v>
      </c>
      <c r="D26" s="283"/>
      <c r="E26" s="286"/>
      <c r="F26" s="284"/>
      <c r="G26" s="288"/>
    </row>
    <row r="27" spans="1:7" s="259" customFormat="1" ht="24.75">
      <c r="A27" s="952" t="s">
        <v>787</v>
      </c>
      <c r="B27" s="289" t="s">
        <v>112</v>
      </c>
      <c r="C27" s="290">
        <f>C28</f>
        <v>4208</v>
      </c>
      <c r="D27" s="280">
        <f>C29</f>
        <v>4.0000000000000001E-3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4208</v>
      </c>
      <c r="D28" s="280"/>
      <c r="E28" s="281"/>
      <c r="F28" s="291"/>
      <c r="G28" s="292"/>
    </row>
    <row r="29" spans="1:7" s="259" customFormat="1" ht="13.5" customHeight="1">
      <c r="A29" s="955" t="s">
        <v>792</v>
      </c>
      <c r="B29" s="293" t="s">
        <v>1063</v>
      </c>
      <c r="C29" s="283">
        <f>ROUND(C21*F27*'数据-取费表'!B21/'数据-取费表'!B20,4)</f>
        <v>4.0000000000000001E-3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29015</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290</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269</v>
      </c>
      <c r="D34" s="262"/>
      <c r="E34" s="265"/>
      <c r="F34" s="302">
        <f>IF('数据-取费表'!B24=0,1,'数据-取费表'!N16)</f>
        <v>1</v>
      </c>
      <c r="G34" s="264" t="s">
        <v>116</v>
      </c>
    </row>
    <row r="35" spans="1:7" ht="13.5" customHeight="1">
      <c r="A35" s="955" t="s">
        <v>796</v>
      </c>
      <c r="B35" s="260" t="s">
        <v>60</v>
      </c>
      <c r="C35" s="265">
        <f>ROUND(C34*F35,0)</f>
        <v>8</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0.03</v>
      </c>
      <c r="G36" s="305" t="s">
        <v>62</v>
      </c>
    </row>
    <row r="37" spans="1:7" s="303" customFormat="1" ht="13.5" customHeight="1">
      <c r="A37" s="955" t="s">
        <v>798</v>
      </c>
      <c r="B37" s="260" t="s">
        <v>118</v>
      </c>
      <c r="C37" s="294">
        <f>ROUND(E37*D37*F34/10000,0)</f>
        <v>9</v>
      </c>
      <c r="D37" s="262">
        <f>'数据-汇总表'!E3</f>
        <v>898.32</v>
      </c>
      <c r="E37" s="294">
        <f>'数据-取费表'!B35</f>
        <v>100</v>
      </c>
      <c r="F37" s="304"/>
      <c r="G37" s="306" t="s">
        <v>119</v>
      </c>
    </row>
    <row r="38" spans="1:7" ht="13.5" customHeight="1">
      <c r="A38" s="955" t="s">
        <v>799</v>
      </c>
      <c r="B38" s="260" t="s">
        <v>63</v>
      </c>
      <c r="C38" s="265">
        <f>ROUND(C34*F38,0)</f>
        <v>4</v>
      </c>
      <c r="D38" s="265"/>
      <c r="E38" s="265"/>
      <c r="F38" s="304">
        <f>'数据-取费表'!B36</f>
        <v>1.4999999999999999E-2</v>
      </c>
      <c r="G38" s="264" t="s">
        <v>117</v>
      </c>
    </row>
    <row r="39" spans="1:7" s="259" customFormat="1" ht="13.5" customHeight="1">
      <c r="A39" s="952" t="s">
        <v>783</v>
      </c>
      <c r="B39" s="255" t="s">
        <v>104</v>
      </c>
      <c r="C39" s="277">
        <f>ROUND(C33*F20,0)</f>
        <v>6</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10</v>
      </c>
      <c r="D41" s="280">
        <f ca="1">C44</f>
        <v>6.9999999999999999E-4</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10</v>
      </c>
      <c r="D42" s="283"/>
      <c r="E42" s="283"/>
      <c r="F42" s="284"/>
      <c r="G42" s="3147" t="s">
        <v>121</v>
      </c>
    </row>
    <row r="43" spans="1:7" ht="13.5" customHeight="1">
      <c r="A43" s="955" t="s">
        <v>792</v>
      </c>
      <c r="B43" s="260" t="s">
        <v>1064</v>
      </c>
      <c r="C43" s="283">
        <f ca="1">ROUND(IF('数据-取费表'!B22&lt;=1,C39*F22*'数据-取费表'!B21/2,C39*(POWER((1+F22),'数据-取费表'!B21/2)-1)),0)</f>
        <v>0</v>
      </c>
      <c r="D43" s="283"/>
      <c r="E43" s="283"/>
      <c r="F43" s="284"/>
      <c r="G43" s="3148"/>
    </row>
    <row r="44" spans="1:7" ht="13.5" customHeight="1">
      <c r="A44" s="955" t="s">
        <v>793</v>
      </c>
      <c r="B44" s="260" t="s">
        <v>1066</v>
      </c>
      <c r="C44" s="283">
        <f ca="1">ROUND(IF('数据-取费表'!B22&lt;=1,C40*F22*'数据-取费表'!B21/2,C40*(POWER((1+F22),'数据-取费表'!B21/2)-1)),4)</f>
        <v>6.9999999999999999E-4</v>
      </c>
      <c r="D44" s="283"/>
      <c r="E44" s="283"/>
      <c r="F44" s="284"/>
      <c r="G44" s="3149"/>
    </row>
    <row r="45" spans="1:7" s="259" customFormat="1" ht="13.5" customHeight="1">
      <c r="A45" s="952" t="s">
        <v>786</v>
      </c>
      <c r="B45" s="289" t="s">
        <v>112</v>
      </c>
      <c r="C45" s="290">
        <f>C46</f>
        <v>59</v>
      </c>
      <c r="D45" s="280">
        <f>C47</f>
        <v>4.0000000000000001E-3</v>
      </c>
      <c r="E45" s="281" t="s">
        <v>129</v>
      </c>
      <c r="F45" s="291"/>
      <c r="G45" s="292" t="s">
        <v>1072</v>
      </c>
    </row>
    <row r="46" spans="1:7" s="259" customFormat="1" ht="13.5" customHeight="1">
      <c r="A46" s="955" t="s">
        <v>794</v>
      </c>
      <c r="B46" s="293" t="s">
        <v>1065</v>
      </c>
      <c r="C46" s="294">
        <f>ROUND((C33+C39)*F27,0)</f>
        <v>59</v>
      </c>
      <c r="D46" s="308"/>
      <c r="E46" s="281"/>
      <c r="F46" s="291"/>
      <c r="G46" s="292"/>
    </row>
    <row r="47" spans="1:7" s="259" customFormat="1" ht="13.5" customHeight="1">
      <c r="A47" s="955" t="s">
        <v>792</v>
      </c>
      <c r="B47" s="293" t="s">
        <v>1067</v>
      </c>
      <c r="C47" s="283">
        <f>ROUND(C40*F27,4)</f>
        <v>4.0000000000000001E-3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396</v>
      </c>
      <c r="D49" s="277"/>
      <c r="E49" s="277"/>
      <c r="F49" s="309"/>
      <c r="G49" s="279" t="s">
        <v>1073</v>
      </c>
    </row>
    <row r="50" spans="1:7" s="303" customFormat="1" ht="24">
      <c r="A50" s="952" t="s">
        <v>789</v>
      </c>
      <c r="B50" s="255" t="s">
        <v>124</v>
      </c>
      <c r="C50" s="277"/>
      <c r="D50" s="277"/>
      <c r="E50" s="277"/>
      <c r="F50" s="309">
        <f>IF('数据-取费表'!B24=0,'数据-取费表'!N16,1)</f>
        <v>0.88</v>
      </c>
      <c r="G50" s="292" t="s">
        <v>125</v>
      </c>
    </row>
    <row r="51" spans="1:7" ht="16.5" customHeight="1">
      <c r="A51" s="952" t="s">
        <v>790</v>
      </c>
      <c r="B51" s="255" t="s">
        <v>132</v>
      </c>
      <c r="C51" s="277">
        <f ca="1">ROUND(C49*F50,0)</f>
        <v>348</v>
      </c>
      <c r="D51" s="277"/>
      <c r="E51" s="277"/>
      <c r="F51" s="309"/>
      <c r="G51" s="279" t="s">
        <v>64</v>
      </c>
    </row>
    <row r="52" spans="1:7" s="253" customFormat="1" ht="16.5" thickBot="1">
      <c r="A52" s="310" t="s">
        <v>65</v>
      </c>
      <c r="B52" s="311"/>
      <c r="C52" s="312">
        <f ca="1">C31+C51</f>
        <v>29363</v>
      </c>
      <c r="D52" s="311"/>
      <c r="E52" s="311"/>
      <c r="F52" s="311"/>
      <c r="G52" s="313"/>
    </row>
    <row r="55" spans="1:7" ht="15">
      <c r="B55" s="315" t="s">
        <v>66</v>
      </c>
      <c r="C55" s="316"/>
    </row>
    <row r="56" spans="1:7">
      <c r="B56" s="318" t="s">
        <v>67</v>
      </c>
      <c r="C56" s="319">
        <f ca="1">ROUND(C51/C52,3)</f>
        <v>1.2E-2</v>
      </c>
    </row>
    <row r="57" spans="1:7">
      <c r="B57" s="318" t="s">
        <v>68</v>
      </c>
      <c r="C57" s="320">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84" t="s">
        <v>156</v>
      </c>
      <c r="B1" s="3284"/>
      <c r="C1" s="3284"/>
      <c r="D1" s="3284"/>
      <c r="E1" s="3284"/>
      <c r="F1" s="3284"/>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85" t="s">
        <v>169</v>
      </c>
      <c r="B2" s="3285"/>
      <c r="C2" s="3285"/>
      <c r="D2" s="3285"/>
      <c r="E2" s="3285"/>
      <c r="F2" s="3285"/>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86"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87"/>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84" t="s">
        <v>871</v>
      </c>
      <c r="B1" s="3284"/>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43053</v>
      </c>
      <c r="D1" s="1705" t="s">
        <v>1302</v>
      </c>
      <c r="E1" s="1700">
        <f>'数据-取费表'!B22</f>
        <v>1.5</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
  <sheetViews>
    <sheetView topLeftCell="B1" workbookViewId="0">
      <selection activeCell="Q50" sqref="Q50"/>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1642</v>
      </c>
      <c r="B2" s="2982" t="s">
        <v>1643</v>
      </c>
      <c r="C2" s="2982" t="s">
        <v>1644</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8" t="s">
        <v>1639</v>
      </c>
      <c r="E3" s="1048" t="s">
        <v>1645</v>
      </c>
      <c r="F3" s="1048" t="s">
        <v>1639</v>
      </c>
      <c r="G3" s="1048" t="s">
        <v>1640</v>
      </c>
      <c r="H3" s="1048" t="s">
        <v>1639</v>
      </c>
      <c r="I3" s="1048" t="s">
        <v>1640</v>
      </c>
    </row>
    <row r="4" spans="1:9" ht="30">
      <c r="A4" s="1978" t="str">
        <f>项目基本情况!S2</f>
        <v>北京市朝阳区幸福二村39号楼4层4单元401房地产</v>
      </c>
      <c r="B4" s="1048">
        <f>项目基本情况!C17</f>
        <v>898.32</v>
      </c>
      <c r="C4" s="1048">
        <f>项目基本情况!C18</f>
        <v>0</v>
      </c>
      <c r="D4" s="1048">
        <f ca="1">结果表!D118</f>
        <v>3187</v>
      </c>
      <c r="E4" s="1048">
        <f ca="1">结果表!E118</f>
        <v>35477</v>
      </c>
      <c r="F4" s="1048">
        <f ca="1">结果表!F118</f>
        <v>910</v>
      </c>
      <c r="G4" s="1048">
        <f ca="1">结果表!G118</f>
        <v>10130</v>
      </c>
      <c r="H4" s="1048">
        <f ca="1">结果表!H118</f>
        <v>4097</v>
      </c>
      <c r="I4" s="1048">
        <f ca="1">结果表!I118</f>
        <v>45607</v>
      </c>
    </row>
    <row r="5" spans="1:9" ht="30" customHeight="1">
      <c r="A5" s="2976" t="s">
        <v>1641</v>
      </c>
      <c r="B5" s="2976"/>
      <c r="C5" s="2976"/>
      <c r="D5" s="2977" t="str">
        <f ca="1">结果表!D119</f>
        <v>叁仟壹佰捌拾柒万元整</v>
      </c>
      <c r="E5" s="2977"/>
      <c r="F5" s="2977" t="str">
        <f ca="1">结果表!F119</f>
        <v>玖佰壹拾万元整</v>
      </c>
      <c r="G5" s="2977"/>
      <c r="H5" s="2977" t="str">
        <f ca="1">结果表!H119</f>
        <v>肆仟零玖拾柒万元整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1641</v>
      </c>
      <c r="B7" s="2976"/>
      <c r="C7" s="2976"/>
      <c r="D7" s="2978" t="str">
        <f>结果表!D121</f>
        <v>零元整</v>
      </c>
      <c r="E7" s="2979"/>
      <c r="F7" s="2979"/>
      <c r="G7" s="2979"/>
      <c r="H7" s="2979"/>
      <c r="I7" s="2980"/>
    </row>
    <row r="8" spans="1:9" ht="15.75">
      <c r="A8" s="2975" t="str">
        <f>结果表!A122</f>
        <v>房地产抵押价值</v>
      </c>
      <c r="B8" s="2975"/>
      <c r="C8" s="2975"/>
      <c r="D8" s="2975">
        <f ca="1">结果表!D122</f>
        <v>4097</v>
      </c>
      <c r="E8" s="2975"/>
      <c r="F8" s="2975"/>
      <c r="G8" s="2975"/>
      <c r="H8" s="2975"/>
      <c r="I8" s="2975"/>
    </row>
    <row r="9" spans="1:9" ht="15">
      <c r="A9" s="2976" t="s">
        <v>1641</v>
      </c>
      <c r="B9" s="2976"/>
      <c r="C9" s="2976"/>
      <c r="D9" s="2977" t="str">
        <f ca="1">结果表!D123</f>
        <v>肆仟零玖拾柒万元整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1641</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1641</v>
      </c>
      <c r="B13" s="2972"/>
      <c r="C13" s="2972"/>
      <c r="D13" s="2973" t="e">
        <f>结果表!D127</f>
        <v>#VALUE!</v>
      </c>
      <c r="E13" s="2973"/>
      <c r="F13" s="2973"/>
      <c r="G13" s="2973"/>
      <c r="H13" s="2973"/>
      <c r="I13" s="2973"/>
    </row>
    <row r="14" spans="1:9" ht="15" thickTop="1">
      <c r="A14" s="2974" t="s">
        <v>1646</v>
      </c>
      <c r="B14" s="2974"/>
      <c r="C14" s="2974"/>
      <c r="D14" s="2974"/>
      <c r="E14" s="2974"/>
      <c r="F14" s="2974"/>
      <c r="G14" s="2974"/>
      <c r="H14" s="2974"/>
      <c r="I14" s="2974"/>
    </row>
    <row r="16" spans="1:9" ht="18.75">
      <c r="A16" s="1979" t="s">
        <v>1629</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2989" t="s">
        <v>1663</v>
      </c>
      <c r="B1" s="2989"/>
      <c r="C1" s="2989"/>
      <c r="D1" s="2989"/>
    </row>
    <row r="2" spans="1:4" ht="18">
      <c r="A2" s="2990" t="s">
        <v>1647</v>
      </c>
      <c r="B2" s="2990"/>
      <c r="C2" s="2990"/>
      <c r="D2" s="2990"/>
    </row>
    <row r="3" spans="1:4" ht="18.75">
      <c r="A3" s="1982" t="s">
        <v>1648</v>
      </c>
      <c r="B3" s="1982" t="s">
        <v>1649</v>
      </c>
      <c r="C3" s="1982" t="s">
        <v>1650</v>
      </c>
      <c r="D3" s="1982" t="s">
        <v>1651</v>
      </c>
    </row>
    <row r="4" spans="1:4" ht="56.25" customHeight="1">
      <c r="A4" s="1983" t="str">
        <f>项目基本情况!B4</f>
        <v>刘梅</v>
      </c>
      <c r="B4" s="1984">
        <f ca="1">项目基本情况!C4</f>
        <v>1120140022</v>
      </c>
      <c r="C4" s="1985"/>
      <c r="D4" s="1986" t="s">
        <v>1652</v>
      </c>
    </row>
    <row r="5" spans="1:4" ht="56.25" customHeight="1">
      <c r="A5" s="1983" t="str">
        <f>项目基本情况!D4</f>
        <v>吴薇</v>
      </c>
      <c r="B5" s="1984">
        <f ca="1">项目基本情况!E4</f>
        <v>1419970001</v>
      </c>
      <c r="C5" s="1987"/>
      <c r="D5" s="1986" t="s">
        <v>1652</v>
      </c>
    </row>
    <row r="6" spans="1:4" ht="18">
      <c r="A6" s="2990" t="s">
        <v>1653</v>
      </c>
      <c r="B6" s="2990"/>
      <c r="C6" s="2990"/>
      <c r="D6" s="2990"/>
    </row>
    <row r="7" spans="1:4" ht="18.75">
      <c r="A7" s="1982" t="s">
        <v>1648</v>
      </c>
      <c r="B7" s="1984" t="s">
        <v>1654</v>
      </c>
      <c r="C7" s="1982" t="s">
        <v>1650</v>
      </c>
      <c r="D7" s="1982" t="s">
        <v>1651</v>
      </c>
    </row>
    <row r="8" spans="1:4" ht="56.25" customHeight="1">
      <c r="A8" s="1988" t="s">
        <v>869</v>
      </c>
      <c r="B8" s="1988" t="s">
        <v>1</v>
      </c>
      <c r="C8" s="1985"/>
      <c r="D8" s="1986" t="s">
        <v>1652</v>
      </c>
    </row>
    <row r="9" spans="1:4">
      <c r="A9" s="729"/>
      <c r="B9" s="729"/>
      <c r="C9" s="729"/>
      <c r="D9" s="729"/>
    </row>
    <row r="10" spans="1:4" ht="18.75">
      <c r="A10" s="1989" t="s">
        <v>1655</v>
      </c>
      <c r="B10" s="729"/>
      <c r="C10" s="729"/>
      <c r="D10" s="729"/>
    </row>
    <row r="11" spans="1:4" ht="30" customHeight="1">
      <c r="A11" s="2991" t="s">
        <v>1656</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（1）根据估价对象《房屋所有权证》复印件，截至价值时点，估价对象抵押权未见登记。</v>
      </c>
      <c r="B15" s="2983"/>
      <c r="C15" s="2983"/>
      <c r="D15" s="2983"/>
    </row>
    <row r="16" spans="1:4" ht="30" customHeight="1">
      <c r="A16" s="2985" t="s">
        <v>1657</v>
      </c>
      <c r="B16" s="2985"/>
      <c r="C16" s="2985"/>
      <c r="D16" s="2985"/>
    </row>
    <row r="17" spans="1:4" ht="144" customHeight="1">
      <c r="A17" s="2985" t="s">
        <v>1658</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1659</v>
      </c>
      <c r="B22" s="2987"/>
      <c r="C22" s="2987"/>
      <c r="D22" s="2987"/>
    </row>
    <row r="23" spans="1:4">
      <c r="A23" s="1990"/>
      <c r="B23" s="1962"/>
      <c r="C23" s="1962"/>
      <c r="D23" s="1962"/>
    </row>
    <row r="24" spans="1:4">
      <c r="A24" s="1990"/>
      <c r="B24" s="1962"/>
      <c r="C24" s="1962"/>
      <c r="D24" s="1962"/>
    </row>
    <row r="25" spans="1:4" ht="18.75">
      <c r="A25" s="1991" t="s">
        <v>1660</v>
      </c>
    </row>
    <row r="26" spans="1:4" ht="18">
      <c r="A26" s="1960"/>
    </row>
    <row r="27" spans="1:4" ht="18.75">
      <c r="A27" s="1960" t="s">
        <v>1661</v>
      </c>
    </row>
    <row r="30" spans="1:4" ht="18.75">
      <c r="D30" s="1991" t="s">
        <v>1662</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1664</v>
      </c>
    </row>
    <row r="3" spans="1:7">
      <c r="A3" s="1996" t="s">
        <v>82</v>
      </c>
      <c r="B3" s="1980" t="s">
        <v>1665</v>
      </c>
      <c r="G3" s="1997"/>
    </row>
    <row r="4" spans="1:7">
      <c r="G4" s="1997"/>
    </row>
    <row r="5" spans="1:7">
      <c r="A5" s="1999" t="s">
        <v>73</v>
      </c>
      <c r="B5" s="1980" t="s">
        <v>1666</v>
      </c>
      <c r="G5" s="1997"/>
    </row>
    <row r="6" spans="1:7">
      <c r="G6" s="1997"/>
    </row>
    <row r="7" spans="1:7">
      <c r="A7" s="2000" t="s">
        <v>135</v>
      </c>
      <c r="B7" s="1980" t="s">
        <v>1667</v>
      </c>
      <c r="G7" s="1997"/>
    </row>
    <row r="8" spans="1:7">
      <c r="G8" s="1997"/>
    </row>
    <row r="9" spans="1:7">
      <c r="A9" s="2001" t="s">
        <v>74</v>
      </c>
      <c r="B9" s="1980" t="s">
        <v>1668</v>
      </c>
    </row>
    <row r="11" spans="1:7">
      <c r="A11" s="2002" t="s">
        <v>75</v>
      </c>
      <c r="B11" s="2003" t="s">
        <v>72</v>
      </c>
    </row>
    <row r="13" spans="1:7">
      <c r="A13" s="2004" t="s">
        <v>1669</v>
      </c>
    </row>
    <row r="15" spans="1:7" ht="13.5">
      <c r="A15" s="2997" t="s">
        <v>1670</v>
      </c>
      <c r="B15" s="2992" t="s">
        <v>136</v>
      </c>
      <c r="C15" s="2993"/>
    </row>
    <row r="16" spans="1:7" ht="13.5">
      <c r="A16" s="2998"/>
      <c r="B16" s="2992" t="s">
        <v>69</v>
      </c>
      <c r="C16" s="2993"/>
    </row>
    <row r="17" spans="1:3" ht="13.5">
      <c r="A17" s="2998"/>
      <c r="B17" s="2995" t="s">
        <v>1671</v>
      </c>
      <c r="C17" s="2005" t="s">
        <v>1670</v>
      </c>
    </row>
    <row r="18" spans="1:3" ht="13.5">
      <c r="A18" s="2998"/>
      <c r="B18" s="2995"/>
      <c r="C18" s="2005" t="s">
        <v>1672</v>
      </c>
    </row>
    <row r="19" spans="1:3" ht="13.5">
      <c r="A19" s="2998"/>
      <c r="B19" s="2995"/>
      <c r="C19" s="2005" t="s">
        <v>1673</v>
      </c>
    </row>
    <row r="20" spans="1:3" ht="13.5">
      <c r="A20" s="2999"/>
      <c r="B20" s="2994" t="s">
        <v>1674</v>
      </c>
      <c r="C20" s="2993"/>
    </row>
    <row r="21" spans="1:3" ht="13.5">
      <c r="A21" s="2006" t="s">
        <v>1675</v>
      </c>
      <c r="B21" s="2007"/>
      <c r="C21" s="2008"/>
    </row>
    <row r="22" spans="1:3" ht="13.5">
      <c r="A22" s="2996" t="s">
        <v>1676</v>
      </c>
      <c r="B22" s="2994" t="s">
        <v>1677</v>
      </c>
      <c r="C22" s="2993"/>
    </row>
    <row r="23" spans="1:3" ht="13.5">
      <c r="A23" s="2996"/>
      <c r="B23" s="2994" t="s">
        <v>1678</v>
      </c>
      <c r="C23" s="2993"/>
    </row>
    <row r="24" spans="1:3" ht="13.5">
      <c r="A24" s="2996"/>
      <c r="B24" s="2994" t="s">
        <v>1679</v>
      </c>
      <c r="C24" s="2993"/>
    </row>
    <row r="25" spans="1:3" ht="13.5">
      <c r="A25" s="2996"/>
      <c r="B25" s="2995" t="s">
        <v>1680</v>
      </c>
      <c r="C25" s="2005" t="s">
        <v>1681</v>
      </c>
    </row>
    <row r="26" spans="1:3" ht="13.5">
      <c r="A26" s="2996"/>
      <c r="B26" s="2995"/>
      <c r="C26" s="2005" t="s">
        <v>1682</v>
      </c>
    </row>
    <row r="27" spans="1:3" ht="13.5">
      <c r="A27" s="2996"/>
      <c r="B27" s="2995"/>
      <c r="C27" s="2005" t="s">
        <v>1683</v>
      </c>
    </row>
    <row r="28" spans="1:3" ht="13.5">
      <c r="A28" s="2996"/>
      <c r="B28" s="2995"/>
      <c r="C28" s="2005" t="s">
        <v>1684</v>
      </c>
    </row>
    <row r="29" spans="1:3" ht="13.5">
      <c r="A29" s="2996"/>
      <c r="B29" s="2995"/>
      <c r="C29" s="2005" t="s">
        <v>1685</v>
      </c>
    </row>
    <row r="30" spans="1:3" ht="13.5">
      <c r="A30" s="2996"/>
      <c r="B30" s="2995"/>
      <c r="C30" s="2005" t="s">
        <v>1686</v>
      </c>
    </row>
    <row r="31" spans="1:3" ht="13.5">
      <c r="A31" s="2996"/>
      <c r="B31" s="2995"/>
      <c r="C31" s="2005" t="s">
        <v>1687</v>
      </c>
    </row>
    <row r="32" spans="1:3" ht="13.5">
      <c r="A32" s="2996"/>
      <c r="B32" s="2995"/>
      <c r="C32" s="2005" t="s">
        <v>1688</v>
      </c>
    </row>
    <row r="33" spans="1:3" ht="13.5">
      <c r="A33" s="2996"/>
      <c r="B33" s="2995"/>
      <c r="C33" s="2005" t="s">
        <v>1689</v>
      </c>
    </row>
    <row r="34" spans="1:3">
      <c r="A34" s="2009" t="s">
        <v>76</v>
      </c>
    </row>
    <row r="37" spans="1:3">
      <c r="A37" s="2009" t="s">
        <v>1690</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43053</v>
      </c>
      <c r="C2" s="1023" t="s">
        <v>826</v>
      </c>
      <c r="D2" s="1023"/>
    </row>
    <row r="3" spans="1:6" ht="24" customHeight="1">
      <c r="A3" s="1024" t="s">
        <v>827</v>
      </c>
      <c r="B3" s="1025" t="s">
        <v>828</v>
      </c>
      <c r="C3" s="2350" t="s">
        <v>829</v>
      </c>
      <c r="D3" s="2353" t="s">
        <v>830</v>
      </c>
      <c r="E3" s="1026" t="s">
        <v>831</v>
      </c>
      <c r="F3" s="1025" t="s">
        <v>829</v>
      </c>
    </row>
    <row r="4" spans="1:6" ht="24" customHeight="1">
      <c r="A4" s="1707" t="s">
        <v>832</v>
      </c>
      <c r="B4" s="1026">
        <f ca="1">IF(C4&lt;B2,"已过期",1119970066)</f>
        <v>1119970066</v>
      </c>
      <c r="C4" s="2351">
        <v>43849</v>
      </c>
      <c r="D4" s="2354" t="s">
        <v>832</v>
      </c>
      <c r="E4" s="1026">
        <f ca="1">IF(F4&lt;B2,"已过期",96010014)</f>
        <v>96010014</v>
      </c>
      <c r="F4" s="1034">
        <v>47118</v>
      </c>
    </row>
    <row r="5" spans="1:6" ht="24" customHeight="1">
      <c r="A5" s="1707" t="s">
        <v>833</v>
      </c>
      <c r="B5" s="1026">
        <f ca="1">IF(C5&lt;B2,"已过期",1119970074)</f>
        <v>1119970074</v>
      </c>
      <c r="C5" s="2351">
        <v>43849</v>
      </c>
      <c r="D5" s="2354" t="s">
        <v>833</v>
      </c>
      <c r="E5" s="1026">
        <f ca="1">IF(F5&lt;B2,"已过期",2002110027)</f>
        <v>2002110027</v>
      </c>
      <c r="F5" s="1034">
        <v>46752</v>
      </c>
    </row>
    <row r="6" spans="1:6" ht="24" customHeight="1">
      <c r="A6" s="1707" t="s">
        <v>834</v>
      </c>
      <c r="B6" s="1026">
        <f ca="1">IF(C6&lt;B2,"已过期",1119970111)</f>
        <v>1119970111</v>
      </c>
      <c r="C6" s="2351">
        <v>43849</v>
      </c>
      <c r="D6" s="2354" t="s">
        <v>834</v>
      </c>
      <c r="E6" s="1026">
        <f ca="1">IF(F6&lt;B2,"已过期",94010078)</f>
        <v>94010078</v>
      </c>
      <c r="F6" s="1034">
        <v>46387</v>
      </c>
    </row>
    <row r="7" spans="1:6" ht="24" customHeight="1">
      <c r="A7" s="1707" t="s">
        <v>835</v>
      </c>
      <c r="B7" s="1026">
        <f ca="1">IF(C7&lt;B2,"已过期",1120050019)</f>
        <v>1120050019</v>
      </c>
      <c r="C7" s="2351">
        <v>43359</v>
      </c>
      <c r="D7" s="2354" t="s">
        <v>835</v>
      </c>
      <c r="E7" s="1026">
        <f ca="1">IF(F7&lt;B2,"已过期",2002110030)</f>
        <v>2002110030</v>
      </c>
      <c r="F7" s="1034">
        <v>46387</v>
      </c>
    </row>
    <row r="8" spans="1:6" ht="24" customHeight="1">
      <c r="A8" s="1707" t="s">
        <v>836</v>
      </c>
      <c r="B8" s="1026">
        <f ca="1">IF(C8&lt;B2,"已过期",1120000080)</f>
        <v>1120000080</v>
      </c>
      <c r="C8" s="2351">
        <v>43849</v>
      </c>
      <c r="D8" s="2354" t="s">
        <v>836</v>
      </c>
      <c r="E8" s="1026">
        <f ca="1">IF(F8&lt;B2,"已过期",2000110082)</f>
        <v>2000110082</v>
      </c>
      <c r="F8" s="1034">
        <v>46387</v>
      </c>
    </row>
    <row r="9" spans="1:6" ht="24" customHeight="1">
      <c r="A9" s="1707" t="s">
        <v>837</v>
      </c>
      <c r="B9" s="1026">
        <f ca="1">IF(C9&lt;B2,"已过期",1419970001)</f>
        <v>1419970001</v>
      </c>
      <c r="C9" s="2351">
        <v>43867</v>
      </c>
      <c r="D9" s="2354" t="s">
        <v>837</v>
      </c>
      <c r="E9" s="1026">
        <f ca="1">IF(F9&lt;B2,"已过期",2002110125)</f>
        <v>2002110125</v>
      </c>
      <c r="F9" s="1034">
        <v>47118</v>
      </c>
    </row>
    <row r="10" spans="1:6" ht="24" customHeight="1">
      <c r="A10" s="1707" t="s">
        <v>838</v>
      </c>
      <c r="B10" s="1026">
        <f ca="1">IF(C10&lt;B2,"已过期",1120060040)</f>
        <v>1120060040</v>
      </c>
      <c r="C10" s="2351">
        <v>43483</v>
      </c>
      <c r="D10" s="2354" t="s">
        <v>838</v>
      </c>
      <c r="E10" s="1026">
        <f ca="1">IF(F10&lt;B2,"已过期",2004110096)</f>
        <v>2004110096</v>
      </c>
      <c r="F10" s="1034">
        <v>47118</v>
      </c>
    </row>
    <row r="11" spans="1:6" ht="24" customHeight="1">
      <c r="A11" s="1707" t="s">
        <v>839</v>
      </c>
      <c r="B11" s="1026">
        <f ca="1">IF(C11&lt;B2,"已过期",1120100036)</f>
        <v>1120100036</v>
      </c>
      <c r="C11" s="2351">
        <v>43622</v>
      </c>
      <c r="D11" s="2354" t="s">
        <v>839</v>
      </c>
      <c r="E11" s="1026">
        <f ca="1">IF(F11&lt;B2,"已过期",2010110070)</f>
        <v>2010110070</v>
      </c>
      <c r="F11" s="1034">
        <v>47907</v>
      </c>
    </row>
    <row r="12" spans="1:6" ht="24" customHeight="1">
      <c r="A12" s="1707"/>
      <c r="B12" s="1026"/>
      <c r="C12" s="2351"/>
      <c r="D12" s="2354"/>
      <c r="E12" s="1026"/>
      <c r="F12" s="1026"/>
    </row>
    <row r="13" spans="1:6" ht="24" customHeight="1">
      <c r="A13" s="1707" t="s">
        <v>840</v>
      </c>
      <c r="B13" s="1026">
        <f ca="1">IF(C13&lt;B2,"已过期",1120070131)</f>
        <v>1120070131</v>
      </c>
      <c r="C13" s="2351">
        <v>43814</v>
      </c>
      <c r="D13" s="2354" t="s">
        <v>840</v>
      </c>
      <c r="E13" s="1026">
        <v>2014110011</v>
      </c>
      <c r="F13" s="1034">
        <v>49302</v>
      </c>
    </row>
    <row r="14" spans="1:6" ht="24" customHeight="1">
      <c r="A14" s="1707" t="s">
        <v>841</v>
      </c>
      <c r="B14" s="1026">
        <f ca="1">IF(C14&lt;B2,"已过期",1120130020)</f>
        <v>1120130020</v>
      </c>
      <c r="C14" s="2351">
        <v>43622</v>
      </c>
      <c r="D14" s="2354"/>
      <c r="E14" s="1026"/>
      <c r="F14" s="1026"/>
    </row>
    <row r="15" spans="1:6" ht="24" customHeight="1">
      <c r="A15" s="1708" t="s">
        <v>1149</v>
      </c>
      <c r="B15" s="1026">
        <v>1120070085</v>
      </c>
      <c r="C15" s="2351">
        <v>43814</v>
      </c>
      <c r="D15" s="2355" t="s">
        <v>1149</v>
      </c>
      <c r="E15" s="1026">
        <v>2004110128</v>
      </c>
      <c r="F15" s="1027">
        <v>47118</v>
      </c>
    </row>
    <row r="16" spans="1:6" ht="24" customHeight="1">
      <c r="A16" s="1707" t="s">
        <v>842</v>
      </c>
      <c r="B16" s="1026">
        <f ca="1">IF(C16&lt;B2,"已过期",1120140022)</f>
        <v>1120140022</v>
      </c>
      <c r="C16" s="2351">
        <v>44029</v>
      </c>
      <c r="D16" s="2354" t="s">
        <v>842</v>
      </c>
      <c r="E16" s="1026">
        <f ca="1">IF(F16&lt;B2,"已过期",2008110059)</f>
        <v>2008110059</v>
      </c>
      <c r="F16" s="1034">
        <v>47177</v>
      </c>
    </row>
    <row r="17" spans="1:7" ht="24" customHeight="1">
      <c r="A17" s="1707"/>
      <c r="B17" s="1026"/>
      <c r="C17" s="2351"/>
      <c r="D17" s="2354"/>
      <c r="E17" s="1026"/>
      <c r="F17" s="1034"/>
    </row>
    <row r="18" spans="1:7" ht="24" customHeight="1">
      <c r="A18" s="1707"/>
      <c r="B18" s="1026"/>
      <c r="C18" s="2351"/>
      <c r="D18" s="2354"/>
      <c r="E18" s="1026"/>
      <c r="F18" s="1034"/>
    </row>
    <row r="19" spans="1:7" ht="24" customHeight="1">
      <c r="A19" s="1707"/>
      <c r="B19" s="1026"/>
      <c r="C19" s="2351"/>
      <c r="D19" s="2354"/>
      <c r="E19" s="1026"/>
      <c r="F19" s="1026"/>
    </row>
    <row r="20" spans="1:7" ht="24" customHeight="1">
      <c r="A20" s="1707"/>
      <c r="B20" s="1026"/>
      <c r="C20" s="2351"/>
      <c r="D20" s="2354"/>
      <c r="E20" s="1026"/>
      <c r="F20" s="1026"/>
    </row>
    <row r="21" spans="1:7" ht="24" customHeight="1">
      <c r="A21" s="1707"/>
      <c r="B21" s="1026"/>
      <c r="C21" s="2351"/>
      <c r="D21" s="2354" t="s">
        <v>843</v>
      </c>
      <c r="E21" s="1026">
        <f ca="1">IF(F21&lt;B2,"已过期",2011110090)</f>
        <v>2011110090</v>
      </c>
      <c r="F21" s="1034">
        <v>48302</v>
      </c>
    </row>
    <row r="22" spans="1:7" ht="24" customHeight="1">
      <c r="A22" s="1707" t="s">
        <v>844</v>
      </c>
      <c r="B22" s="1026">
        <f ca="1">IF(C22&lt;B2,"已过期",1120020033)</f>
        <v>1120020033</v>
      </c>
      <c r="C22" s="2351">
        <v>43304</v>
      </c>
      <c r="D22" s="2354" t="s">
        <v>844</v>
      </c>
      <c r="E22" s="1026">
        <f ca="1">IF(F22&lt;B2,"已过期",2000110137)</f>
        <v>2000110137</v>
      </c>
      <c r="F22" s="1034">
        <v>46387</v>
      </c>
    </row>
    <row r="23" spans="1:7" ht="24" customHeight="1">
      <c r="A23" s="1707" t="s">
        <v>845</v>
      </c>
      <c r="B23" s="1026">
        <f ca="1">IF(C23&lt;B2,"已过期",1120130048)</f>
        <v>1120130048</v>
      </c>
      <c r="C23" s="2351">
        <v>43686</v>
      </c>
      <c r="D23" s="2354"/>
      <c r="E23" s="1026"/>
      <c r="F23" s="1026"/>
    </row>
    <row r="24" spans="1:7" s="1028" customFormat="1" ht="24" customHeight="1">
      <c r="A24" s="1708" t="s">
        <v>1334</v>
      </c>
      <c r="B24" s="1708" t="s">
        <v>1334</v>
      </c>
      <c r="C24" s="2352" t="s">
        <v>1334</v>
      </c>
      <c r="D24" s="2355" t="s">
        <v>1334</v>
      </c>
      <c r="E24" s="1708" t="s">
        <v>1334</v>
      </c>
      <c r="F24" s="1708" t="s">
        <v>1334</v>
      </c>
    </row>
    <row r="25" spans="1:7" ht="24" customHeight="1">
      <c r="A25" s="3000" t="s">
        <v>846</v>
      </c>
      <c r="B25" s="3000"/>
      <c r="C25" s="3000"/>
      <c r="D25" s="3000"/>
      <c r="E25" s="3000"/>
      <c r="F25" s="3000"/>
      <c r="G25" s="3000"/>
    </row>
    <row r="26" spans="1:7" s="1029" customFormat="1" ht="24" customHeight="1">
      <c r="A26" s="3001" t="s">
        <v>847</v>
      </c>
      <c r="B26" s="3001"/>
      <c r="C26" s="3002"/>
      <c r="D26" s="3003" t="s">
        <v>848</v>
      </c>
      <c r="E26" s="3001"/>
      <c r="F26" s="3001"/>
    </row>
    <row r="27" spans="1:7" s="1031" customFormat="1" ht="24" customHeight="1">
      <c r="A27" s="1030" t="s">
        <v>849</v>
      </c>
      <c r="B27" s="1025" t="s">
        <v>850</v>
      </c>
      <c r="C27" s="2350" t="s">
        <v>851</v>
      </c>
      <c r="D27" s="2358" t="s">
        <v>849</v>
      </c>
      <c r="E27" s="1025" t="s">
        <v>850</v>
      </c>
      <c r="F27" s="1025" t="s">
        <v>851</v>
      </c>
    </row>
    <row r="28" spans="1:7" s="1031" customFormat="1" ht="24" customHeight="1">
      <c r="A28" s="1032" t="s">
        <v>852</v>
      </c>
      <c r="B28" s="1033" t="s">
        <v>853</v>
      </c>
      <c r="C28" s="2356">
        <v>43725</v>
      </c>
      <c r="D28" s="2359" t="s">
        <v>854</v>
      </c>
      <c r="E28" s="1032" t="s">
        <v>855</v>
      </c>
      <c r="F28" s="1062">
        <v>44377</v>
      </c>
    </row>
    <row r="29" spans="1:7" s="1031" customFormat="1" ht="24" customHeight="1">
      <c r="A29" s="1032"/>
      <c r="B29" s="1032"/>
      <c r="C29" s="2357"/>
      <c r="D29" s="2359"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 (租金)</vt:lpstr>
      <vt:lpstr>典型户型修正</vt:lpstr>
      <vt:lpstr>成本法（废）</vt:lpstr>
      <vt:lpstr>区片价</vt:lpstr>
      <vt:lpstr>因素修正幅度</vt:lpstr>
      <vt:lpstr>存贷款利率</vt:lpstr>
      <vt:lpstr>区片价（范围）</vt:lpstr>
      <vt:lpstr>案例及位置</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2017-11-14T06:28:13Z</dcterms:modified>
</cp:coreProperties>
</file>