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1840" windowHeight="5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收益法(商业)" sheetId="80" r:id="rId27"/>
    <sheet name="收益法(公寓)" sheetId="82" r:id="rId28"/>
    <sheet name="收益法(车库)" sheetId="81" r:id="rId29"/>
    <sheet name="比较法-住宅" sheetId="21" r:id="rId30"/>
    <sheet name="比较法-商业" sheetId="33" r:id="rId31"/>
    <sheet name="比较法-办公" sheetId="34" r:id="rId32"/>
    <sheet name="比较法-工业" sheetId="37" r:id="rId33"/>
    <sheet name="比较法-车位" sheetId="35" r:id="rId34"/>
    <sheet name="比较法-仓储" sheetId="36" r:id="rId35"/>
    <sheet name="土地比较法-住宅、综合" sheetId="39" r:id="rId36"/>
    <sheet name="土地比较法-工业" sheetId="40" r:id="rId37"/>
    <sheet name="典型户型修正" sheetId="31"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8">'收益法(车库)'!$A$1:$F$43,'收益法(车库)'!$H$3:$M$29,'收益法(车库)'!$A$46:$F$71,'收益法(车库)'!$I$46:$N$65</definedName>
    <definedName name="_xlnm.Print_Area" localSheetId="27">'收益法(公寓)'!$A$1:$F$43,'收益法(公寓)'!$H$3:$M$29,'收益法(公寓)'!$A$46:$F$71,'收益法(公寓)'!$I$46:$N$65</definedName>
    <definedName name="_xlnm.Print_Area" localSheetId="25">'收益法（汇总）'!$A$1:$F$13</definedName>
    <definedName name="_xlnm.Print_Area" localSheetId="26">'收益法(商业)'!$A$1:$F$43,'收益法(商业)'!$H$3:$M$29,'收益法(商业)'!$A$46:$F$71,'收益法(商业)'!$I$46:$N$65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l="1"/>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AH9" i="1"/>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G1" i="81"/>
  <c r="P74" i="80"/>
  <c r="Q72" i="80"/>
  <c r="Q59" i="80"/>
  <c r="K59" i="80"/>
  <c r="P61" i="80" s="1"/>
  <c r="F59" i="80"/>
  <c r="Q58" i="80"/>
  <c r="Q51" i="80"/>
  <c r="J51" i="80"/>
  <c r="J50" i="80"/>
  <c r="M47" i="80"/>
  <c r="D46" i="80"/>
  <c r="F34" i="80"/>
  <c r="F33" i="80"/>
  <c r="F61" i="80" s="1"/>
  <c r="F32" i="80"/>
  <c r="F60" i="80" s="1"/>
  <c r="F31" i="80"/>
  <c r="F28" i="80"/>
  <c r="C28" i="80"/>
  <c r="F23" i="80"/>
  <c r="D24" i="80" s="1"/>
  <c r="D23" i="80"/>
  <c r="D22" i="80"/>
  <c r="F21" i="80"/>
  <c r="M20" i="80"/>
  <c r="F20" i="80"/>
  <c r="M19" i="80"/>
  <c r="M18" i="80"/>
  <c r="F18" i="80"/>
  <c r="M17" i="80"/>
  <c r="F17" i="80"/>
  <c r="F15" i="80"/>
  <c r="G1" i="80"/>
  <c r="Y9" i="1"/>
  <c r="Y8" i="1"/>
  <c r="Y7" i="1"/>
  <c r="G62" i="43"/>
  <c r="G63" i="43"/>
  <c r="G64" i="43"/>
  <c r="G65" i="43"/>
  <c r="G66" i="43"/>
  <c r="G67" i="43"/>
  <c r="G68" i="43"/>
  <c r="G69" i="43"/>
  <c r="G61" i="43"/>
  <c r="G44" i="43"/>
  <c r="D42" i="43"/>
  <c r="D40" i="43"/>
  <c r="G19" i="6"/>
  <c r="D33" i="43"/>
  <c r="G19" i="43"/>
  <c r="E19" i="43"/>
  <c r="N14" i="1"/>
  <c r="N9" i="1"/>
  <c r="N8" i="1"/>
  <c r="N7" i="1"/>
  <c r="J9" i="1"/>
  <c r="J8" i="1"/>
  <c r="J7" i="1"/>
  <c r="F13" i="4"/>
  <c r="B57" i="1"/>
  <c r="G22" i="6"/>
  <c r="F21" i="6"/>
  <c r="F20" i="6"/>
  <c r="F19" i="6"/>
  <c r="AT18" i="3"/>
  <c r="AN18" i="3"/>
  <c r="AT17" i="3"/>
  <c r="C76" i="81"/>
  <c r="L48" i="80"/>
  <c r="M28" i="80"/>
  <c r="M22" i="80"/>
  <c r="F7" i="80"/>
  <c r="F43" i="80"/>
  <c r="F9" i="80"/>
  <c r="C76" i="82"/>
  <c r="C76" i="80"/>
  <c r="F42" i="80"/>
  <c r="M24" i="80"/>
  <c r="F8" i="80"/>
  <c r="L47" i="80"/>
  <c r="F40" i="80"/>
  <c r="Q71" i="82" l="1"/>
  <c r="D24" i="82"/>
  <c r="P61" i="82"/>
  <c r="D22" i="82"/>
  <c r="Q71" i="81"/>
  <c r="P61" i="81"/>
  <c r="F68" i="80"/>
  <c r="F71" i="80"/>
  <c r="L58" i="80"/>
  <c r="N59" i="80"/>
  <c r="M7" i="80"/>
  <c r="F50" i="80"/>
  <c r="F51" i="80"/>
  <c r="L57" i="80"/>
  <c r="L56" i="80"/>
  <c r="Q71" i="80"/>
  <c r="L60" i="80"/>
  <c r="F62" i="80"/>
  <c r="I54" i="80"/>
  <c r="J57" i="80"/>
  <c r="J55" i="80" s="1"/>
  <c r="J58" i="80" s="1"/>
  <c r="Q50" i="80" s="1"/>
  <c r="E10" i="1"/>
  <c r="E11" i="1"/>
  <c r="E12" i="1"/>
  <c r="E13" i="1"/>
  <c r="M8" i="82"/>
  <c r="F16" i="82"/>
  <c r="F26" i="82"/>
  <c r="F37" i="82"/>
  <c r="F43" i="82"/>
  <c r="F13" i="82"/>
  <c r="M26" i="82"/>
  <c r="F36" i="82"/>
  <c r="F6" i="82"/>
  <c r="F9" i="82"/>
  <c r="F42" i="82"/>
  <c r="M9" i="82"/>
  <c r="M22" i="82"/>
  <c r="L48" i="82"/>
  <c r="F6" i="81"/>
  <c r="F13" i="81"/>
  <c r="F26" i="81"/>
  <c r="F37" i="81"/>
  <c r="M28" i="81"/>
  <c r="L47" i="81"/>
  <c r="C14" i="81"/>
  <c r="M23" i="81"/>
  <c r="M29" i="81"/>
  <c r="F38" i="81"/>
  <c r="F9" i="81"/>
  <c r="M24" i="81"/>
  <c r="F43" i="81"/>
  <c r="C14" i="80"/>
  <c r="F6" i="80"/>
  <c r="F13" i="80"/>
  <c r="F26" i="80"/>
  <c r="F37" i="80"/>
  <c r="M6" i="80"/>
  <c r="F16" i="80"/>
  <c r="M26" i="80"/>
  <c r="C14" i="82"/>
  <c r="M23" i="82"/>
  <c r="M27" i="82"/>
  <c r="M24" i="82"/>
  <c r="M6" i="82"/>
  <c r="J15" i="82"/>
  <c r="M29" i="82"/>
  <c r="F38" i="82"/>
  <c r="F7" i="82"/>
  <c r="M28" i="82"/>
  <c r="L47" i="82"/>
  <c r="F8" i="82"/>
  <c r="F40" i="82"/>
  <c r="M9" i="81"/>
  <c r="M8" i="81"/>
  <c r="J15" i="81"/>
  <c r="M27" i="81"/>
  <c r="F8" i="81"/>
  <c r="F42" i="81"/>
  <c r="M6" i="81"/>
  <c r="F16" i="81"/>
  <c r="M26" i="81"/>
  <c r="F36" i="81"/>
  <c r="F7" i="81"/>
  <c r="M22" i="81"/>
  <c r="F40" i="81"/>
  <c r="L48" i="81"/>
  <c r="F36" i="80"/>
  <c r="M8" i="80"/>
  <c r="J15" i="80"/>
  <c r="M27" i="80"/>
  <c r="C17" i="80"/>
  <c r="M9" i="80"/>
  <c r="M23" i="80"/>
  <c r="M29" i="80"/>
  <c r="F38" i="80"/>
  <c r="L57" i="82" l="1"/>
  <c r="L56" i="82"/>
  <c r="J57" i="82"/>
  <c r="J55" i="82" s="1"/>
  <c r="J58" i="82" s="1"/>
  <c r="Q50" i="82" s="1"/>
  <c r="I54" i="82"/>
  <c r="L60" i="82"/>
  <c r="F68" i="82"/>
  <c r="F51" i="82"/>
  <c r="N59" i="82"/>
  <c r="L58" i="82"/>
  <c r="F50" i="82"/>
  <c r="M7" i="82"/>
  <c r="C6" i="82"/>
  <c r="F66" i="82"/>
  <c r="F64" i="82"/>
  <c r="J6" i="82"/>
  <c r="F71" i="82"/>
  <c r="F65" i="82"/>
  <c r="C27" i="82"/>
  <c r="C18" i="82"/>
  <c r="C15" i="82"/>
  <c r="L57" i="81"/>
  <c r="L56" i="81"/>
  <c r="I54" i="81"/>
  <c r="J57" i="81"/>
  <c r="J55" i="81" s="1"/>
  <c r="J58" i="81" s="1"/>
  <c r="Q50" i="81" s="1"/>
  <c r="L60" i="81"/>
  <c r="F71" i="81"/>
  <c r="F68" i="81"/>
  <c r="F50" i="81"/>
  <c r="M7" i="81"/>
  <c r="J6" i="81" s="1"/>
  <c r="F66" i="81"/>
  <c r="F64" i="81"/>
  <c r="C18" i="81"/>
  <c r="C15" i="81"/>
  <c r="N59" i="81"/>
  <c r="L58" i="81"/>
  <c r="F51" i="81"/>
  <c r="F65" i="81"/>
  <c r="C27" i="81"/>
  <c r="C6" i="81"/>
  <c r="F66" i="80"/>
  <c r="J6" i="80"/>
  <c r="F65" i="80"/>
  <c r="C27" i="80"/>
  <c r="C6" i="80"/>
  <c r="F64" i="80"/>
  <c r="C18" i="80"/>
  <c r="C15" i="80"/>
  <c r="C49" i="80"/>
  <c r="Q73" i="80"/>
  <c r="Q60" i="80"/>
  <c r="Q57" i="80"/>
  <c r="Q66" i="80"/>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16" i="81"/>
  <c r="C17" i="82"/>
  <c r="C17" i="81"/>
  <c r="C16" i="82"/>
  <c r="C16" i="80"/>
  <c r="C49" i="81" l="1"/>
  <c r="C19" i="82"/>
  <c r="J19" i="82"/>
  <c r="J18" i="82"/>
  <c r="Q66" i="82"/>
  <c r="Q57" i="82"/>
  <c r="C33" i="82"/>
  <c r="C32" i="82"/>
  <c r="Q60" i="82"/>
  <c r="Q73" i="82"/>
  <c r="C49" i="82"/>
  <c r="C19" i="81"/>
  <c r="Q60" i="81"/>
  <c r="Q73" i="81"/>
  <c r="J19" i="81"/>
  <c r="J18" i="81"/>
  <c r="C33" i="81"/>
  <c r="C32" i="81"/>
  <c r="C61" i="81"/>
  <c r="Q66" i="81"/>
  <c r="Q57" i="81"/>
  <c r="C19" i="80"/>
  <c r="J18" i="80"/>
  <c r="J19" i="80"/>
  <c r="C61" i="80"/>
  <c r="C33" i="80"/>
  <c r="C32" i="80"/>
  <c r="P28" i="79"/>
  <c r="B10" i="74"/>
  <c r="C61" i="82" l="1"/>
  <c r="C20" i="82"/>
  <c r="C26" i="82" s="1"/>
  <c r="C20" i="81"/>
  <c r="C26" i="81" s="1"/>
  <c r="C20" i="80"/>
  <c r="C26" i="80"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E13" i="76"/>
  <c r="M8" i="67"/>
  <c r="F7" i="67"/>
  <c r="M28" i="15"/>
  <c r="M24" i="67"/>
  <c r="M26" i="15"/>
  <c r="D7" i="73"/>
  <c r="M9" i="15"/>
  <c r="F4" i="73"/>
  <c r="M26" i="67"/>
  <c r="L47" i="67"/>
  <c r="F5" i="73"/>
  <c r="B8" i="76"/>
  <c r="E8" i="76"/>
  <c r="E10" i="76"/>
  <c r="M29" i="15"/>
  <c r="E12" i="76"/>
  <c r="M9" i="67"/>
  <c r="E7" i="76"/>
  <c r="F37" i="15"/>
  <c r="E9" i="76"/>
  <c r="F9" i="67"/>
  <c r="F9" i="15"/>
  <c r="B12" i="76"/>
  <c r="L48" i="67"/>
  <c r="F6" i="73"/>
  <c r="F13" i="67"/>
  <c r="F38" i="67"/>
  <c r="F43" i="67"/>
  <c r="M24" i="15"/>
  <c r="M28" i="67"/>
  <c r="C76" i="15"/>
  <c r="F42" i="15"/>
  <c r="J15" i="15"/>
  <c r="M23" i="67"/>
  <c r="B11" i="76"/>
  <c r="F3" i="73"/>
  <c r="F38" i="15"/>
  <c r="F7" i="15"/>
  <c r="B10" i="76"/>
  <c r="L48" i="15"/>
  <c r="B9" i="76"/>
  <c r="B7" i="76"/>
  <c r="F7" i="73"/>
  <c r="F16" i="67"/>
  <c r="F20" i="31"/>
  <c r="M29" i="67"/>
  <c r="E2" i="69"/>
  <c r="F40" i="67"/>
  <c r="F6" i="67"/>
  <c r="F42" i="67"/>
  <c r="M6" i="15"/>
  <c r="J15" i="67"/>
  <c r="E11" i="76"/>
  <c r="F36" i="67"/>
  <c r="F16" i="15"/>
  <c r="M22" i="15"/>
  <c r="F37" i="67"/>
  <c r="F43" i="15"/>
  <c r="L47" i="15"/>
  <c r="M6" i="67"/>
  <c r="F8" i="15"/>
  <c r="D3" i="73"/>
  <c r="F40" i="15"/>
  <c r="F36" i="15"/>
  <c r="F6" i="15"/>
  <c r="F13" i="15"/>
  <c r="M22" i="67"/>
  <c r="AO13" i="1"/>
  <c r="F26" i="67"/>
  <c r="D6" i="73"/>
  <c r="M23" i="15"/>
  <c r="E2" i="68"/>
  <c r="F26" i="15"/>
  <c r="M8" i="15"/>
  <c r="D4" i="73"/>
  <c r="C76" i="67"/>
  <c r="B13" i="76"/>
  <c r="H69" i="43" l="1"/>
  <c r="H67" i="43"/>
  <c r="F9" i="1"/>
  <c r="G9" i="1" s="1"/>
  <c r="C24" i="12"/>
  <c r="D68" i="9"/>
  <c r="M18" i="15"/>
  <c r="F30" i="69"/>
  <c r="F48" i="69" s="1"/>
  <c r="M18" i="67"/>
  <c r="F31" i="12"/>
  <c r="F30" i="11"/>
  <c r="C48" i="11" s="1"/>
  <c r="C28" i="67"/>
  <c r="C21" i="68"/>
  <c r="C40" i="69"/>
  <c r="BA5" i="3"/>
  <c r="G5" i="3"/>
  <c r="B3" i="3" s="1"/>
  <c r="BL5" i="3"/>
  <c r="G28" i="6"/>
  <c r="F29" i="6"/>
  <c r="E29" i="6" s="1"/>
  <c r="K15" i="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77" i="3"/>
  <c r="E14" i="6"/>
  <c r="E63" i="39" s="1"/>
  <c r="I4" i="6"/>
  <c r="G3" i="43" s="1"/>
  <c r="F26" i="43"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C16" i="15"/>
  <c r="C16" i="67"/>
  <c r="G1" i="73"/>
  <c r="F11" i="82" l="1"/>
  <c r="M11" i="82"/>
  <c r="J10" i="82" s="1"/>
  <c r="J5" i="82" s="1"/>
  <c r="F11" i="81"/>
  <c r="M11" i="81"/>
  <c r="J10" i="81" s="1"/>
  <c r="J5" i="81" s="1"/>
  <c r="M11" i="80"/>
  <c r="J10" i="80" s="1"/>
  <c r="J5" i="80" s="1"/>
  <c r="F11" i="80"/>
  <c r="C48" i="69"/>
  <c r="E459" i="3"/>
  <c r="AT6" i="3"/>
  <c r="E70" i="3"/>
  <c r="K16" i="1"/>
  <c r="E109" i="3"/>
  <c r="E89" i="3"/>
  <c r="E377" i="3"/>
  <c r="E557" i="3"/>
  <c r="E146" i="3"/>
  <c r="E572" i="3"/>
  <c r="E211" i="3"/>
  <c r="E489" i="3"/>
  <c r="AO6" i="3"/>
  <c r="E362" i="3"/>
  <c r="E577" i="3"/>
  <c r="E480" i="3"/>
  <c r="E30" i="3"/>
  <c r="E334" i="3"/>
  <c r="E273" i="3"/>
  <c r="E182" i="3"/>
  <c r="E28" i="3"/>
  <c r="E531" i="3"/>
  <c r="E400" i="3"/>
  <c r="E327" i="3"/>
  <c r="E227" i="3"/>
  <c r="E214" i="3"/>
  <c r="E454" i="3"/>
  <c r="E472" i="3"/>
  <c r="E181" i="3"/>
  <c r="E141" i="3"/>
  <c r="E441" i="3"/>
  <c r="E29" i="3"/>
  <c r="E44" i="3"/>
  <c r="AM6" i="3"/>
  <c r="E384" i="3"/>
  <c r="E317" i="3"/>
  <c r="E316" i="3"/>
  <c r="E295" i="3"/>
  <c r="E166" i="3"/>
  <c r="E121" i="3"/>
  <c r="E88" i="3"/>
  <c r="E404" i="3"/>
  <c r="E444" i="3"/>
  <c r="E581" i="3"/>
  <c r="E345" i="3"/>
  <c r="E485" i="3"/>
  <c r="Z6" i="3"/>
  <c r="E204" i="3"/>
  <c r="E368" i="3"/>
  <c r="E74" i="3"/>
  <c r="E315" i="3"/>
  <c r="E171" i="3"/>
  <c r="E106" i="3"/>
  <c r="E468" i="3"/>
  <c r="E465" i="3"/>
  <c r="K6" i="3"/>
  <c r="AK6" i="3"/>
  <c r="E77" i="3"/>
  <c r="E165" i="3"/>
  <c r="E552" i="3"/>
  <c r="E331" i="3"/>
  <c r="E291" i="3"/>
  <c r="E210" i="3"/>
  <c r="E272" i="3"/>
  <c r="E186" i="3"/>
  <c r="E126" i="3"/>
  <c r="E162" i="3"/>
  <c r="E92" i="3"/>
  <c r="E27" i="3"/>
  <c r="E71" i="3"/>
  <c r="E447" i="3"/>
  <c r="E546" i="3"/>
  <c r="E476" i="3"/>
  <c r="E403" i="3"/>
  <c r="AS6" i="3"/>
  <c r="E547" i="3"/>
  <c r="E558" i="3"/>
  <c r="E443" i="3"/>
  <c r="P6" i="3"/>
  <c r="E448" i="3"/>
  <c r="AG6" i="3"/>
  <c r="E576" i="3"/>
  <c r="E164" i="3"/>
  <c r="E252" i="3"/>
  <c r="E236" i="3"/>
  <c r="I6" i="3"/>
  <c r="E32" i="3"/>
  <c r="E580" i="3"/>
  <c r="E394" i="3"/>
  <c r="E274" i="3"/>
  <c r="E256" i="3"/>
  <c r="E203" i="3"/>
  <c r="E73" i="3"/>
  <c r="E55" i="3"/>
  <c r="E496" i="3"/>
  <c r="E429" i="3"/>
  <c r="E587" i="3"/>
  <c r="E406" i="3"/>
  <c r="E560" i="3"/>
  <c r="E133" i="3"/>
  <c r="E228" i="3"/>
  <c r="E545" i="3"/>
  <c r="E568" i="3"/>
  <c r="E149" i="3"/>
  <c r="AD6" i="3"/>
  <c r="E48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AE6" i="3"/>
  <c r="E344" i="3"/>
  <c r="E424" i="3"/>
  <c r="E481" i="3"/>
  <c r="E437" i="3"/>
  <c r="Q6" i="3"/>
  <c r="E330" i="3"/>
  <c r="E177" i="3"/>
  <c r="E120" i="3"/>
  <c r="E262" i="3"/>
  <c r="E128" i="3"/>
  <c r="E434" i="3"/>
  <c r="E238" i="3"/>
  <c r="E156" i="3"/>
  <c r="E244" i="3"/>
  <c r="E167" i="3"/>
  <c r="E312" i="3"/>
  <c r="E542" i="3"/>
  <c r="E421" i="3"/>
  <c r="E416"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539" i="3"/>
  <c r="E536" i="3"/>
  <c r="E148" i="3"/>
  <c r="E212" i="3"/>
  <c r="E199" i="3"/>
  <c r="E286" i="3"/>
  <c r="E575" i="3"/>
  <c r="E499" i="3"/>
  <c r="R6" i="3"/>
  <c r="E502" i="3"/>
  <c r="E464" i="3"/>
  <c r="E398" i="3"/>
  <c r="E510" i="3"/>
  <c r="E329" i="3"/>
  <c r="E188" i="3"/>
  <c r="E223" i="3"/>
  <c r="E116" i="3"/>
  <c r="E105" i="3"/>
  <c r="E393" i="3"/>
  <c r="E493" i="3"/>
  <c r="E564" i="3"/>
  <c r="E543" i="3"/>
  <c r="E427" i="3"/>
  <c r="E486" i="3"/>
  <c r="E507" i="3"/>
  <c r="E422" i="3"/>
  <c r="E440" i="3"/>
  <c r="E490"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5" i="3"/>
  <c r="E140" i="3"/>
  <c r="E173" i="3"/>
  <c r="E525" i="3"/>
  <c r="T6" i="3"/>
  <c r="E456" i="3"/>
  <c r="E512" i="3"/>
  <c r="E451"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4" i="3"/>
  <c r="E408" i="3"/>
  <c r="E556" i="3"/>
  <c r="E13" i="3"/>
  <c r="E452" i="3"/>
  <c r="E420" i="3"/>
  <c r="E104" i="3"/>
  <c r="E115" i="3"/>
  <c r="E139" i="3"/>
  <c r="E225" i="3"/>
  <c r="E243" i="3"/>
  <c r="E391" i="3"/>
  <c r="AL6" i="3"/>
  <c r="E42" i="3"/>
  <c r="E75" i="3"/>
  <c r="E482" i="3"/>
  <c r="E18" i="3"/>
  <c r="E78" i="3"/>
  <c r="E190" i="3"/>
  <c r="E220" i="3"/>
  <c r="E219" i="3"/>
  <c r="E235" i="3"/>
  <c r="E324" i="3"/>
  <c r="E383" i="3"/>
  <c r="E342" i="3"/>
  <c r="E522" i="3"/>
  <c r="E52" i="3"/>
  <c r="E36" i="3"/>
  <c r="E34" i="3"/>
  <c r="E49" i="3"/>
  <c r="E206" i="3"/>
  <c r="E232" i="3"/>
  <c r="E289" i="3"/>
  <c r="E340" i="3"/>
  <c r="E364" i="3"/>
  <c r="E102" i="3"/>
  <c r="E80" i="3"/>
  <c r="E113" i="3"/>
  <c r="E176" i="3"/>
  <c r="E218" i="3"/>
  <c r="E265" i="3"/>
  <c r="E365" i="3"/>
  <c r="E524" i="3"/>
  <c r="E101" i="3"/>
  <c r="E296" i="3"/>
  <c r="E197" i="3"/>
  <c r="E369" i="3"/>
  <c r="E405" i="3"/>
  <c r="E469" i="3"/>
  <c r="E360" i="3"/>
  <c r="E497" i="3"/>
  <c r="E494" i="3"/>
  <c r="E470" i="3"/>
  <c r="E26" i="3"/>
  <c r="E41" i="3"/>
  <c r="E198" i="3"/>
  <c r="E281" i="3"/>
  <c r="E332" i="3"/>
  <c r="E356" i="3"/>
  <c r="E94" i="3"/>
  <c r="E428" i="3"/>
  <c r="E412" i="3"/>
  <c r="E96" i="3"/>
  <c r="E129" i="3"/>
  <c r="E174" i="3"/>
  <c r="E275" i="3"/>
  <c r="E299" i="3"/>
  <c r="E339" i="3"/>
  <c r="E325" i="3"/>
  <c r="E392" i="3"/>
  <c r="AQ6" i="3"/>
  <c r="E35" i="3"/>
  <c r="E86" i="3"/>
  <c r="E112" i="3"/>
  <c r="E123" i="3"/>
  <c r="E147" i="3"/>
  <c r="E251" i="3"/>
  <c r="E370" i="3"/>
  <c r="AF6" i="3"/>
  <c r="E50" i="3"/>
  <c r="E20" i="3"/>
  <c r="E62" i="3"/>
  <c r="E158" i="3"/>
  <c r="E287" i="3"/>
  <c r="E308" i="3"/>
  <c r="E326" i="3"/>
  <c r="E22" i="3"/>
  <c r="E83" i="3"/>
  <c r="E442" i="3"/>
  <c r="E466" i="3"/>
  <c r="E541" i="3"/>
  <c r="E430" i="3"/>
  <c r="E449" i="3"/>
  <c r="E255" i="3"/>
  <c r="E16" i="3"/>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F27" i="68"/>
  <c r="AE12" i="1"/>
  <c r="AE10" i="1"/>
  <c r="F41" i="67"/>
  <c r="J26" i="82" l="1"/>
  <c r="J24" i="82"/>
  <c r="F24" i="81"/>
  <c r="C24" i="81" s="1"/>
  <c r="F24" i="82"/>
  <c r="C53" i="82"/>
  <c r="C48" i="82" s="1"/>
  <c r="C10" i="82"/>
  <c r="C5" i="82" s="1"/>
  <c r="J26" i="81"/>
  <c r="J24" i="81"/>
  <c r="C53" i="81"/>
  <c r="C48" i="81" s="1"/>
  <c r="C10" i="81"/>
  <c r="C5" i="81" s="1"/>
  <c r="L36" i="43"/>
  <c r="P36" i="43" s="1"/>
  <c r="F24" i="80"/>
  <c r="C53" i="80"/>
  <c r="C48" i="80" s="1"/>
  <c r="C10" i="80"/>
  <c r="C5" i="80" s="1"/>
  <c r="J24" i="80"/>
  <c r="J26" i="80"/>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C23" i="81" l="1"/>
  <c r="C29" i="81" s="1"/>
  <c r="C38" i="82"/>
  <c r="C24" i="82"/>
  <c r="C23" i="82"/>
  <c r="C66" i="82"/>
  <c r="C60" i="82"/>
  <c r="O36" i="43"/>
  <c r="N36" i="43"/>
  <c r="C38" i="81"/>
  <c r="C66" i="81"/>
  <c r="C60" i="81"/>
  <c r="M36" i="43"/>
  <c r="Q36" i="43"/>
  <c r="C66" i="80"/>
  <c r="C60" i="80"/>
  <c r="C38" i="80"/>
  <c r="C24" i="80"/>
  <c r="C23" i="80"/>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4" i="67"/>
  <c r="C17" i="15"/>
  <c r="C44" i="11" l="1"/>
  <c r="D41" i="11" s="1"/>
  <c r="C36" i="81"/>
  <c r="C57" i="81"/>
  <c r="C64" i="81" s="1"/>
  <c r="C29" i="82"/>
  <c r="Q49" i="81"/>
  <c r="J14" i="81"/>
  <c r="J13" i="81" s="1"/>
  <c r="J23" i="81" s="1"/>
  <c r="J59" i="81"/>
  <c r="C13" i="81"/>
  <c r="Q70" i="81" s="1"/>
  <c r="C29" i="80"/>
  <c r="Q49" i="80" s="1"/>
  <c r="C24" i="11"/>
  <c r="B24" i="1"/>
  <c r="B23" i="1"/>
  <c r="C29" i="11"/>
  <c r="D27" i="11" s="1"/>
  <c r="C29" i="68"/>
  <c r="D27" i="68" s="1"/>
  <c r="C28" i="11"/>
  <c r="C27" i="11" s="1"/>
  <c r="H21" i="6"/>
  <c r="H25" i="6"/>
  <c r="C18" i="67"/>
  <c r="C15" i="67"/>
  <c r="H23" i="6"/>
  <c r="C30" i="43"/>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11"/>
  <c r="C4" i="52"/>
  <c r="B45" i="72" s="1"/>
  <c r="A10" i="51"/>
  <c r="B9" i="72" s="1"/>
  <c r="A7" i="51"/>
  <c r="B7" i="72" s="1"/>
  <c r="R25" i="6"/>
  <c r="R12" i="1" s="1"/>
  <c r="C10" i="68"/>
  <c r="B29" i="1" s="1"/>
  <c r="C8" i="68" s="1"/>
  <c r="C5"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F35" i="82"/>
  <c r="M21" i="81"/>
  <c r="C14" i="15"/>
  <c r="M21" i="82"/>
  <c r="F35" i="81"/>
  <c r="B6" i="76"/>
  <c r="E6" i="76"/>
  <c r="F11" i="12" l="1"/>
  <c r="M59" i="80"/>
  <c r="L59" i="80" s="1"/>
  <c r="J53" i="80"/>
  <c r="J53" i="82"/>
  <c r="J53" i="81"/>
  <c r="J60" i="81" s="1"/>
  <c r="L46" i="81" s="1"/>
  <c r="M59" i="82"/>
  <c r="L59" i="82" s="1"/>
  <c r="M59" i="81"/>
  <c r="L59" i="81" s="1"/>
  <c r="J53" i="15"/>
  <c r="C75" i="81"/>
  <c r="C37" i="81"/>
  <c r="J22" i="81"/>
  <c r="F63" i="82"/>
  <c r="C62" i="82" s="1"/>
  <c r="C59" i="82" s="1"/>
  <c r="C34" i="82"/>
  <c r="C31" i="82" s="1"/>
  <c r="J20" i="82"/>
  <c r="J17" i="82" s="1"/>
  <c r="C57" i="82"/>
  <c r="C64" i="82" s="1"/>
  <c r="C36" i="82"/>
  <c r="J14" i="82"/>
  <c r="C13" i="82"/>
  <c r="Q49" i="82"/>
  <c r="J59" i="82"/>
  <c r="J60" i="82" s="1"/>
  <c r="C56" i="81"/>
  <c r="C65" i="81" s="1"/>
  <c r="J20" i="81"/>
  <c r="J17" i="81" s="1"/>
  <c r="F63" i="81"/>
  <c r="C62" i="81" s="1"/>
  <c r="C59" i="81" s="1"/>
  <c r="C58" i="81" s="1"/>
  <c r="C67" i="81" s="1"/>
  <c r="C34" i="81"/>
  <c r="C31" i="81" s="1"/>
  <c r="C57" i="80"/>
  <c r="C64" i="80" s="1"/>
  <c r="J59" i="80"/>
  <c r="J14" i="80"/>
  <c r="J22" i="80" s="1"/>
  <c r="C36" i="80"/>
  <c r="C13" i="80"/>
  <c r="C56" i="80" s="1"/>
  <c r="C65" i="80" s="1"/>
  <c r="C18" i="12"/>
  <c r="F50" i="68"/>
  <c r="F50" i="69"/>
  <c r="C26" i="68"/>
  <c r="D22" i="68" s="1"/>
  <c r="C26" i="11"/>
  <c r="D22" i="11" s="1"/>
  <c r="C23" i="68"/>
  <c r="C23" i="11"/>
  <c r="C25" i="11"/>
  <c r="F34" i="68"/>
  <c r="M59" i="15"/>
  <c r="L59" i="15" s="1"/>
  <c r="M59" i="67"/>
  <c r="C29" i="12"/>
  <c r="D28" i="12" s="1"/>
  <c r="C26" i="12"/>
  <c r="D25" i="12" s="1"/>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60" i="80" l="1"/>
  <c r="L46" i="80" s="1"/>
  <c r="J16" i="81"/>
  <c r="J25" i="81" s="1"/>
  <c r="Q48" i="81"/>
  <c r="L56" i="15"/>
  <c r="F1" i="15"/>
  <c r="Q52" i="15"/>
  <c r="Q74" i="82"/>
  <c r="Q61" i="82"/>
  <c r="Q52" i="82"/>
  <c r="F1" i="82"/>
  <c r="Q61" i="80"/>
  <c r="Q74" i="80"/>
  <c r="Q61" i="81"/>
  <c r="Q74" i="81"/>
  <c r="Q52" i="81"/>
  <c r="F1" i="81"/>
  <c r="Q52" i="80"/>
  <c r="F1" i="80"/>
  <c r="C30" i="81"/>
  <c r="C39" i="81" s="1"/>
  <c r="C80" i="81" s="1"/>
  <c r="C79" i="81" s="1"/>
  <c r="J13" i="82"/>
  <c r="J23" i="82" s="1"/>
  <c r="J22" i="82"/>
  <c r="Q48" i="82"/>
  <c r="L46" i="82"/>
  <c r="C75" i="82"/>
  <c r="Q70" i="82"/>
  <c r="C37" i="82"/>
  <c r="C30" i="82" s="1"/>
  <c r="C39" i="82" s="1"/>
  <c r="C56" i="82"/>
  <c r="C65" i="82" s="1"/>
  <c r="C58" i="82" s="1"/>
  <c r="C67" i="82" s="1"/>
  <c r="C75" i="80"/>
  <c r="C37" i="80"/>
  <c r="J13" i="80"/>
  <c r="J23" i="80" s="1"/>
  <c r="Q70" i="80"/>
  <c r="C37" i="68"/>
  <c r="Q74" i="15"/>
  <c r="Q61" i="15"/>
  <c r="C21" i="12"/>
  <c r="C22" i="12" s="1"/>
  <c r="C22" i="11"/>
  <c r="C31" i="11" s="1"/>
  <c r="C36" i="68"/>
  <c r="C34" i="68"/>
  <c r="J7" i="21"/>
  <c r="D7" i="71"/>
  <c r="C6" i="7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AE8" i="1"/>
  <c r="AE9" i="1"/>
  <c r="L51" i="81"/>
  <c r="AE6" i="1"/>
  <c r="AE7" i="1"/>
  <c r="F41" i="80" s="1"/>
  <c r="F41" i="15"/>
  <c r="Q48" i="80" l="1"/>
  <c r="F69" i="80"/>
  <c r="J29" i="80"/>
  <c r="F69" i="15"/>
  <c r="Q69" i="81"/>
  <c r="Q68" i="81" s="1"/>
  <c r="J16" i="82"/>
  <c r="J25" i="82" s="1"/>
  <c r="Q69" i="82"/>
  <c r="Q68" i="82" s="1"/>
  <c r="C80" i="82"/>
  <c r="C79" i="82" s="1"/>
  <c r="Q67" i="81"/>
  <c r="C38" i="68"/>
  <c r="C35" i="68"/>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F41" i="81"/>
  <c r="F41" i="82"/>
  <c r="F35" i="80"/>
  <c r="M21" i="67"/>
  <c r="F35" i="67"/>
  <c r="L51" i="82"/>
  <c r="M21" i="80"/>
  <c r="F35" i="15"/>
  <c r="M21" i="15"/>
  <c r="F69" i="82" l="1"/>
  <c r="C68" i="82" s="1"/>
  <c r="C71" i="82" s="1"/>
  <c r="C40" i="82"/>
  <c r="J29" i="82"/>
  <c r="B2" i="82" s="1"/>
  <c r="J29" i="81"/>
  <c r="F69" i="81"/>
  <c r="C68" i="81" s="1"/>
  <c r="C71" i="81" s="1"/>
  <c r="C40" i="81"/>
  <c r="C83" i="81" s="1"/>
  <c r="C82" i="81" s="1"/>
  <c r="B2" i="81"/>
  <c r="B3" i="81" s="1"/>
  <c r="F6" i="12" s="1"/>
  <c r="Q47" i="81"/>
  <c r="Q53" i="81" s="1"/>
  <c r="C46" i="81"/>
  <c r="C43" i="81"/>
  <c r="Q65" i="81"/>
  <c r="Q75" i="81" s="1"/>
  <c r="Q67" i="82"/>
  <c r="Q47" i="82"/>
  <c r="Q53" i="82" s="1"/>
  <c r="C43" i="82"/>
  <c r="C83" i="82"/>
  <c r="C82" i="82" s="1"/>
  <c r="J20" i="80"/>
  <c r="J17" i="80" s="1"/>
  <c r="J16" i="80" s="1"/>
  <c r="J25" i="80" s="1"/>
  <c r="F63" i="80"/>
  <c r="C62" i="80" s="1"/>
  <c r="C59" i="80" s="1"/>
  <c r="C58" i="80" s="1"/>
  <c r="C67" i="80" s="1"/>
  <c r="C68" i="80" s="1"/>
  <c r="C34" i="80"/>
  <c r="C31" i="80" s="1"/>
  <c r="C30" i="80" s="1"/>
  <c r="C39" i="80" s="1"/>
  <c r="C33" i="68"/>
  <c r="C91" i="9"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6" i="82" l="1"/>
  <c r="Q65" i="82"/>
  <c r="Q75" i="82" s="1"/>
  <c r="Q56" i="82"/>
  <c r="Q62" i="82" s="1"/>
  <c r="Q56" i="81"/>
  <c r="Q62" i="81" s="1"/>
  <c r="F8" i="12"/>
  <c r="L8" i="12" s="1"/>
  <c r="B3" i="82"/>
  <c r="E6" i="12" s="1"/>
  <c r="E8" i="12"/>
  <c r="Q69" i="80"/>
  <c r="Q68" i="80" s="1"/>
  <c r="C40" i="80"/>
  <c r="C46" i="80" s="1"/>
  <c r="C80" i="80"/>
  <c r="C79" i="80" s="1"/>
  <c r="C71" i="80"/>
  <c r="C92" i="9"/>
  <c r="C94" i="9"/>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0"/>
  <c r="D2" i="21"/>
  <c r="L51" i="67"/>
  <c r="Q67" i="80" l="1"/>
  <c r="Q65" i="80"/>
  <c r="Q75" i="80" s="1"/>
  <c r="Q56" i="80"/>
  <c r="Q62" i="80" s="1"/>
  <c r="C43" i="80"/>
  <c r="Q47" i="80"/>
  <c r="Q53" i="80" s="1"/>
  <c r="B2" i="80"/>
  <c r="C83" i="80"/>
  <c r="C82" i="80" s="1"/>
  <c r="C46" i="68"/>
  <c r="C45" i="68" s="1"/>
  <c r="C41"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39" i="15"/>
  <c r="B3" i="80"/>
  <c r="D6" i="12" s="1"/>
  <c r="D8" i="12"/>
  <c r="C49" i="68"/>
  <c r="C51" i="68" s="1"/>
  <c r="C52" i="68" s="1"/>
  <c r="B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C19" i="9"/>
  <c r="D2" i="35"/>
  <c r="D2" i="36"/>
  <c r="D2" i="37"/>
  <c r="C102" i="9" l="1"/>
  <c r="C21" i="9"/>
  <c r="B3" i="68"/>
  <c r="C57" i="68"/>
  <c r="C56" i="68"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34" i="9"/>
  <c r="AO9" i="1"/>
  <c r="AO11" i="1"/>
  <c r="AO12" i="1"/>
  <c r="D35" i="9"/>
  <c r="AO10" i="1"/>
  <c r="AO8" i="1"/>
  <c r="AO7" i="1"/>
  <c r="C103" i="9" l="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C6" i="12"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G19" i="9"/>
  <c r="G21" i="9" s="1"/>
  <c r="D21" i="9"/>
  <c r="D22" i="9"/>
  <c r="B3" i="12"/>
  <c r="D20" i="9"/>
  <c r="G20" i="9" l="1"/>
  <c r="C32" i="9" s="1"/>
  <c r="C35" i="9" s="1"/>
  <c r="C34" i="9" s="1"/>
  <c r="D118" i="9" s="1"/>
  <c r="D4" i="52" s="1"/>
  <c r="B47" i="72" s="1"/>
  <c r="D103" i="9"/>
  <c r="H118" i="9" l="1"/>
  <c r="F118" i="9"/>
  <c r="F119" i="9" s="1"/>
  <c r="F5" i="52" s="1"/>
  <c r="B53" i="72" s="1"/>
  <c r="D119" i="9"/>
  <c r="D5" i="52" s="1"/>
  <c r="B49" i="72" s="1"/>
  <c r="C104" i="9" l="1"/>
  <c r="D14" i="74"/>
  <c r="G118" i="9"/>
  <c r="G4" i="52" s="1"/>
  <c r="B52" i="72" s="1"/>
  <c r="H119" i="9"/>
  <c r="H5" i="52" s="1"/>
  <c r="H4" i="52"/>
  <c r="I118" i="9"/>
  <c r="I4" i="52" s="1"/>
  <c r="H101" i="9"/>
  <c r="M48" i="9" s="1"/>
  <c r="F4" i="52"/>
  <c r="B51" i="72" s="1"/>
  <c r="D5" i="53"/>
  <c r="E14" i="74" l="1"/>
  <c r="B5" i="74"/>
  <c r="D5" i="74" s="1"/>
  <c r="F14" i="74"/>
  <c r="E118" i="9"/>
  <c r="E4" i="52" s="1"/>
  <c r="B48" i="72" s="1"/>
  <c r="H107" i="9"/>
  <c r="M49" i="9" s="1"/>
  <c r="C105" i="9"/>
  <c r="H102" i="9"/>
  <c r="D7" i="53" s="1"/>
  <c r="B21" i="72" s="1"/>
  <c r="D45" i="9"/>
  <c r="D53" i="9" s="1"/>
  <c r="D48" i="9" s="1"/>
  <c r="M52" i="9" s="1"/>
  <c r="B20" i="72"/>
  <c r="D6" i="53"/>
  <c r="B22" i="72" s="1"/>
  <c r="D122" i="9"/>
  <c r="G14" i="74" s="1"/>
  <c r="B6" i="74" s="1"/>
  <c r="D6" i="74" s="1"/>
  <c r="C5" i="74" l="1"/>
  <c r="H108" i="9"/>
  <c r="D15" i="53" s="1"/>
  <c r="B31" i="72" s="1"/>
  <c r="D13" i="53"/>
  <c r="B30" i="72" s="1"/>
  <c r="D52" i="9"/>
  <c r="C85" i="9"/>
  <c r="D55" i="9"/>
  <c r="M53" i="9" s="1"/>
  <c r="C64" i="9"/>
  <c r="C63" i="9" s="1"/>
  <c r="C67" i="9" s="1"/>
  <c r="D59" i="9" s="1"/>
  <c r="M55" i="9" s="1"/>
  <c r="C72" i="9"/>
  <c r="C78" i="9"/>
  <c r="C73" i="9" s="1"/>
  <c r="C93" i="9"/>
  <c r="C86" i="9" s="1"/>
  <c r="D123" i="9"/>
  <c r="D9" i="52" s="1"/>
  <c r="D8" i="52"/>
  <c r="D14" i="53"/>
  <c r="B32" i="72" s="1"/>
  <c r="L67" i="9"/>
  <c r="M67" i="9" s="1"/>
  <c r="L66" i="9"/>
  <c r="M66" i="9" s="1"/>
  <c r="L68" i="9"/>
  <c r="M68" i="9" s="1"/>
  <c r="L65" i="9"/>
  <c r="M65" i="9" s="1"/>
  <c r="L64" i="9"/>
  <c r="M64" i="9" s="1"/>
  <c r="L63" i="9"/>
  <c r="M63" i="9" s="1"/>
  <c r="C6" i="74"/>
  <c r="M69" i="9" l="1"/>
  <c r="N69" i="9" s="1"/>
  <c r="C68" i="9"/>
  <c r="D54" i="9" s="1"/>
  <c r="C95" i="9"/>
  <c r="C96" i="9" s="1"/>
  <c r="E96" i="9" s="1"/>
  <c r="E97" i="9" s="1"/>
  <c r="C79" i="9"/>
  <c r="C80" i="9" l="1"/>
  <c r="E80" i="9" s="1"/>
  <c r="E81" i="9" s="1"/>
  <c r="C97" i="9"/>
  <c r="D58" i="9" s="1"/>
  <c r="D56" i="9" s="1"/>
  <c r="M54" i="9" s="1"/>
  <c r="N57" i="9" s="1"/>
  <c r="N58" i="9" s="1"/>
  <c r="C81" i="9" l="1"/>
  <c r="P57" i="9"/>
  <c r="N59" i="9"/>
  <c r="N60" i="9" l="1"/>
  <c r="H111" i="9"/>
  <c r="N61" i="9"/>
  <c r="H112" i="9" s="1"/>
  <c r="D21" i="53" s="1"/>
  <c r="B39" i="72" s="1"/>
  <c r="D126" i="9" l="1"/>
  <c r="I14" i="74" s="1"/>
  <c r="B8" i="74" s="1"/>
  <c r="D19" i="53"/>
  <c r="C8" i="74" l="1"/>
  <c r="D8"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<sst xmlns="http://schemas.openxmlformats.org/spreadsheetml/2006/main" count="9083" uniqueCount="3437">
  <si>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</si>
  <si>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</si>
  <si>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</si>
  <si>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</si>
  <si>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</si>
  <si>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</si>
  <si>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</si>
  <si>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</si>
  <si>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</si>
  <si>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</si>
  <si>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</si>
  <si>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</si>
  <si>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</si>
  <si>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</si>
  <si>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</si>
  <si>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</si>
  <si>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</si>
  <si>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</si>
  <si>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</si>
  <si>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</si>
  <si>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</si>
  <si>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</si>
  <si>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</si>
  <si>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</si>
  <si>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</si>
  <si>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</si>
  <si>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</si>
  <si>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</si>
  <si>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</si>
  <si>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</si>
  <si>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</si>
  <si>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</si>
  <si>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</si>
  <si>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</si>
  <si>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</si>
  <si>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</si>
  <si>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</si>
  <si>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</si>
  <si>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</si>
  <si>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</si>
  <si>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</si>
  <si>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</si>
  <si>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</si>
  <si>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</si>
  <si>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</si>
  <si>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</si>
  <si>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</si>
  <si>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</si>
  <si>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</si>
  <si>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</si>
  <si>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</si>
  <si>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</si>
  <si>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</si>
  <si>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</si>
  <si>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</si>
  <si>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</si>
  <si>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</si>
  <si>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</si>
  <si>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</si>
  <si>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</si>
  <si>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</si>
  <si>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</si>
  <si>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</si>
  <si>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</si>
  <si>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</si>
  <si>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</si>
  <si>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</si>
  <si>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</si>
  <si>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</si>
  <si>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</si>
  <si>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</si>
  <si>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</si>
  <si>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</si>
  <si>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</si>
  <si>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</si>
  <si>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</si>
  <si>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</si>
  <si>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</si>
  <si>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</si>
  <si>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</si>
  <si>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</si>
  <si>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</si>
  <si>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</si>
  <si>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</si>
  <si>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</si>
  <si>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</si>
  <si>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</si>
  <si>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</si>
  <si>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</si>
  <si>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</si>
  <si>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</si>
  <si>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</si>
  <si>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</si>
  <si>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</si>
  <si>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</si>
  <si>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</si>
  <si>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</si>
  <si>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</si>
  <si>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</si>
  <si>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</si>
  <si>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</si>
  <si>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</si>
  <si>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</si>
  <si>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</si>
  <si>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</si>
  <si>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</si>
  <si>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</si>
  <si>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</si>
  <si>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</si>
  <si>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</si>
  <si>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</si>
  <si>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</si>
  <si>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</si>
  <si>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</si>
  <si>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</si>
  <si>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</si>
  <si>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</si>
  <si>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</si>
  <si>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</si>
  <si>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</si>
  <si>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</si>
  <si>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</si>
  <si>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</si>
  <si>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</si>
  <si>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</si>
  <si>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</si>
  <si>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</si>
  <si>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</si>
  <si>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</si>
  <si>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</si>
  <si>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</si>
  <si>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</si>
  <si>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</si>
  <si>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</si>
  <si>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</si>
  <si>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</si>
  <si>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</si>
  <si>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</si>
  <si>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</si>
  <si>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</si>
  <si>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</si>
  <si>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</si>
  <si>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</si>
  <si>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</si>
  <si>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</si>
  <si>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</si>
  <si>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</si>
  <si>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</si>
  <si>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</si>
  <si>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</si>
  <si>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</si>
  <si>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</si>
  <si>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</si>
  <si>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</si>
  <si>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</si>
  <si>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</si>
  <si>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</si>
  <si>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</si>
  <si>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</si>
  <si>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</si>
  <si>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</si>
  <si>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</si>
  <si>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</si>
  <si>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</si>
  <si>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</si>
  <si>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</si>
  <si>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</si>
  <si>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</si>
  <si>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</si>
  <si>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</si>
  <si>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</si>
  <si>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</si>
  <si>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</si>
  <si>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</si>
  <si>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</si>
  <si>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</si>
  <si>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</si>
  <si>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</si>
  <si>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</si>
  <si>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</si>
  <si>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</si>
  <si>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</si>
  <si>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</si>
  <si>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</si>
  <si>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</si>
  <si>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</si>
  <si>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</si>
  <si>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</si>
  <si>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</si>
  <si>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</si>
  <si>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</si>
  <si>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</si>
  <si>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</si>
  <si>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</si>
  <si>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</si>
  <si>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</si>
  <si>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</si>
  <si>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</si>
  <si>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</si>
  <si>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</si>
  <si>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</si>
  <si>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</si>
  <si>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</si>
  <si>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</si>
  <si>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</si>
  <si>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</si>
  <si>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</si>
  <si>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</si>
  <si>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</si>
  <si>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</si>
  <si>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</si>
  <si>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</si>
  <si>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</si>
  <si>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</si>
  <si>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</si>
  <si>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</si>
  <si>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</si>
  <si>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</si>
  <si>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</si>
  <si>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</si>
  <si>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</si>
  <si>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</si>
  <si>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</si>
  <si>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</si>
  <si>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</si>
  <si>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</si>
  <si>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</si>
  <si>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</si>
  <si>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</si>
  <si>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</si>
  <si>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</si>
  <si>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</si>
  <si>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</si>
  <si>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</si>
  <si>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</si>
  <si>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</si>
  <si>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</si>
  <si>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</si>
  <si>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</si>
  <si>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</si>
  <si>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</si>
  <si>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</si>
  <si>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</si>
  <si>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</si>
  <si>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</si>
  <si>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</si>
  <si>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</si>
  <si>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</si>
  <si>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</si>
  <si>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</si>
  <si>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</si>
  <si>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</si>
  <si>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</si>
  <si>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</si>
  <si>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</si>
  <si>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</si>
  <si>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</si>
  <si>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</si>
  <si>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</si>
  <si>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</si>
  <si>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</si>
  <si>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</si>
  <si>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</si>
  <si>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</si>
  <si>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</si>
  <si>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</si>
  <si>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</si>
  <si>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</si>
  <si>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</si>
  <si>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</si>
  <si>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</si>
  <si>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</si>
  <si>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</si>
  <si>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</si>
  <si>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</si>
  <si>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</si>
  <si>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</si>
  <si>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</si>
  <si>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</si>
  <si>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</si>
  <si>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</si>
  <si>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</si>
  <si>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</si>
  <si>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</si>
  <si>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</si>
  <si>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</si>
  <si>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</si>
  <si>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</si>
  <si>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</si>
  <si>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</si>
  <si>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</si>
  <si>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</si>
  <si>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</si>
  <si>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</si>
  <si>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</si>
  <si>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</si>
  <si>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</si>
  <si>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</si>
  <si>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</si>
  <si>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</si>
  <si>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</si>
  <si>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</si>
  <si>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</si>
  <si>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</si>
  <si>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</si>
  <si>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</si>
  <si>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</si>
  <si>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</si>
  <si>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</si>
  <si>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</si>
  <si>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</si>
  <si>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</si>
  <si>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</si>
  <si>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</si>
  <si>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</si>
  <si>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</si>
  <si>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</si>
  <si>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</si>
  <si>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</si>
  <si>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</si>
  <si>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</si>
  <si>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</si>
  <si>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</si>
  <si>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</si>
  <si>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</si>
  <si>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</si>
  <si>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</si>
  <si>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</si>
  <si>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</si>
  <si>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</si>
  <si>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</si>
  <si>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</si>
  <si>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</si>
  <si>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</si>
  <si>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</si>
  <si>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</si>
  <si>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</si>
  <si>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</si>
  <si>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</si>
  <si>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</si>
  <si>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</si>
  <si>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</si>
  <si>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</si>
  <si>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</si>
  <si>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</si>
  <si>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</si>
  <si>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</si>
  <si>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</si>
  <si>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</si>
  <si>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</si>
  <si>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</si>
  <si>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</si>
  <si>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</si>
  <si>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</si>
  <si>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</si>
  <si>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</si>
  <si>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</si>
  <si>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</si>
  <si>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</si>
  <si>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</si>
  <si>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</si>
  <si>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</si>
  <si>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</si>
  <si>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</si>
  <si>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</si>
  <si>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</si>
  <si>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</si>
  <si>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</si>
  <si>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</si>
  <si>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</si>
  <si>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</si>
  <si>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</si>
  <si>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</si>
  <si>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</si>
  <si>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</si>
  <si>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</si>
  <si>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</si>
  <si>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</si>
  <si>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</si>
  <si>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</si>
  <si>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</si>
  <si>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</si>
  <si>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</si>
  <si>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</si>
  <si>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</si>
  <si>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</si>
  <si>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</si>
  <si>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</si>
  <si>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</si>
  <si>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</si>
  <si>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</si>
  <si>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</si>
  <si>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</si>
  <si>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</si>
  <si>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</si>
  <si>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</si>
  <si>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</si>
  <si>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</si>
  <si>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</si>
  <si>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</si>
  <si>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</si>
  <si>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</si>
  <si>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</si>
  <si>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</si>
  <si>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</si>
  <si>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</si>
  <si>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</si>
  <si>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</si>
  <si>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</si>
  <si>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</si>
  <si>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</si>
  <si>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</si>
  <si>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</si>
  <si>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</si>
  <si>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</si>
  <si>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</si>
  <si>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</si>
  <si>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</si>
  <si>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</si>
  <si>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</si>
  <si>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</si>
  <si>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</si>
  <si>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</si>
  <si>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</si>
  <si>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</si>
  <si>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</si>
  <si>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</si>
  <si>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</si>
  <si>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</si>
  <si>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</si>
  <si>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</si>
  <si>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</si>
  <si>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</si>
  <si>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</si>
  <si>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</si>
  <si>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</si>
  <si>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</si>
  <si>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</si>
  <si>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</si>
  <si>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</si>
  <si>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</si>
  <si>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</si>
  <si>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</si>
  <si>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</si>
  <si>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</si>
  <si>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</si>
  <si>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</si>
  <si>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</si>
  <si>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</si>
  <si>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</si>
  <si>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</si>
  <si>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</si>
  <si>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</si>
  <si>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</si>
  <si>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</si>
  <si>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</si>
  <si>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</si>
  <si>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</si>
  <si>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</si>
  <si>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</si>
  <si>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</si>
  <si>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</si>
  <si>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</si>
  <si>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</si>
  <si>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</si>
  <si>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</si>
  <si>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</si>
  <si>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</si>
  <si>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</si>
  <si>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</si>
  <si>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</si>
  <si>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</si>
  <si>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</si>
  <si>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</si>
  <si>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</si>
  <si>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</si>
  <si>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</si>
  <si>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</si>
  <si>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</si>
  <si>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</si>
  <si>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</si>
  <si>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</si>
  <si>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</si>
  <si>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</si>
  <si>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</si>
  <si>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</si>
  <si>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</si>
  <si>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</si>
  <si>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</si>
  <si>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</si>
  <si>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</si>
  <si>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</si>
  <si>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</si>
  <si>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</si>
  <si>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</si>
  <si>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</si>
  <si>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</si>
  <si>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</si>
  <si>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</si>
  <si>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</si>
  <si>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</si>
  <si>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</si>
  <si>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</si>
  <si>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</si>
  <si>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</si>
  <si>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</si>
  <si>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</si>
  <si>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</si>
  <si>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</si>
  <si>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</si>
  <si>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</si>
  <si>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</si>
  <si>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</si>
  <si>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</si>
  <si>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</si>
  <si>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</si>
  <si>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</si>
  <si>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</si>
  <si>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</si>
  <si>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</si>
  <si>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</si>
  <si>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</si>
  <si>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</si>
  <si>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</si>
  <si>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</si>
  <si>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</si>
  <si>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</si>
  <si>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</si>
  <si>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</si>
  <si>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</si>
  <si>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</si>
  <si>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</si>
  <si>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</si>
  <si>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</si>
  <si>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</si>
  <si>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</si>
  <si>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</si>
  <si>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</si>
  <si>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</si>
  <si>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</si>
  <si>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</si>
  <si>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</si>
  <si>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</si>
  <si>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</si>
  <si>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</si>
  <si>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</si>
  <si>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</si>
  <si>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</si>
  <si>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</si>
  <si>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</si>
  <si>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</si>
  <si>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</si>
  <si>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</si>
  <si>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</si>
  <si>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</si>
  <si>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</si>
  <si>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</si>
  <si>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</si>
  <si>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</si>
  <si>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</si>
  <si>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</si>
  <si>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</si>
  <si>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</si>
  <si>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</si>
  <si>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</si>
  <si>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</si>
  <si>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</si>
  <si>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</si>
  <si>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</si>
  <si>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</si>
  <si>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</si>
  <si>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</si>
  <si>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</si>
  <si>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</si>
  <si>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</si>
  <si>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</si>
  <si>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</si>
  <si>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</si>
  <si>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</si>
  <si>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</si>
  <si>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</si>
  <si>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</si>
  <si>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</si>
  <si>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</si>
  <si>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</si>
  <si>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</si>
  <si>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</si>
  <si>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</si>
  <si>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</si>
  <si>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</si>
  <si>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</si>
  <si>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</si>
  <si>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</si>
  <si>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</si>
  <si>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</si>
  <si>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</si>
  <si>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</si>
  <si>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</si>
  <si>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</si>
  <si>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</si>
  <si>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</si>
  <si>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</si>
  <si>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</si>
  <si>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</si>
  <si>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</si>
  <si>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</si>
  <si>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</si>
  <si>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</si>
  <si>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</si>
  <si>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</si>
  <si>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</si>
  <si>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</si>
  <si>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</si>
  <si>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</si>
  <si>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</si>
  <si>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</si>
  <si>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</si>
  <si>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</si>
  <si>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</si>
  <si>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</si>
  <si>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</si>
  <si>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</si>
  <si>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</si>
  <si>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</si>
  <si>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</si>
  <si>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</si>
  <si>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</si>
  <si>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</si>
  <si>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</si>
  <si>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</si>
  <si>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</si>
  <si>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</si>
  <si>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</si>
  <si>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</si>
  <si>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</si>
  <si>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</si>
  <si>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</si>
  <si>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</si>
  <si>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</si>
  <si>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</si>
  <si>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</si>
  <si>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</si>
  <si>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</si>
  <si>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</si>
  <si>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</si>
  <si>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</si>
  <si>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</si>
  <si>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</si>
  <si>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</si>
  <si>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</si>
  <si>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</si>
  <si>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</si>
  <si>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</si>
  <si>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</si>
  <si>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</si>
  <si>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</si>
  <si>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</si>
  <si>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</si>
  <si>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</si>
  <si>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</si>
  <si>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</si>
  <si>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</si>
  <si>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</si>
  <si>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</si>
  <si>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</si>
  <si>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</si>
  <si>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</si>
  <si>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</si>
  <si>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</si>
  <si>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</si>
  <si>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</si>
  <si>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</si>
  <si>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</si>
  <si>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</si>
  <si>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</si>
  <si>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</si>
  <si>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</si>
  <si>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</si>
  <si>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</si>
  <si>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</si>
  <si>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</si>
  <si>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</si>
  <si>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</si>
  <si>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</si>
  <si>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</si>
  <si>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</si>
  <si>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</si>
  <si>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</si>
  <si>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</si>
  <si>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</si>
  <si>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</si>
  <si>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</si>
  <si>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</si>
  <si>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</si>
  <si>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</si>
  <si>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</si>
  <si>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</si>
  <si>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</si>
  <si>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</si>
  <si>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</si>
  <si>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</si>
  <si>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</si>
  <si>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</si>
  <si>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</si>
  <si>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</si>
  <si>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</si>
  <si>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</si>
  <si>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</si>
  <si>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</si>
  <si>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</si>
  <si>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</si>
  <si>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</si>
  <si>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</si>
  <si>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</si>
  <si>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</si>
  <si>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</si>
  <si>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</si>
  <si>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</si>
  <si>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</si>
  <si>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</si>
  <si>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</si>
  <si>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</si>
  <si>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</si>
  <si>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</si>
  <si>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</si>
  <si>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</si>
  <si>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</si>
  <si>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</si>
  <si>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</si>
  <si>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</si>
  <si>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</si>
  <si>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</si>
  <si>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</si>
  <si>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</si>
  <si>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</si>
  <si>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</si>
  <si>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</si>
  <si>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</si>
  <si>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</si>
  <si>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</si>
  <si>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</si>
  <si>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</si>
  <si>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</si>
  <si>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</si>
  <si>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</si>
  <si>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</si>
  <si>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</si>
  <si>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</si>
  <si>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</si>
  <si>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</si>
  <si>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</si>
  <si>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</si>
  <si>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</si>
  <si>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</si>
  <si>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</si>
  <si>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</si>
  <si>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</si>
  <si>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</si>
  <si>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</si>
  <si>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</si>
  <si>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</si>
  <si>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</si>
  <si>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</si>
  <si>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</si>
  <si>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</si>
  <si>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</si>
  <si>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</si>
  <si>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</si>
  <si>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</si>
  <si>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</si>
  <si>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</si>
  <si>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</si>
  <si>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</si>
  <si>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</si>
  <si>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</si>
  <si>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</si>
  <si>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</si>
  <si>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</si>
  <si>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</si>
  <si>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</si>
  <si>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</si>
  <si>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</si>
  <si>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</si>
  <si>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</si>
  <si>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</si>
  <si>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</si>
  <si>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</si>
  <si>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</si>
  <si>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</si>
  <si>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</si>
  <si>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</si>
  <si>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</si>
  <si>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</si>
  <si>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</si>
  <si>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</si>
  <si>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</si>
  <si>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</si>
  <si>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</si>
  <si>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</si>
  <si>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</si>
  <si>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</si>
  <si>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</si>
  <si>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</si>
  <si>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</si>
  <si>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</si>
  <si>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</si>
  <si>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</si>
  <si>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</si>
  <si>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</si>
  <si>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</si>
  <si>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</si>
  <si>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</si>
  <si>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</si>
  <si>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</si>
  <si>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</si>
  <si>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</si>
  <si>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</si>
  <si>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</si>
  <si>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</si>
  <si>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</si>
  <si>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</si>
  <si>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</si>
  <si>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</si>
  <si>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</si>
  <si>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</si>
  <si>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</si>
  <si>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</si>
  <si>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</si>
  <si>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</si>
  <si>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</si>
  <si>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</si>
  <si>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</si>
  <si>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</si>
  <si>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</si>
  <si>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</si>
  <si>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</si>
  <si>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</si>
  <si>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</si>
  <si>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</si>
  <si>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</si>
  <si>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</si>
  <si>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</si>
  <si>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</si>
  <si>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</si>
  <si>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</si>
  <si>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</si>
  <si>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</si>
  <si>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</si>
  <si>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</si>
  <si>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</si>
  <si>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</si>
  <si>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</si>
  <si>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</si>
  <si>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</si>
  <si>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</si>
  <si>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</si>
  <si>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</si>
  <si>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</si>
  <si>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</si>
  <si>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</si>
  <si>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</si>
  <si>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</si>
  <si>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</si>
  <si>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</si>
  <si>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</si>
  <si>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</si>
  <si>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</si>
  <si>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</si>
  <si>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</si>
  <si>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</si>
  <si>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</si>
  <si>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</si>
  <si>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</si>
  <si>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</si>
  <si>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</si>
  <si>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</si>
  <si>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</si>
  <si>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</si>
  <si>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</si>
  <si>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</si>
  <si>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</si>
  <si>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</si>
  <si>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</si>
  <si>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</si>
  <si>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</si>
  <si>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</si>
  <si>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</si>
  <si>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</si>
  <si>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</si>
  <si>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</si>
  <si>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</si>
  <si>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</si>
  <si>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</si>
  <si>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</si>
  <si>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</si>
  <si>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</si>
  <si>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</si>
  <si>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</si>
  <si>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</si>
  <si>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</si>
  <si>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</si>
  <si>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</si>
  <si>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</si>
  <si>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</si>
  <si>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</si>
  <si>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</si>
  <si>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</si>
  <si>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</si>
  <si>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</si>
  <si>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</si>
  <si>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</si>
  <si>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</si>
  <si>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</si>
  <si>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</si>
  <si>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</si>
  <si>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</si>
  <si>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</si>
  <si>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</si>
  <si>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</si>
  <si>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</si>
  <si>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</si>
  <si>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</si>
  <si>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</si>
  <si>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</si>
  <si>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</si>
  <si>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</si>
  <si>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</si>
  <si>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</si>
  <si>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</si>
  <si>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</si>
  <si>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</si>
  <si>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</si>
  <si>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</si>
  <si>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</si>
  <si>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</si>
  <si>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</si>
  <si>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</si>
  <si>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</si>
  <si>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</si>
  <si>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</si>
  <si>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</si>
  <si>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</si>
  <si>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</si>
  <si>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</si>
  <si>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</si>
  <si>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</si>
  <si>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</si>
  <si>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</si>
  <si>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</si>
  <si>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</si>
  <si>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</si>
  <si>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</si>
  <si>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</si>
  <si>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</si>
  <si>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</si>
  <si>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</si>
  <si>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</si>
  <si>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</si>
  <si>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</si>
  <si>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</si>
  <si>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</si>
  <si>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</si>
  <si>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</si>
  <si>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</si>
  <si>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</si>
  <si>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</si>
  <si>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</si>
  <si>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</si>
  <si>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</si>
  <si>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</si>
  <si>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</si>
  <si>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</si>
  <si>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</si>
  <si>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</si>
  <si>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</si>
  <si>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</si>
  <si>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</si>
  <si>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</si>
  <si>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</si>
  <si>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</si>
  <si>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</si>
  <si>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</si>
  <si>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</si>
  <si>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</si>
  <si>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</si>
  <si>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</si>
  <si>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</si>
  <si>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</si>
  <si>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</si>
  <si>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</si>
  <si>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</si>
  <si>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</si>
  <si>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</si>
  <si>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</si>
  <si>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</si>
  <si>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</si>
  <si>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</si>
  <si>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</si>
  <si>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</si>
  <si>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</si>
  <si>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</si>
  <si>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</si>
  <si>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</si>
  <si>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</si>
  <si>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</si>
  <si>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</si>
  <si>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</si>
  <si>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</si>
  <si>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</si>
  <si>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</si>
  <si>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</si>
  <si>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</si>
  <si>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</si>
  <si>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</si>
  <si>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</si>
  <si>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</si>
  <si>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</si>
  <si>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</si>
  <si>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</si>
  <si>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</si>
  <si>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</si>
  <si>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</si>
  <si>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</si>
  <si>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</si>
  <si>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</si>
  <si>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</si>
  <si>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</si>
  <si>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</si>
  <si>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</si>
  <si>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</si>
  <si>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</si>
  <si>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</si>
  <si>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</si>
  <si>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</si>
  <si>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</si>
  <si>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</si>
  <si>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</si>
  <si>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</si>
  <si>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</si>
  <si>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</si>
  <si>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</si>
  <si>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</si>
  <si>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</si>
  <si>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</si>
  <si>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</si>
  <si>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</si>
  <si>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</si>
  <si>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</si>
  <si>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</si>
  <si>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</si>
  <si>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</si>
  <si>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</si>
  <si>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</si>
  <si>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</si>
  <si>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</si>
  <si>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</si>
  <si>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</si>
  <si>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</si>
  <si>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</si>
  <si>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</si>
  <si>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</si>
  <si>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</si>
  <si>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</si>
  <si>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</si>
  <si>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</si>
  <si>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</si>
  <si>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</si>
  <si>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</si>
  <si>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</si>
  <si>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</si>
  <si>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</si>
  <si>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</si>
  <si>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</si>
  <si>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</si>
  <si>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</si>
  <si>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</si>
  <si>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</si>
  <si>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</si>
  <si>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</si>
  <si>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</si>
  <si>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</si>
  <si>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</si>
  <si>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</si>
  <si>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</si>
  <si>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</si>
  <si>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</si>
  <si>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</si>
  <si>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</si>
  <si>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</si>
  <si>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</si>
  <si>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</si>
  <si>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</si>
  <si>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</si>
  <si>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</si>
  <si>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</si>
  <si>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</si>
  <si>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</si>
  <si>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</si>
  <si>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</si>
  <si>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</si>
  <si>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</si>
  <si>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</si>
  <si>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</si>
  <si>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</si>
  <si>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</si>
  <si>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</si>
  <si>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</si>
  <si>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</si>
  <si>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</si>
  <si>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</si>
  <si>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</si>
  <si>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</si>
  <si>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</si>
  <si>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</si>
  <si>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</si>
  <si>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</si>
  <si>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</si>
  <si>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</si>
  <si>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</si>
  <si>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</si>
  <si>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</si>
  <si>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</si>
  <si>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</si>
  <si>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</si>
  <si>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</si>
  <si>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</si>
  <si>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</si>
  <si>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</si>
  <si>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</si>
  <si>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</si>
  <si>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</si>
  <si>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</si>
  <si>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</si>
  <si>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</si>
  <si>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</si>
  <si>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</si>
  <si>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</si>
  <si>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</si>
  <si>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</si>
  <si>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</si>
  <si>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</si>
  <si>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</si>
  <si>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</si>
  <si>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</si>
  <si>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</si>
  <si>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</si>
  <si>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</si>
  <si>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</si>
  <si>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</si>
  <si>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</si>
  <si>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</si>
  <si>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</si>
  <si>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</si>
  <si>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</si>
  <si>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</si>
  <si>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</si>
  <si>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</si>
  <si>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</si>
  <si>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</si>
  <si>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</si>
  <si>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</si>
  <si>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</si>
  <si>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</si>
  <si>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</si>
  <si>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</si>
  <si>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</si>
  <si>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</si>
  <si>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</si>
  <si>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</si>
  <si>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</si>
  <si>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</si>
  <si>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</si>
  <si>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</si>
  <si>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</si>
  <si>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</si>
  <si>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</si>
  <si>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</si>
  <si>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</si>
  <si>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</si>
  <si>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</si>
  <si>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</si>
  <si>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</si>
  <si>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</si>
  <si>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</si>
  <si>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</si>
  <si>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</si>
  <si>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</si>
  <si>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</si>
  <si>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</si>
  <si>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</si>
  <si>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</si>
  <si>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</si>
  <si>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</si>
  <si>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</si>
  <si>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</si>
  <si>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</si>
  <si>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</si>
  <si>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</si>
  <si>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</si>
  <si>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</si>
  <si>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</si>
  <si>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</si>
  <si>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</si>
  <si>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</si>
  <si>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</si>
  <si>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</si>
  <si>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</si>
  <si>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</si>
  <si>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</si>
  <si>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</si>
  <si>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</si>
  <si>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</si>
  <si>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</si>
  <si>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</si>
  <si>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</si>
  <si>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</si>
  <si>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</si>
  <si>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</si>
  <si>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</si>
  <si>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</si>
  <si>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</si>
  <si>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</si>
  <si>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</si>
  <si>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</si>
  <si>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</si>
  <si>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</si>
  <si>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</si>
  <si>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</si>
  <si>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</si>
  <si>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</si>
  <si>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</si>
  <si>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</si>
  <si>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</si>
  <si>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</si>
  <si>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</si>
  <si>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</si>
  <si>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</si>
  <si>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</si>
  <si>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</si>
  <si>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</si>
  <si>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</si>
  <si>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</si>
  <si>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</si>
  <si>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</si>
  <si>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</si>
  <si>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</si>
  <si>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</si>
  <si>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</si>
  <si>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</si>
  <si>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</si>
  <si>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</si>
  <si>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</si>
  <si>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</si>
  <si>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</si>
  <si>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</si>
  <si>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</si>
  <si>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</si>
  <si>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</si>
  <si>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</si>
  <si>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</si>
  <si>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</si>
  <si>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</si>
  <si>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</si>
  <si>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</si>
  <si>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</si>
  <si>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</si>
  <si>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</si>
  <si>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</si>
  <si>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</si>
  <si>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</si>
  <si>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</si>
  <si>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</si>
  <si>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</si>
  <si>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</si>
  <si>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</si>
  <si>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</si>
  <si>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</si>
  <si>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</si>
  <si>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</si>
  <si>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</si>
  <si>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</si>
  <si>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</si>
  <si>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</si>
  <si>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</si>
  <si>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</si>
  <si>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</si>
  <si>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</si>
  <si>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</si>
  <si>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</si>
  <si>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</si>
  <si>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</si>
  <si>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</si>
  <si>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</si>
  <si>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</si>
  <si>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</si>
  <si>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</si>
  <si>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</si>
  <si>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</si>
  <si>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</si>
  <si>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</si>
  <si>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</si>
  <si>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</si>
  <si>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</si>
  <si>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</si>
  <si>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</si>
  <si>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</si>
  <si>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</si>
  <si>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</si>
  <si>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</si>
  <si>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</si>
  <si>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</si>
  <si>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</si>
  <si>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</si>
  <si>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</si>
  <si>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</si>
  <si>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</si>
  <si>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</si>
  <si>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</si>
  <si>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</si>
  <si>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</si>
  <si>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</si>
  <si>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</si>
  <si>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</si>
  <si>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</si>
  <si>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</si>
  <si>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</si>
  <si>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</si>
  <si>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</si>
  <si>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</si>
  <si>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</si>
  <si>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</si>
  <si>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</si>
  <si>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</si>
  <si>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</si>
  <si>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</si>
  <si>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</si>
  <si>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</si>
  <si>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</si>
  <si>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</si>
  <si>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</si>
  <si>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</si>
  <si>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</si>
  <si>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</si>
  <si>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</si>
  <si>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</si>
  <si>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</si>
  <si>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</si>
  <si>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</si>
  <si>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</si>
  <si>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</si>
  <si>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</si>
  <si>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</si>
  <si>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</si>
  <si>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</si>
  <si>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</si>
  <si>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</si>
  <si>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</si>
  <si>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</si>
  <si>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</si>
  <si>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</si>
  <si>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</si>
  <si>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</si>
  <si>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</si>
  <si>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</si>
  <si>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</si>
  <si>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</si>
  <si>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</si>
  <si>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</si>
  <si>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</si>
  <si>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</si>
  <si>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</si>
  <si>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</si>
  <si>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</si>
  <si>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</si>
  <si>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</si>
  <si>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</si>
  <si>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</si>
  <si>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</si>
  <si>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</si>
  <si>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</si>
  <si>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</si>
  <si>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</si>
  <si>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</si>
  <si>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</si>
  <si>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</si>
  <si>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</si>
  <si>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</si>
  <si>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</si>
  <si>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</si>
  <si>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</si>
  <si>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</si>
  <si>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</si>
  <si>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</si>
  <si>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</si>
  <si>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</si>
  <si>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</si>
  <si>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</si>
  <si>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</si>
  <si>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</si>
  <si>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</si>
  <si>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</si>
  <si>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</si>
  <si>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</si>
  <si>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</si>
  <si>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</si>
  <si>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</si>
  <si>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</si>
  <si>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</si>
  <si>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</si>
  <si>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</si>
  <si>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</si>
  <si>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</si>
  <si>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</si>
  <si>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</si>
  <si>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</si>
  <si>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</si>
  <si>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</si>
  <si>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</si>
  <si>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</si>
  <si>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</si>
  <si>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</si>
  <si>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</si>
  <si>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</si>
  <si>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</si>
  <si>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</si>
  <si>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</si>
  <si>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</si>
  <si>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</si>
  <si>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</si>
  <si>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</si>
  <si>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</si>
  <si>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</si>
  <si>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</si>
  <si>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</si>
  <si>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</si>
  <si>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</si>
  <si>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</si>
  <si>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</si>
  <si>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</si>
  <si>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</si>
  <si>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</si>
  <si>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</si>
  <si>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</si>
  <si>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</si>
  <si>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</si>
  <si>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</si>
  <si>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</si>
  <si>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</si>
  <si>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</si>
  <si>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</si>
  <si>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</si>
  <si>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</si>
  <si>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</si>
  <si>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</si>
  <si>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</si>
  <si>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</si>
  <si>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</si>
  <si>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</si>
  <si>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</si>
  <si>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</si>
  <si>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</si>
  <si>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</si>
  <si>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</si>
  <si>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</si>
  <si>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</si>
  <si>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</si>
  <si>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</si>
  <si>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</si>
  <si>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</si>
  <si>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</si>
  <si>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</si>
  <si>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</si>
  <si>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</si>
  <si>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</si>
  <si>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</si>
  <si>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</si>
  <si>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</si>
  <si>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</si>
  <si>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</si>
  <si>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</si>
  <si>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</si>
  <si>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</si>
  <si>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</si>
  <si>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</si>
  <si>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</si>
  <si>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</si>
  <si>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</si>
  <si>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</si>
  <si>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</si>
  <si>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</si>
  <si>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</si>
  <si>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</si>
  <si>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</si>
  <si>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</si>
  <si>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</si>
  <si>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</si>
  <si>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</si>
  <si>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</si>
  <si>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</si>
  <si>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</si>
  <si>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</si>
  <si>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</si>
  <si>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</si>
  <si>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</si>
  <si>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</si>
  <si>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</si>
  <si>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</si>
  <si>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</si>
  <si>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</si>
  <si>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</si>
  <si>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</si>
  <si>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</si>
  <si>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</si>
  <si>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</si>
  <si>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</si>
  <si>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</si>
  <si>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</si>
  <si>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</si>
  <si>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</si>
  <si>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</si>
  <si>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</si>
  <si>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</si>
  <si>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</si>
  <si>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</si>
  <si>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</si>
  <si>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</si>
  <si>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</si>
  <si>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</si>
  <si>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</si>
  <si>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</si>
  <si>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</si>
  <si>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</si>
  <si>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</si>
  <si>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</si>
  <si>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</si>
  <si>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</si>
  <si>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</si>
  <si>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</si>
  <si>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</si>
  <si>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</si>
  <si>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</si>
  <si>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</si>
  <si>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</si>
  <si>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</si>
  <si>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</si>
  <si>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</si>
  <si>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</si>
  <si>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</si>
  <si>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</si>
  <si>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</si>
  <si>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</si>
  <si>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</si>
  <si>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</si>
  <si>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</si>
  <si>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</si>
  <si>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</si>
  <si>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</si>
  <si>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</si>
  <si>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</si>
  <si>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</si>
  <si>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</si>
  <si>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</si>
  <si>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</si>
  <si>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</si>
  <si>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</si>
  <si>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</si>
  <si>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</si>
  <si>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</si>
  <si>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</si>
  <si>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</si>
  <si>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</si>
  <si>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</si>
  <si>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</si>
  <si>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</si>
  <si>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</si>
  <si>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</si>
  <si>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</si>
  <si>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</si>
  <si>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</si>
  <si>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</si>
  <si>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</si>
  <si>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</si>
  <si>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</si>
  <si>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</si>
  <si>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</si>
  <si>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</si>
  <si>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</si>
  <si>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</si>
  <si>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</si>
  <si>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</si>
  <si>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</si>
  <si>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</si>
  <si>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</si>
  <si>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</si>
  <si>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</si>
  <si>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</si>
  <si>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</si>
  <si>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</si>
  <si>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</si>
  <si>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</si>
  <si>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</si>
  <si>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</si>
  <si>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</si>
  <si>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</si>
  <si>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</si>
  <si>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</si>
  <si>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</si>
  <si>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</si>
  <si>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</si>
  <si>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</si>
  <si>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</si>
  <si>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</si>
  <si>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</si>
  <si>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</si>
  <si>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</si>
  <si>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</si>
  <si>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</si>
  <si>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</si>
  <si>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</si>
  <si>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</si>
  <si>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</si>
  <si>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</si>
  <si>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</si>
  <si>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</si>
  <si>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</si>
  <si>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</si>
  <si>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</si>
  <si>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</si>
  <si>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</si>
  <si>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</si>
  <si>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</si>
  <si>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</si>
  <si>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</si>
  <si>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</si>
  <si>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</si>
  <si>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</si>
  <si>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</si>
  <si>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</si>
  <si>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</si>
  <si>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</si>
  <si>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</si>
  <si>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</si>
  <si>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</si>
  <si>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</si>
  <si>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</si>
  <si>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</si>
  <si>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</si>
  <si>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</si>
  <si>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</si>
  <si>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</si>
  <si>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</si>
  <si>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</si>
  <si>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</si>
  <si>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</si>
  <si>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</si>
  <si>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</si>
  <si>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</si>
  <si>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</si>
  <si>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</si>
  <si>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</si>
  <si>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</si>
  <si>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</si>
  <si>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</si>
  <si>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</si>
  <si>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</si>
  <si>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</si>
  <si>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</si>
  <si>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</si>
  <si>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</si>
  <si>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</si>
  <si>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</si>
  <si>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</si>
  <si>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</si>
  <si>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</si>
  <si>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</si>
  <si>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</si>
  <si>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</si>
  <si>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</si>
  <si>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</si>
  <si>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</si>
  <si>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</si>
  <si>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</si>
  <si>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</si>
  <si>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</si>
  <si>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</si>
  <si>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</si>
  <si>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</si>
  <si>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</si>
  <si>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</si>
  <si>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</si>
  <si>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</si>
  <si>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</si>
  <si>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</si>
  <si>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</si>
  <si>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</si>
  <si>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</si>
  <si>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</si>
  <si>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</si>
  <si>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</si>
  <si>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</si>
  <si>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</si>
  <si>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</si>
  <si>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</si>
  <si>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</si>
  <si>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</si>
  <si>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</si>
  <si>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</si>
  <si>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</si>
  <si>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</si>
  <si>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</si>
  <si>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</si>
  <si>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</si>
  <si>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</si>
  <si>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</si>
  <si>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</si>
  <si>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</si>
  <si>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</si>
  <si>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</si>
  <si>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</si>
  <si>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</si>
  <si>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</si>
  <si>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</si>
  <si>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</si>
  <si>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</si>
  <si>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</si>
  <si>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</si>
  <si>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</si>
  <si>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</si>
  <si>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</si>
  <si>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</si>
  <si>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</si>
  <si>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</si>
  <si>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</si>
  <si>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</si>
  <si>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</si>
  <si>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</si>
  <si>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</si>
  <si>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</si>
  <si>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</si>
  <si>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</si>
  <si>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</si>
  <si>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</si>
  <si>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</si>
  <si>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</si>
  <si>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</si>
  <si>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</si>
  <si>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</si>
  <si>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</si>
  <si>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</si>
  <si>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</si>
  <si>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</si>
  <si>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</si>
  <si>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</si>
  <si>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</si>
  <si>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</si>
  <si>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</si>
  <si>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</si>
  <si>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</si>
  <si>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</si>
  <si>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</si>
  <si>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</si>
  <si>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</si>
  <si>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</si>
  <si>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</si>
  <si>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</si>
  <si>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</si>
  <si>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</si>
  <si>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</si>
  <si>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</si>
  <si>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</si>
  <si>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</si>
  <si>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</si>
  <si>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</si>
  <si>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</si>
  <si>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</si>
  <si>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</si>
  <si>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</si>
  <si>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</si>
  <si>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</si>
  <si>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</si>
  <si>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</si>
  <si>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</si>
  <si>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</si>
  <si>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</si>
  <si>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</si>
  <si>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</si>
  <si>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</si>
  <si>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</si>
  <si>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</si>
  <si>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</si>
  <si>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</si>
  <si>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</si>
  <si>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</si>
  <si>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</si>
  <si>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</si>
  <si>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</si>
  <si>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</si>
  <si>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</si>
  <si>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</si>
  <si>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</si>
  <si>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</si>
  <si>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</si>
  <si>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</si>
  <si>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</si>
  <si>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</si>
  <si>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</si>
  <si>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</si>
  <si>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</si>
  <si>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</si>
  <si>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</si>
  <si>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</si>
  <si>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</si>
  <si>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</si>
  <si>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</si>
  <si>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</si>
  <si>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</si>
  <si>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</si>
  <si>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</si>
  <si>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</si>
  <si>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</si>
  <si>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</si>
  <si>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</si>
  <si>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</si>
  <si>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</si>
  <si>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</si>
  <si>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</si>
  <si>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</si>
  <si>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</si>
  <si>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</si>
  <si>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</si>
  <si>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</si>
  <si>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</si>
  <si>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</si>
  <si>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</si>
  <si>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</si>
  <si>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</si>
  <si>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</si>
  <si>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</si>
  <si>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</si>
  <si>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</si>
  <si>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</si>
  <si>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</si>
  <si>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</si>
  <si>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</si>
  <si>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</si>
  <si>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</si>
  <si>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</si>
  <si>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</si>
  <si>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</si>
  <si>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</si>
  <si>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</si>
  <si>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</si>
  <si>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</si>
  <si>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</si>
  <si>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</si>
  <si>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</si>
  <si>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</si>
  <si>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</si>
  <si>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</si>
  <si>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</si>
  <si>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</si>
  <si>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</si>
  <si>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</si>
  <si>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</si>
  <si>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</si>
  <si>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</si>
  <si>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</si>
  <si>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</si>
  <si>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</si>
  <si>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</si>
  <si>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</si>
  <si>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</si>
  <si>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</si>
  <si>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</si>
  <si>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</si>
  <si>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</si>
  <si>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</si>
  <si>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</si>
  <si>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</si>
  <si>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</si>
  <si>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</si>
  <si>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</si>
  <si>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</si>
  <si>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</si>
  <si>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</si>
  <si>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</si>
  <si>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</si>
  <si>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</si>
  <si>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</si>
  <si>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</si>
  <si>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</si>
  <si>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</si>
  <si>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</si>
  <si>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</si>
  <si>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</si>
  <si>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</si>
  <si>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</si>
  <si>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</si>
  <si>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</si>
  <si>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</si>
  <si>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</si>
  <si>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</si>
  <si>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</si>
  <si>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</si>
  <si>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</si>
  <si>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</si>
  <si>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</si>
  <si>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</si>
  <si>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</si>
  <si>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</si>
  <si>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</si>
  <si>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</si>
  <si>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</si>
  <si>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</si>
  <si>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</si>
  <si>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</si>
  <si>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</si>
  <si>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</si>
  <si>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</si>
  <si>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</si>
  <si>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</si>
  <si>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</si>
  <si>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</si>
  <si>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</si>
  <si>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</si>
  <si>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</si>
  <si>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</si>
  <si>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</si>
  <si>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</si>
  <si>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</si>
  <si>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</si>
  <si>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</si>
  <si>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</si>
  <si>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</si>
  <si>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</si>
  <si>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</si>
  <si>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</si>
  <si>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</si>
  <si>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</si>
  <si>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</si>
  <si>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</si>
  <si>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</si>
  <si>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</si>
  <si>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</si>
  <si>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</si>
  <si>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</si>
  <si>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</si>
  <si>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</si>
  <si>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</si>
  <si>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</si>
  <si>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</si>
  <si>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</si>
  <si>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</si>
  <si>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</si>
  <si>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</si>
  <si>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</si>
  <si>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</si>
  <si>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</si>
  <si>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</si>
  <si>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</si>
  <si>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</si>
  <si>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</si>
  <si>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</si>
  <si>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</si>
  <si>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</si>
  <si>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</si>
  <si>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</si>
  <si>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</si>
  <si>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</si>
  <si>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</si>
  <si>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</si>
  <si>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</si>
  <si>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</si>
  <si>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</si>
  <si>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</si>
  <si>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</si>
  <si>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</si>
  <si>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</si>
  <si>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</si>
  <si>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</si>
  <si>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</si>
  <si>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</si>
  <si>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</si>
  <si>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</si>
  <si>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</si>
  <si>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</si>
  <si>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</si>
  <si>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</si>
  <si>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</si>
  <si>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</si>
  <si>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</si>
  <si>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</si>
  <si>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</si>
  <si>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</si>
  <si>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</si>
  <si>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</si>
  <si>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</si>
  <si>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</si>
  <si>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</si>
  <si>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</si>
  <si>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</si>
  <si>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</si>
  <si>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</si>
  <si>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</si>
  <si>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</si>
  <si>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</si>
  <si>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</si>
  <si>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</si>
  <si>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</si>
  <si>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</si>
  <si>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</si>
  <si>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</si>
  <si>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</si>
  <si>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</si>
  <si>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</si>
  <si>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</si>
  <si>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</si>
  <si>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</si>
  <si>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</si>
  <si>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</si>
  <si>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</si>
  <si>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</si>
  <si>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</si>
  <si>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</si>
  <si>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</si>
  <si>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</si>
  <si>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</si>
  <si>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</si>
  <si>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</si>
  <si>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</si>
  <si>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</si>
  <si>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</si>
  <si>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</si>
  <si>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</si>
  <si>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</si>
  <si>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</si>
  <si>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</si>
  <si>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</si>
  <si>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</si>
  <si>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</si>
  <si>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</si>
  <si>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</si>
  <si>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</si>
  <si>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</si>
  <si>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</si>
  <si>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</si>
  <si>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</si>
  <si>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</si>
  <si>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</si>
  <si>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</si>
  <si>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</si>
  <si>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</si>
  <si>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</si>
  <si>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</si>
  <si>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</si>
  <si>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</si>
  <si>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</si>
  <si>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</si>
  <si>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</si>
  <si>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</si>
  <si>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</si>
  <si>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</si>
  <si>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</si>
  <si>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</si>
  <si>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</si>
  <si>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</si>
  <si>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</si>
  <si>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</si>
  <si>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</si>
  <si>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</si>
  <si>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</si>
  <si>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</si>
  <si>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</si>
  <si>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</si>
  <si>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</si>
  <si>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</si>
  <si>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</si>
  <si>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</si>
  <si>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</si>
  <si>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</si>
  <si>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</si>
  <si>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</si>
  <si>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</si>
  <si>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</si>
  <si>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</si>
  <si>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</si>
  <si>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</si>
  <si>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</si>
  <si>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</si>
  <si>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</si>
  <si>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</si>
  <si>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</si>
  <si>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</si>
  <si>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</si>
  <si>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</si>
  <si>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</si>
  <si>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</si>
  <si>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</si>
  <si>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</si>
  <si>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</si>
  <si>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</si>
  <si>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</si>
  <si>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</si>
  <si>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</si>
  <si>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</si>
  <si>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</si>
  <si>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</si>
  <si>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</si>
  <si>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</si>
  <si>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</si>
  <si>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</si>
  <si>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</si>
  <si>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</si>
  <si>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</si>
  <si>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</si>
  <si>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</si>
  <si>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</si>
  <si>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</si>
  <si>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</si>
  <si>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</si>
  <si>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</si>
  <si>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</si>
  <si>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</si>
  <si>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</si>
  <si>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</si>
  <si>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</si>
  <si>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</si>
  <si>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</si>
  <si>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</si>
  <si>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</si>
  <si>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</si>
  <si>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</si>
  <si>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</si>
  <si>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</si>
  <si>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</si>
  <si>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</si>
  <si>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</si>
  <si>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</si>
  <si>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</si>
  <si>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</si>
  <si>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</si>
  <si>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</si>
  <si>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</si>
  <si>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</si>
  <si>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</si>
  <si>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</si>
  <si>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</si>
  <si>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</si>
  <si>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</si>
  <si>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</si>
  <si>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</si>
  <si>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</si>
  <si>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</si>
  <si>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</si>
  <si>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</si>
  <si>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</si>
  <si>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</si>
  <si>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</si>
  <si>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</si>
  <si>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</si>
  <si>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</si>
  <si>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</si>
  <si>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</si>
  <si>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</si>
  <si>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</si>
  <si>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</si>
  <si>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</si>
  <si>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</si>
  <si>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</si>
  <si>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</si>
  <si>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</si>
  <si>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</si>
  <si>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</si>
  <si>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</si>
  <si>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</si>
  <si>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</si>
  <si>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</si>
  <si>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</si>
  <si>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</si>
  <si>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</si>
  <si>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</si>
  <si>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</si>
  <si>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</si>
  <si>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</si>
  <si>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</si>
  <si>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</si>
  <si>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</si>
  <si>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</si>
  <si>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</si>
  <si>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</si>
  <si>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</si>
  <si>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</si>
  <si>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</si>
  <si>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</si>
  <si>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</si>
  <si>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</si>
  <si>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</si>
  <si>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</si>
  <si>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</si>
  <si>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</si>
  <si>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</si>
  <si>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</si>
  <si>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</si>
  <si>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</si>
  <si>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</si>
  <si>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</si>
  <si>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</si>
  <si>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</si>
  <si>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</si>
  <si>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</si>
  <si>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</si>
  <si>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</si>
  <si>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</si>
  <si>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</si>
  <si>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</si>
  <si>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</si>
  <si>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</si>
  <si>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</si>
  <si>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</si>
  <si>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</si>
  <si>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</si>
  <si>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</si>
  <si>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</si>
  <si>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</si>
  <si>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</si>
  <si>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</si>
  <si>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</si>
  <si>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</si>
  <si>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</si>
  <si>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</si>
  <si>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</si>
  <si>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</si>
  <si>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</si>
  <si>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</si>
  <si>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</si>
  <si>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</si>
  <si>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</si>
  <si>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</si>
  <si>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</si>
  <si>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</si>
  <si>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</si>
  <si>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</si>
  <si>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</si>
  <si>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</si>
  <si>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</si>
  <si>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</si>
  <si>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</si>
  <si>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</si>
  <si>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</si>
  <si>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</si>
  <si>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</si>
  <si>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</si>
  <si>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</si>
  <si>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</si>
  <si>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</si>
  <si>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</si>
  <si>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</si>
  <si>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</si>
  <si>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</si>
  <si>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</si>
  <si>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</si>
  <si>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</si>
  <si>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</si>
  <si>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</si>
  <si>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</si>
  <si>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</si>
  <si>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</si>
  <si>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</si>
  <si>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</si>
  <si>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</si>
  <si>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</si>
  <si>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</si>
  <si>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</si>
  <si>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</si>
  <si>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</si>
  <si>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</si>
  <si>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</si>
  <si>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</si>
  <si>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</si>
  <si>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</si>
  <si>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</si>
  <si>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</si>
  <si>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</si>
  <si>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</si>
  <si>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</si>
  <si>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</si>
  <si>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</si>
  <si>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</si>
  <si>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</si>
  <si>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</si>
  <si>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</si>
  <si>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</si>
  <si>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</si>
  <si>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</si>
  <si>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</si>
  <si>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</si>
  <si>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</si>
  <si>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</si>
  <si>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</si>
  <si>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</si>
  <si>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</si>
  <si>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</si>
  <si>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</si>
  <si>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</si>
  <si>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</si>
  <si>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</si>
  <si>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</si>
  <si>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</si>
  <si>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</si>
  <si>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</si>
  <si>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</si>
  <si>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</si>
  <si>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</si>
  <si>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</si>
  <si>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</si>
  <si>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</si>
  <si>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</si>
  <si>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</si>
  <si>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</si>
  <si>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</si>
  <si>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</si>
  <si>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</si>
  <si>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</si>
  <si>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</si>
  <si>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</si>
  <si>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</si>
  <si>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</si>
  <si>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</si>
  <si>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</si>
  <si>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</si>
  <si>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</si>
  <si>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</si>
  <si>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</si>
  <si>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</si>
  <si>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</si>
  <si>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</si>
  <si>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</si>
  <si>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</si>
  <si>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</si>
  <si>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</si>
  <si>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</si>
  <si>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</si>
  <si>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</si>
  <si>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</si>
  <si>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</si>
  <si>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</si>
  <si>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</si>
  <si>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</si>
  <si>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</si>
  <si>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</si>
  <si>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</si>
  <si>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</si>
  <si>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</si>
  <si>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</si>
  <si>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</si>
  <si>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</si>
  <si>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</si>
  <si>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</si>
  <si>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</si>
  <si>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</si>
  <si>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</si>
  <si>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</si>
  <si>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</si>
  <si>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</si>
  <si>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</si>
  <si>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</si>
  <si>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</si>
  <si>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</si>
  <si>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</si>
  <si>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</si>
  <si>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</si>
  <si>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</si>
  <si>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</si>
  <si>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</si>
  <si>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</si>
  <si>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</si>
  <si>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</si>
  <si>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</si>
  <si>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</si>
  <si>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</si>
  <si>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</si>
  <si>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</si>
  <si>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</si>
  <si>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</si>
  <si>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</si>
  <si>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</si>
  <si>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</si>
  <si>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</si>
  <si>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</si>
  <si>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</si>
  <si>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</si>
  <si>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</si>
  <si>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</si>
  <si>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</si>
  <si>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</si>
  <si>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</si>
  <si>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</si>
  <si>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</si>
  <si>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</si>
  <si>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</si>
  <si>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</si>
  <si>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</si>
  <si>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</si>
  <si>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</si>
  <si>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</si>
  <si>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</si>
  <si>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</si>
  <si>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</si>
  <si>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</si>
  <si>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</si>
  <si>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</si>
  <si>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</si>
  <si>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</si>
  <si>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</si>
  <si>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</si>
  <si>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</si>
  <si>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</si>
  <si>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</si>
  <si>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</si>
  <si>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</si>
  <si>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</si>
  <si>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</si>
  <si>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</si>
  <si>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</si>
  <si>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</si>
  <si>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</si>
  <si>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</si>
  <si>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</si>
  <si>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</si>
  <si>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</si>
  <si>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</si>
  <si>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</si>
  <si>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</si>
  <si>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</si>
  <si>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</si>
  <si>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</si>
  <si>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</si>
  <si>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</si>
  <si>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</si>
  <si>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</si>
  <si>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</si>
  <si>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</si>
  <si>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</si>
  <si>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</si>
  <si>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</si>
  <si>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</si>
  <si>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</si>
  <si>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</si>
  <si>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</si>
  <si>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</si>
  <si>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</si>
  <si>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</si>
  <si>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</si>
  <si>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</si>
  <si>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</si>
  <si>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</si>
  <si>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</si>
  <si>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</si>
  <si>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</si>
  <si>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</si>
  <si>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</si>
  <si>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</si>
  <si>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</si>
  <si>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</si>
  <si>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</si>
  <si>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</si>
  <si>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</si>
  <si>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</si>
  <si>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</si>
  <si>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</si>
  <si>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</si>
  <si>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</si>
  <si>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</si>
  <si>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</si>
  <si>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</si>
  <si>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</si>
  <si>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</si>
  <si>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</si>
  <si>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</si>
  <si>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</si>
  <si>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</si>
  <si>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</si>
  <si>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</si>
  <si>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</si>
  <si>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</si>
  <si>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</si>
  <si>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</si>
  <si>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</si>
  <si>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</si>
  <si>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</si>
  <si>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</si>
  <si>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</si>
  <si>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</si>
  <si>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</si>
  <si>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</si>
  <si>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</si>
  <si>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</si>
  <si>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</si>
  <si>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</si>
  <si>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</si>
  <si>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</si>
  <si>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</si>
  <si>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</si>
  <si>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</si>
  <si>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</si>
  <si>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</si>
  <si>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</si>
  <si>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</si>
  <si>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</si>
  <si>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</si>
  <si>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</si>
  <si>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</si>
  <si>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</si>
  <si>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</si>
  <si>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</si>
  <si>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</si>
  <si>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</si>
  <si>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</si>
  <si>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</si>
  <si>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</si>
  <si>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</si>
  <si>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</si>
  <si>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</si>
  <si>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</si>
  <si>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</si>
  <si>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</si>
  <si>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</si>
  <si>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</si>
  <si>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</si>
  <si>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</si>
  <si>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</si>
  <si>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</si>
  <si>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</si>
  <si>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</si>
  <si>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</si>
  <si>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</si>
  <si>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</si>
  <si>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</si>
  <si>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</si>
  <si>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</si>
  <si>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</si>
  <si>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</si>
  <si>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</si>
  <si>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</si>
  <si>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</si>
  <si>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</si>
  <si>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</si>
  <si>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</si>
  <si>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</si>
  <si>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</si>
  <si>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</si>
  <si>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</si>
  <si>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</si>
  <si>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</si>
  <si>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</si>
  <si>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</si>
  <si>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</si>
  <si>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</si>
  <si>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</si>
  <si>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</si>
  <si>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</si>
  <si>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</si>
  <si>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</si>
  <si>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</si>
  <si>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</si>
  <si>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</si>
  <si>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</si>
  <si>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</si>
  <si>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</si>
  <si>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</si>
  <si>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</si>
  <si>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</si>
  <si>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</si>
  <si>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</si>
  <si>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</si>
  <si>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</si>
  <si>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</si>
  <si>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</si>
  <si>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</si>
  <si>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</si>
  <si>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</si>
  <si>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</si>
  <si>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</si>
  <si>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</si>
  <si>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</si>
  <si>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</si>
  <si>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</si>
  <si>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</si>
  <si>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</si>
  <si>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</si>
  <si>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</si>
  <si>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</si>
  <si>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</si>
  <si>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</si>
  <si>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</si>
  <si>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</si>
  <si>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</si>
  <si>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</si>
  <si>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</si>
  <si>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</si>
  <si>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</si>
  <si>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</si>
  <si>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</si>
  <si>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</si>
  <si>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</si>
  <si>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</si>
  <si>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</si>
  <si>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</si>
  <si>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</si>
  <si>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</si>
  <si>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</si>
  <si>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</si>
  <si>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</si>
  <si>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</si>
  <si>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</si>
  <si>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</si>
  <si>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</si>
  <si>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</si>
  <si>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</si>
  <si>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</si>
  <si>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</si>
  <si>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</si>
  <si>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</si>
  <si>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</si>
  <si>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</si>
  <si>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</si>
  <si>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</si>
  <si>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</si>
  <si>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</si>
  <si>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</si>
  <si>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</si>
  <si>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</si>
  <si>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</si>
  <si>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</si>
  <si>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</si>
  <si>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</si>
  <si>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</si>
  <si>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</si>
  <si>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</si>
  <si>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</si>
  <si>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</si>
  <si>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</si>
  <si>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</si>
  <si>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</si>
  <si>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</si>
  <si>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</si>
  <si>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</si>
  <si>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</si>
  <si>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</si>
  <si>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</si>
  <si>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</si>
  <si>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</si>
  <si>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</si>
  <si>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</si>
  <si>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</si>
  <si>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</si>
  <si>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</si>
  <si>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</si>
  <si>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</si>
  <si>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</si>
  <si>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</si>
  <si>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</si>
  <si>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</si>
  <si>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</si>
  <si>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</si>
  <si>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</si>
  <si>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</si>
  <si>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</si>
  <si>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</si>
  <si>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</si>
  <si>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</si>
  <si>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</si>
  <si>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</si>
  <si>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</si>
  <si>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</si>
  <si>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</si>
  <si>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</si>
  <si>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</si>
  <si>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</si>
  <si>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</si>
  <si>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</si>
  <si>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</si>
  <si>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</si>
  <si>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</si>
  <si>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</si>
  <si>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</si>
  <si>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</si>
  <si>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</si>
  <si>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</si>
  <si>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</si>
  <si>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</si>
  <si>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</si>
  <si>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</si>
  <si>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</si>
  <si>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</si>
  <si>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</si>
  <si>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</si>
  <si>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</si>
  <si>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</si>
  <si>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</si>
  <si>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</si>
  <si>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</si>
  <si>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</si>
  <si>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</si>
  <si>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</si>
  <si>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</si>
  <si>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</si>
  <si>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</si>
  <si>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</si>
  <si>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</si>
  <si>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</si>
  <si>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</si>
  <si>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</si>
  <si>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</si>
  <si>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</si>
  <si>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</si>
  <si>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</si>
  <si>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</si>
  <si>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</si>
  <si>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</si>
  <si>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</si>
  <si>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</si>
  <si>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</si>
  <si>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</si>
  <si>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</si>
  <si>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</si>
  <si>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</si>
  <si>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</si>
  <si>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</si>
  <si>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</si>
  <si>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</si>
  <si>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</si>
  <si>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</si>
  <si>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</si>
  <si>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</si>
  <si>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</si>
  <si>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</si>
  <si>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</si>
  <si>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</si>
  <si>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</si>
  <si>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</si>
  <si>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</si>
  <si>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</si>
  <si>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</si>
  <si>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</si>
  <si>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</si>
  <si>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</si>
  <si>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</si>
  <si>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</si>
  <si>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</si>
  <si>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</si>
  <si>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</si>
  <si>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</si>
  <si>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</si>
  <si>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</si>
  <si>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</si>
  <si>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</si>
  <si>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</si>
  <si>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</si>
  <si>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</si>
  <si>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</si>
  <si>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</si>
  <si>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</si>
  <si>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</si>
  <si>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</si>
  <si>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</si>
  <si>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</si>
  <si>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</si>
  <si>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</si>
  <si>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</si>
  <si>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</si>
  <si>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</si>
  <si>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</si>
  <si>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</si>
  <si>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</si>
  <si>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</si>
  <si>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</si>
  <si>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</si>
  <si>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</si>
  <si>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</si>
  <si>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</si>
  <si>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</si>
  <si>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</si>
  <si>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</si>
  <si>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</si>
  <si>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</si>
  <si>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</si>
  <si>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</si>
  <si>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</si>
  <si>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</si>
  <si>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</si>
  <si>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</si>
  <si>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</si>
  <si>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</si>
  <si>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</si>
  <si>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</si>
  <si>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</si>
  <si>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</si>
  <si>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</si>
  <si>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</si>
  <si>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</si>
  <si>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</si>
  <si>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</si>
  <si>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</si>
  <si>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</si>
  <si>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</si>
  <si>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</si>
  <si>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</si>
  <si>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</si>
  <si>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</si>
  <si>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</si>
  <si>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</si>
  <si>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</si>
  <si>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</si>
  <si>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</si>
  <si>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</si>
  <si>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</si>
  <si>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</si>
  <si>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</si>
  <si>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</si>
  <si>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</si>
  <si>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</si>
  <si>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</si>
  <si>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</si>
  <si>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</si>
  <si>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</si>
  <si>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</si>
  <si>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</si>
  <si>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</si>
  <si>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</si>
  <si>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</si>
  <si>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</si>
  <si>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</si>
  <si>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</si>
  <si>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</si>
  <si>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</si>
  <si>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</si>
  <si>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</si>
  <si>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</si>
  <si>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</si>
  <si>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</si>
  <si>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</si>
  <si>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</si>
  <si>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</si>
  <si>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</si>
  <si>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</si>
  <si>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</si>
  <si>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</si>
  <si>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</si>
  <si>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</si>
  <si>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</si>
  <si>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</si>
  <si>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</si>
  <si>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</si>
  <si>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</si>
  <si>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</si>
  <si>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</si>
  <si>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</si>
  <si>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</si>
  <si>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</si>
  <si>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</si>
  <si>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</si>
  <si>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</si>
  <si>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</si>
  <si>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</si>
  <si>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</si>
  <si>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</si>
  <si>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</si>
  <si>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</si>
  <si>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</si>
  <si>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</si>
  <si>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</si>
  <si>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</si>
  <si>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</si>
  <si>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</si>
  <si>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</si>
  <si>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</si>
  <si>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</si>
  <si>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</si>
  <si>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</si>
  <si>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</si>
  <si>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</si>
  <si>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</si>
  <si>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</si>
  <si>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</si>
  <si>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</si>
  <si>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</si>
  <si>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</si>
  <si>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</si>
  <si>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</si>
  <si>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</si>
  <si>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</si>
  <si>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</si>
  <si>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</si>
  <si>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</si>
  <si>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</si>
  <si>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</si>
  <si>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</si>
  <si>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</si>
  <si>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</si>
  <si>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</si>
  <si>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</si>
  <si>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</si>
  <si>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</si>
  <si>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</si>
  <si>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</si>
  <si>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</si>
  <si>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</si>
  <si>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</si>
  <si>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</si>
  <si>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</si>
  <si>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</si>
  <si>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</si>
  <si>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</si>
  <si>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</si>
  <si>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</si>
  <si>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</si>
  <si>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</si>
  <si>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</si>
  <si>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</si>
  <si>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</si>
  <si>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</si>
  <si>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</si>
  <si>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</si>
  <si>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</si>
  <si>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</si>
  <si>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</si>
  <si>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</si>
  <si>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</si>
  <si>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</si>
  <si>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</si>
  <si>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</si>
  <si>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</si>
  <si>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</si>
  <si>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</si>
  <si>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</si>
  <si>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</si>
  <si>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</si>
  <si>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</si>
  <si>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</si>
  <si>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</si>
  <si>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</si>
  <si>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</si>
  <si>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</si>
  <si>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</si>
  <si>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</si>
  <si>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</si>
  <si>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</si>
  <si>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</si>
  <si>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</si>
  <si>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</si>
  <si>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</si>
  <si>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</si>
  <si>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</si>
  <si>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</si>
  <si>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</si>
  <si>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</si>
  <si>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</si>
  <si>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</si>
  <si>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</si>
  <si>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</si>
  <si>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</si>
  <si>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</si>
  <si>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</si>
  <si>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</si>
  <si>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</si>
  <si>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</si>
  <si>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</si>
  <si>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</si>
  <si>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</si>
  <si>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</si>
  <si>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</si>
  <si>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</si>
  <si>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</si>
  <si>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</si>
  <si>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</si>
  <si>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</si>
  <si>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</si>
  <si>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</si>
  <si>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</si>
  <si>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</si>
  <si>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</si>
  <si>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</si>
  <si>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</si>
  <si>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</si>
  <si>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</si>
  <si>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</si>
  <si>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</si>
  <si>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</si>
  <si>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</si>
  <si>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</si>
  <si>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</si>
  <si>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</si>
  <si>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</si>
  <si>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</si>
  <si>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</si>
  <si>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</si>
  <si>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</si>
  <si>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</si>
  <si>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</si>
  <si>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</si>
  <si>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</si>
  <si>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</si>
  <si>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</si>
  <si>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</si>
  <si>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</si>
  <si>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</si>
  <si>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</si>
  <si>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</si>
  <si>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</si>
  <si>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</si>
  <si>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</si>
  <si>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</si>
  <si>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</si>
  <si>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</si>
  <si>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</si>
  <si>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</si>
  <si>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</si>
  <si>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</si>
  <si>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</si>
  <si>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</si>
  <si>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</si>
  <si>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</si>
  <si>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</si>
  <si>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</si>
  <si>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</si>
  <si>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</si>
  <si>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</si>
  <si>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</si>
  <si>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</si>
  <si>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</si>
  <si>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</si>
  <si>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</si>
  <si>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</si>
  <si>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</si>
  <si>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</si>
  <si>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</si>
  <si>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</si>
  <si>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</si>
  <si>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</si>
  <si>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</si>
  <si>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</si>
  <si>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</si>
  <si>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</si>
  <si>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</si>
  <si>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</si>
  <si>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</si>
  <si>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</si>
  <si>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</si>
  <si>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</si>
  <si>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</si>
  <si>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</si>
  <si>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</si>
  <si>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</si>
  <si>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</si>
  <si>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</si>
  <si>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</si>
  <si>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</si>
  <si>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</si>
  <si>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</si>
  <si>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</si>
  <si>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</si>
  <si>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</si>
  <si>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</si>
  <si>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</si>
  <si>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</si>
  <si>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</si>
  <si>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</si>
  <si>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</si>
  <si>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</si>
  <si>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</si>
  <si>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</si>
  <si>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</si>
  <si>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</si>
  <si>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</si>
  <si>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</si>
  <si>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</si>
  <si>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</si>
  <si>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</si>
  <si>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</si>
  <si>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</si>
  <si>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</si>
  <si>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</si>
  <si>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</si>
  <si>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</si>
  <si>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</si>
  <si>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</si>
  <si>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</si>
  <si>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</si>
  <si>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</si>
  <si>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</si>
  <si>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</si>
  <si>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</si>
  <si>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</si>
  <si>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</si>
  <si>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</si>
  <si>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</si>
  <si>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</si>
  <si>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</si>
  <si>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</si>
  <si>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</si>
  <si>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</si>
  <si>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</si>
  <si>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</si>
  <si>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</si>
  <si>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</si>
  <si>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</si>
  <si>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</si>
  <si>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</si>
  <si>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</si>
  <si>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</si>
  <si>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</si>
  <si>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</si>
  <si>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</si>
  <si>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</si>
  <si>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</si>
  <si>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</si>
  <si>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</si>
  <si>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</si>
  <si>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</si>
  <si>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</si>
  <si>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</si>
  <si>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</si>
  <si>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</si>
  <si>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</si>
  <si>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</si>
  <si>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</si>
  <si>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</si>
  <si>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</si>
  <si>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</si>
  <si>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</si>
  <si>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</si>
  <si>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</si>
  <si>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</si>
  <si>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</si>
  <si>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</si>
  <si>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</si>
  <si>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</si>
  <si>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</si>
  <si>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</si>
  <si>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</si>
  <si>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</si>
  <si>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</si>
  <si>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</si>
  <si>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</si>
  <si>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</si>
  <si>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</si>
  <si>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</si>
  <si>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</si>
  <si>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</si>
  <si>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</si>
  <si>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</si>
  <si>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</si>
  <si>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</si>
  <si>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</si>
  <si>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</si>
  <si>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</si>
  <si>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</si>
  <si>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</si>
  <si>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</si>
  <si>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</si>
  <si>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</si>
  <si>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</si>
  <si>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</si>
  <si>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</si>
  <si>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</si>
  <si>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</si>
  <si>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</si>
  <si>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</si>
  <si>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</si>
  <si>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</si>
  <si>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</si>
  <si>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</si>
  <si>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</si>
  <si>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</si>
  <si>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</si>
  <si>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</si>
  <si>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</si>
  <si>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</si>
  <si>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</si>
  <si>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</si>
  <si>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</si>
  <si>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</si>
  <si>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</si>
  <si>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</si>
  <si>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</si>
  <si>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</si>
  <si>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</si>
  <si>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</si>
  <si>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</si>
  <si>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</si>
  <si>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</si>
  <si>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</si>
  <si>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</si>
  <si>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</si>
  <si>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</si>
  <si>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</si>
  <si>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</si>
  <si>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</si>
  <si>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</si>
  <si>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</si>
  <si>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</si>
  <si>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</si>
  <si>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</si>
  <si>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</si>
  <si>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</si>
  <si>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</si>
  <si>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</si>
  <si>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</si>
  <si>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</si>
  <si>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</si>
  <si>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</si>
  <si>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</si>
  <si>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</si>
  <si>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</si>
  <si>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</si>
  <si>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</si>
  <si>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</si>
  <si>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</si>
  <si>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</si>
  <si>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</si>
  <si>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</si>
  <si>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</si>
  <si>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</si>
  <si>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</si>
  <si>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</si>
  <si>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</si>
  <si>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</si>
  <si>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</si>
  <si>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</si>
  <si>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</si>
  <si>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</si>
  <si>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</si>
  <si>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</si>
  <si>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</si>
  <si>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</si>
  <si>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</si>
  <si>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</si>
  <si>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</si>
  <si>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</si>
  <si>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</si>
  <si>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</si>
  <si>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</si>
  <si>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</si>
  <si>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</si>
  <si>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</si>
  <si>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</si>
  <si>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</si>
  <si>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</si>
  <si>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</si>
  <si>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</si>
  <si>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</si>
  <si>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</si>
  <si>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</si>
  <si>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</si>
  <si>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</si>
  <si>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</si>
  <si>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</si>
  <si>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</si>
  <si>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</si>
  <si>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</si>
  <si>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</si>
  <si>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</si>
  <si>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</si>
  <si>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</si>
  <si>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</si>
  <si>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</si>
  <si>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</si>
  <si>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</si>
  <si>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</si>
  <si>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</si>
  <si>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</si>
  <si>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</si>
  <si>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</si>
  <si>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</si>
  <si>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</si>
  <si>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</si>
  <si>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</si>
  <si>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</si>
  <si>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</si>
  <si>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</si>
  <si>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</si>
  <si>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</si>
  <si>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</si>
  <si>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</si>
  <si>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</si>
  <si>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</si>
  <si>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</si>
  <si>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</si>
  <si>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</si>
  <si>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</si>
  <si>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</si>
  <si>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</si>
  <si>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</si>
  <si>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</si>
  <si>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</si>
  <si>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</si>
  <si>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</si>
  <si>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</si>
  <si>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</si>
  <si>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</si>
  <si>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</si>
  <si>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</si>
  <si>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</si>
  <si>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</si>
  <si>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</si>
  <si>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</si>
  <si>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</si>
  <si>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</si>
  <si>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</si>
  <si>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</si>
  <si>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</si>
  <si>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</si>
  <si>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</si>
  <si>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</si>
  <si>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</si>
  <si>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</si>
  <si>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</si>
  <si>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</si>
  <si>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</si>
  <si>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</si>
  <si>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</si>
  <si>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</si>
  <si>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</si>
  <si>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</si>
  <si>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</si>
  <si>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</si>
  <si>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</si>
  <si>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</si>
  <si>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</si>
  <si>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</si>
  <si>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</si>
  <si>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</si>
  <si>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</si>
  <si>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</si>
  <si>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</si>
  <si>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</si>
  <si>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</si>
  <si>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</si>
  <si>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</si>
  <si>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</si>
  <si>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</si>
  <si>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</si>
  <si>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</si>
  <si>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</si>
  <si>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</si>
  <si>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</si>
  <si>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</si>
  <si>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</si>
  <si>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</si>
  <si>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</si>
  <si>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</si>
  <si>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</si>
  <si>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</si>
  <si>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</si>
  <si>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</si>
  <si>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</si>
  <si>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</si>
  <si>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</si>
  <si>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</si>
  <si>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</si>
  <si>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</si>
  <si>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</si>
  <si>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</si>
  <si>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</si>
  <si>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</si>
  <si>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</si>
  <si>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</si>
  <si>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</si>
  <si>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</si>
  <si>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</si>
  <si>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</si>
  <si>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</si>
  <si>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</si>
  <si>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</si>
  <si>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</si>
  <si>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</si>
  <si>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</si>
  <si>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</si>
  <si>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</si>
  <si>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</si>
  <si>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r>
      <t>A#</t>
    </r>
    <r>
      <rPr>
        <sz val="10"/>
        <color indexed="8"/>
        <rFont val="宋体"/>
        <family val="3"/>
        <charset val="134"/>
      </rPr>
      <t>办公楼</t>
    </r>
    <phoneticPr fontId="3" type="noConversion"/>
  </si>
  <si>
    <t>是</t>
  </si>
  <si>
    <r>
      <t>B#</t>
    </r>
    <r>
      <rPr>
        <sz val="10"/>
        <color indexed="8"/>
        <rFont val="宋体"/>
        <family val="3"/>
        <charset val="134"/>
      </rPr>
      <t>办公楼</t>
    </r>
    <phoneticPr fontId="3" type="noConversion"/>
  </si>
  <si>
    <t>地上</t>
  </si>
  <si>
    <r>
      <t>C#</t>
    </r>
    <r>
      <rPr>
        <sz val="10"/>
        <color indexed="8"/>
        <rFont val="宋体"/>
        <family val="3"/>
        <charset val="134"/>
      </rPr>
      <t>服务型公寓楼</t>
    </r>
    <phoneticPr fontId="3" type="noConversion"/>
  </si>
  <si>
    <t>公寓</t>
  </si>
  <si>
    <r>
      <t>D#</t>
    </r>
    <r>
      <rPr>
        <sz val="10"/>
        <color indexed="8"/>
        <rFont val="宋体"/>
        <family val="3"/>
        <charset val="134"/>
      </rPr>
      <t>服务型公寓</t>
    </r>
    <phoneticPr fontId="3" type="noConversion"/>
  </si>
  <si>
    <r>
      <t>1#</t>
    </r>
    <r>
      <rPr>
        <sz val="10"/>
        <color indexed="8"/>
        <rFont val="宋体"/>
        <family val="3"/>
        <charset val="134"/>
      </rPr>
      <t>地库</t>
    </r>
    <phoneticPr fontId="3" type="noConversion"/>
  </si>
  <si>
    <t>地下</t>
  </si>
  <si>
    <r>
      <t>2#</t>
    </r>
    <r>
      <rPr>
        <sz val="11"/>
        <color indexed="8"/>
        <rFont val="宋体"/>
        <family val="3"/>
        <charset val="134"/>
      </rPr>
      <t>地库</t>
    </r>
    <phoneticPr fontId="3" type="noConversion"/>
  </si>
  <si>
    <t>办公</t>
    <phoneticPr fontId="7" type="noConversion"/>
  </si>
  <si>
    <t>商业</t>
    <phoneticPr fontId="7" type="noConversion"/>
  </si>
  <si>
    <t>公寓</t>
    <phoneticPr fontId="7" type="noConversion"/>
  </si>
  <si>
    <t>地下车库</t>
  </si>
  <si>
    <t>地下车库</t>
    <phoneticPr fontId="7" type="noConversion"/>
  </si>
  <si>
    <t>利息：取LPR加浮动点数</t>
  </si>
  <si>
    <t>工程进度</t>
  </si>
  <si>
    <t>商务金融用地</t>
  </si>
  <si>
    <t>宗地容积率</t>
  </si>
  <si>
    <t>通路</t>
  </si>
  <si>
    <t>通电</t>
  </si>
  <si>
    <t>通讯</t>
  </si>
  <si>
    <t>通上水</t>
  </si>
  <si>
    <t>通下水</t>
  </si>
  <si>
    <t>燃气</t>
  </si>
  <si>
    <t>平整</t>
  </si>
  <si>
    <t>与级别开发程度不一致</t>
  </si>
  <si>
    <t>较好</t>
  </si>
  <si>
    <t>好</t>
  </si>
  <si>
    <t>成本法</t>
  </si>
  <si>
    <t>假设开发法</t>
  </si>
  <si>
    <t>在建</t>
  </si>
  <si>
    <t>项目全部</t>
  </si>
  <si>
    <t>总价</t>
  </si>
  <si>
    <t>成本比率</t>
  </si>
  <si>
    <t>仅含出让金</t>
  </si>
  <si>
    <t>未包含在土地购买价格中</t>
  </si>
  <si>
    <t>全部缴纳</t>
  </si>
  <si>
    <t>已包含在土地取得成本中</t>
  </si>
  <si>
    <t>在建（套用方法）</t>
  </si>
  <si>
    <t>押一</t>
  </si>
  <si>
    <t>收益法</t>
  </si>
  <si>
    <t>钢混</t>
  </si>
  <si>
    <t>非生产用房</t>
  </si>
  <si>
    <t>否</t>
  </si>
  <si>
    <t>收益法(商业)</t>
  </si>
  <si>
    <t>收益法(商业)</t>
    <phoneticPr fontId="16" type="noConversion"/>
  </si>
  <si>
    <t>收益法(车库)</t>
  </si>
  <si>
    <t>收益法(车库)</t>
    <phoneticPr fontId="16" type="noConversion"/>
  </si>
  <si>
    <t>自定义</t>
  </si>
  <si>
    <t>收益法(公寓)</t>
  </si>
  <si>
    <t>收益法(公寓)</t>
    <phoneticPr fontId="16" type="noConversion"/>
  </si>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</sst>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北京市出让国有建设用地使用权及在建建筑物房地产抵押价值预评估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受贵公司委托，我公司对北京市出让国有建设用地使用权及在建建筑物房地产抵押价值进行了预评估。</v>
      </c>
    </row>
    <row r="7" spans="1:2" s="1203" customFormat="1">
      <c r="A7" s="1201" t="s">
        <v>566</v>
      </c>
      <c r="B7" s="1202" t="str">
        <f>'预评函-1'!A7</f>
        <v>估价对象为北京市出让国有建设用地使用权及在建建筑物房地产，为所有。根据《国有土地使用证》[]，估价对象（分摊）出让国有建设用地使用权面积为25131.21平方米，建筑面积为205240.05平方米。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出让国有建设用地使用权及在建建筑物房地产,为开发建设的，该项目尚在开发建设中。根据《国有土地使用证》[]，估价对象（分摊）出让国有建设用地使用权面积为25131.21平方米，规划建筑面积为205240.05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2023年4月21日</v>
      </c>
    </row>
    <row r="13" spans="1:2" s="1203" customFormat="1">
      <c r="A13" s="1201" t="s">
        <v>529</v>
      </c>
      <c r="B13" s="1202" t="str">
        <f>'预评函-1'!A18</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551459</v>
      </c>
    </row>
    <row r="21" spans="1:2" s="1203" customFormat="1">
      <c r="A21" s="1201" t="s">
        <v>537</v>
      </c>
      <c r="B21" s="1202">
        <f ca="1">'预评函-2'!D7</f>
        <v>26869</v>
      </c>
    </row>
    <row r="22" spans="1:2" s="1203" customFormat="1">
      <c r="A22" s="1201" t="s">
        <v>538</v>
      </c>
      <c r="B22" s="1202" t="str">
        <f ca="1">'预评函-2'!D6</f>
        <v>伍拾伍亿壹仟肆佰伍拾玖万元整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551459</v>
      </c>
    </row>
    <row r="31" spans="1:2" s="1203" customFormat="1">
      <c r="A31" s="1201" t="s">
        <v>576</v>
      </c>
      <c r="B31" s="1202">
        <f ca="1">'预评函-2'!D15</f>
        <v>26869</v>
      </c>
    </row>
    <row r="32" spans="1:2" s="1203" customFormat="1">
      <c r="A32" s="1201" t="s">
        <v>543</v>
      </c>
      <c r="B32" s="1202" t="str">
        <f ca="1">'预评函-2'!D14</f>
        <v>伍拾伍亿壹仟肆佰伍拾玖万元整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521772</v>
      </c>
    </row>
    <row r="39" spans="1:2" s="1203" customFormat="1">
      <c r="A39" s="1201" t="s">
        <v>545</v>
      </c>
      <c r="B39" s="1202">
        <f ca="1">'预评函-2'!D21</f>
        <v>25423</v>
      </c>
    </row>
    <row r="40" spans="1:2" s="1203" customFormat="1">
      <c r="A40" s="1201" t="s">
        <v>546</v>
      </c>
      <c r="B40" s="1202" t="str">
        <f ca="1">'预评函-2'!D20</f>
        <v>伍拾贰亿壹仟柒佰柒拾贰万元整</v>
      </c>
    </row>
    <row r="41" spans="1:2" s="1203" customFormat="1">
      <c r="A41" s="1201" t="s">
        <v>592</v>
      </c>
      <c r="B41" s="1202" t="str">
        <f>'预评函-3'!A4</f>
        <v>北京市出让国有建设用地使用权及在建建筑物房地产</v>
      </c>
    </row>
    <row r="42" spans="1:2" s="1203" customFormat="1">
      <c r="A42" s="1201" t="s">
        <v>590</v>
      </c>
      <c r="B42" s="1202" t="str">
        <f>'预评函-3'!B2</f>
        <v>建筑面积</v>
      </c>
    </row>
    <row r="43" spans="1:2" s="1203" customFormat="1">
      <c r="A43" s="1201" t="s">
        <v>591</v>
      </c>
      <c r="B43" s="1202">
        <f>'预评函-3'!B4</f>
        <v>205240.05</v>
      </c>
    </row>
    <row r="44" spans="1:2" s="1203" customFormat="1">
      <c r="A44" s="1201" t="s">
        <v>575</v>
      </c>
      <c r="B44" s="1202" t="str">
        <f>'预评函-3'!C2</f>
        <v>(分摊)土地面积</v>
      </c>
    </row>
    <row r="45" spans="1:2" s="1203" customFormat="1">
      <c r="A45" s="1201" t="s">
        <v>547</v>
      </c>
      <c r="B45" s="1202">
        <f>'预评函-3'!C4</f>
        <v>25131.21</v>
      </c>
    </row>
    <row r="46" spans="1:2" s="1203" customFormat="1">
      <c r="A46" s="1201" t="s">
        <v>573</v>
      </c>
      <c r="B46" s="1202" t="str">
        <f>'预评函-3'!D2</f>
        <v>出让国有建设用地使用权价值</v>
      </c>
    </row>
    <row r="47" spans="1:2" s="1203" customFormat="1">
      <c r="A47" s="1201" t="s">
        <v>548</v>
      </c>
      <c r="B47" s="1202">
        <f ca="1">'预评函-3'!D4</f>
        <v>409734</v>
      </c>
    </row>
    <row r="48" spans="1:2" s="1203" customFormat="1">
      <c r="A48" s="1201" t="s">
        <v>549</v>
      </c>
      <c r="B48" s="1202">
        <f ca="1">'预评函-3'!E4</f>
        <v>19964</v>
      </c>
    </row>
    <row r="49" spans="1:2" s="1203" customFormat="1">
      <c r="A49" s="1201" t="s">
        <v>550</v>
      </c>
      <c r="B49" s="1202" t="str">
        <f ca="1">'预评函-3'!D5</f>
        <v>肆拾亿玖仟柒佰叁拾肆万元整</v>
      </c>
    </row>
    <row r="50" spans="1:2" s="1203" customFormat="1">
      <c r="A50" s="1201" t="s">
        <v>574</v>
      </c>
      <c r="B50" s="1202" t="str">
        <f>'预评函-3'!F2</f>
        <v>在建建筑物价值</v>
      </c>
    </row>
    <row r="51" spans="1:2" s="1203" customFormat="1">
      <c r="A51" s="1201" t="s">
        <v>551</v>
      </c>
      <c r="B51" s="1202">
        <f ca="1">'预评函-3'!F4</f>
        <v>141725</v>
      </c>
    </row>
    <row r="52" spans="1:2" s="1203" customFormat="1">
      <c r="A52" s="1201" t="s">
        <v>552</v>
      </c>
      <c r="B52" s="1202">
        <f ca="1">'预评函-3'!G4</f>
        <v>6905</v>
      </c>
    </row>
    <row r="53" spans="1:2" s="1203" customFormat="1">
      <c r="A53" s="1201" t="s">
        <v>580</v>
      </c>
      <c r="B53" s="1202" t="str">
        <f ca="1">'预评函-3'!F5</f>
        <v>壹拾肆亿壹仟柒佰贰拾伍万元整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2" sqref="D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3427</v>
      </c>
      <c r="C19" s="1547"/>
    </row>
    <row r="20" spans="1:3">
      <c r="A20" s="1546" t="s">
        <v>1048</v>
      </c>
      <c r="B20" s="1546" t="s">
        <v>3429</v>
      </c>
      <c r="C20" s="1547"/>
    </row>
    <row r="21" spans="1:3">
      <c r="A21" s="1546" t="s">
        <v>1049</v>
      </c>
      <c r="B21" s="1546" t="s">
        <v>3432</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02" t="s">
        <v>2582</v>
      </c>
      <c r="J2" s="3502"/>
      <c r="K2" s="3502"/>
      <c r="L2" s="3502"/>
      <c r="M2" s="3502"/>
      <c r="N2" s="3502"/>
      <c r="O2" s="3502"/>
      <c r="P2" s="3502"/>
      <c r="Q2" s="3502"/>
      <c r="R2" s="3502"/>
    </row>
    <row r="3" spans="1:18">
      <c r="A3" s="3020" t="s">
        <v>2503</v>
      </c>
      <c r="B3" s="3021">
        <f>项目基本情况!D3</f>
        <v>45037</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3.66</v>
      </c>
      <c r="D5" s="3025">
        <f>IF(ISERROR(ROUND(POWER(1+E5,A5-C5)*(POWER(1+E5,C5)-1)/(POWER(1+E5,A5)-1),3)),0,ROUND(POWER(1+E5,A5-C5)*(POWER(1+E5,C5)-1)/(POWER(1+E5,A5)-1),4))</f>
        <v>0.16889999999999999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13.67</v>
      </c>
      <c r="D6" s="3025">
        <f>IF(ISERROR(ROUND(POWER(1+E6,A6-C6)*(POWER(1+E6,C6)-1)/(POWER(1+E6,A6)-1),3)),0,ROUND(POWER(1+E6,A6-C6)*(POWER(1+E6,C6)-1)/(POWER(1+E6,A6)-1),4))</f>
        <v>0.48299999999999998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33.68</v>
      </c>
      <c r="D7" s="3025">
        <f>IF(ISERROR(ROUND(POWER(1+E7,A7-C7)*(POWER(1+E7,C7)-1)/(POWER(1+E7,A7)-1),3)),0,ROUND(POWER(1+E7,A7-C7)*(POWER(1+E7,C7)-1)/(POWER(1+E7,A7)-1),4))</f>
        <v>0.78339999999999999</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北京市出让国有建设用地使用权及在建建筑物房地产</v>
      </c>
      <c r="T2" s="1745"/>
      <c r="U2" s="1745"/>
      <c r="V2" s="1745"/>
      <c r="W2" s="1745"/>
      <c r="X2" s="1745"/>
      <c r="Y2" s="1745"/>
      <c r="Z2" s="1745"/>
      <c r="AA2" s="1745"/>
      <c r="AB2" s="1745"/>
    </row>
    <row r="3" spans="1:30">
      <c r="A3" s="302" t="s">
        <v>2169</v>
      </c>
      <c r="B3" s="2373"/>
      <c r="C3" s="2374" t="s">
        <v>2170</v>
      </c>
      <c r="D3" s="2373">
        <v>45037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3377</v>
      </c>
      <c r="C8" s="2390"/>
      <c r="D8" s="3506" t="s">
        <v>2176</v>
      </c>
      <c r="E8" s="2391" t="s">
        <v>3378</v>
      </c>
      <c r="F8" s="2392"/>
      <c r="G8" s="2663"/>
      <c r="H8" s="2663"/>
      <c r="I8" s="2663"/>
      <c r="J8" s="2439"/>
      <c r="K8" s="2614"/>
      <c r="L8" s="2613"/>
      <c r="M8" s="2613"/>
      <c r="N8" s="2439"/>
      <c r="O8" s="2450"/>
      <c r="P8" s="2439"/>
      <c r="Q8" s="2439"/>
      <c r="R8" s="2439"/>
    </row>
    <row r="9" spans="1:30" ht="13.5" thickBot="1">
      <c r="A9" s="2393" t="s">
        <v>2177</v>
      </c>
      <c r="B9" s="2394" t="s">
        <v>3378</v>
      </c>
      <c r="C9" s="2395"/>
      <c r="D9" s="3507"/>
      <c r="E9" s="2394" t="s">
        <v>587</v>
      </c>
      <c r="F9" s="2396"/>
      <c r="G9" s="2665"/>
      <c r="H9" s="2665"/>
      <c r="I9" s="2665"/>
      <c r="J9" s="2439"/>
      <c r="K9" s="2616"/>
      <c r="L9" s="2613"/>
      <c r="M9" s="2613"/>
      <c r="N9" s="2439"/>
      <c r="O9" s="2450"/>
      <c r="P9" s="2439"/>
      <c r="Q9" s="2439"/>
      <c r="R9" s="2439"/>
    </row>
    <row r="10" spans="1:30" ht="13.5" thickTop="1">
      <c r="A10" s="2397" t="s">
        <v>2178</v>
      </c>
      <c r="B10" s="2398" t="s">
        <v>3379</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3380</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3336</v>
      </c>
      <c r="B13" s="2407" t="s">
        <v>2189</v>
      </c>
      <c r="C13" s="856"/>
      <c r="D13" s="856">
        <v>57511</v>
      </c>
      <c r="E13" s="856">
        <v>61163</v>
      </c>
      <c r="F13" s="856">
        <f>E13</f>
        <v>61163</v>
      </c>
      <c r="G13" s="856"/>
      <c r="H13" s="856"/>
      <c r="I13" s="856"/>
      <c r="J13" s="3062"/>
      <c r="K13" s="2613"/>
      <c r="L13" s="2613"/>
      <c r="M13" s="2439"/>
      <c r="N13" s="2450"/>
      <c r="O13" s="2439"/>
      <c r="P13" s="2439"/>
      <c r="Q13" s="2439"/>
      <c r="AD13" s="1745"/>
    </row>
    <row r="14" spans="1:30">
      <c r="A14" s="1081"/>
      <c r="B14" s="2407" t="s">
        <v>2190</v>
      </c>
      <c r="C14" s="2408"/>
      <c r="D14" s="2408">
        <v>40</v>
      </c>
      <c r="E14" s="2408">
        <v>50</v>
      </c>
      <c r="F14" s="2408">
        <v>50</v>
      </c>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34.17</v>
      </c>
      <c r="E15" s="2410">
        <f>IF(A13="出让",IF(E13="","",ROUNDDOWN(MIN((E13-$D$3)/365,E14),2)),E14)</f>
        <v>44.18</v>
      </c>
      <c r="F15" s="2410">
        <f>IF(A13="出让",IF(F13="","",ROUNDDOWN(MIN((F13-$D$3)/365,F14),2)),F14)</f>
        <v>44.18</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3"/>
      <c r="C16" s="3514"/>
      <c r="D16" s="3515"/>
      <c r="E16" s="2413" t="s">
        <v>2193</v>
      </c>
      <c r="F16" s="3516"/>
      <c r="G16" s="3517"/>
      <c r="H16" s="3517"/>
      <c r="I16" s="3518"/>
      <c r="J16" s="2439"/>
      <c r="K16" s="2617"/>
      <c r="L16" s="2451"/>
      <c r="M16" s="2451"/>
      <c r="N16" s="2509"/>
      <c r="O16" s="2451"/>
      <c r="P16" s="2509"/>
      <c r="Q16" s="2439"/>
      <c r="R16" s="2439"/>
    </row>
    <row r="17" spans="1:28">
      <c r="A17" s="313" t="s">
        <v>2194</v>
      </c>
      <c r="B17" s="302" t="s">
        <v>2195</v>
      </c>
      <c r="C17" s="8">
        <f>'数据-汇总表'!E3</f>
        <v>205240.05</v>
      </c>
      <c r="D17" s="2322" t="s">
        <v>2196</v>
      </c>
      <c r="E17" s="3519" t="s">
        <v>2197</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25131.21</v>
      </c>
      <c r="D18" s="1092" t="s">
        <v>2200</v>
      </c>
      <c r="E18" s="3522" t="s">
        <v>2201</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9" t="s">
        <v>2205</v>
      </c>
      <c r="C20" s="3510"/>
      <c r="D20" s="3511" t="s">
        <v>2206</v>
      </c>
      <c r="E20" s="3512"/>
      <c r="F20" s="2647" t="s">
        <v>1056</v>
      </c>
      <c r="G20" s="2664"/>
      <c r="H20" s="2664"/>
      <c r="I20" s="2664"/>
      <c r="J20" s="2439"/>
      <c r="K20" s="350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2217</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5" t="s">
        <v>2227</v>
      </c>
      <c r="T34" s="2428" t="str">
        <f>NUMBERSTRING(7-K34,1)&amp;"通"</f>
        <v>七通</v>
      </c>
      <c r="U34" s="2439"/>
      <c r="V34" s="2439"/>
    </row>
    <row r="35" spans="1:30">
      <c r="A35" s="2429"/>
      <c r="B35" s="3532" t="s">
        <v>2228</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176</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27295.08</v>
      </c>
      <c r="B3" s="11">
        <f>IF(C3="否",G5-AT5,G5)</f>
        <v>222911.78</v>
      </c>
      <c r="C3" s="1580" t="s">
        <v>3382</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222911.78</v>
      </c>
      <c r="H5" s="13">
        <f t="shared" ref="H5:AT5" si="0">SUM(H13:H656)</f>
        <v>176326.11</v>
      </c>
      <c r="I5" s="13">
        <f t="shared" si="0"/>
        <v>4070.27</v>
      </c>
      <c r="J5" s="13">
        <f t="shared" si="0"/>
        <v>0</v>
      </c>
      <c r="K5" s="13">
        <f t="shared" si="0"/>
        <v>73250.87</v>
      </c>
      <c r="L5" s="13">
        <f t="shared" si="0"/>
        <v>0</v>
      </c>
      <c r="M5" s="13">
        <f t="shared" si="0"/>
        <v>77839.66</v>
      </c>
      <c r="N5" s="13">
        <f t="shared" si="0"/>
        <v>0</v>
      </c>
      <c r="O5" s="13">
        <f t="shared" si="0"/>
        <v>4941.67</v>
      </c>
      <c r="P5" s="13">
        <f t="shared" si="0"/>
        <v>0</v>
      </c>
      <c r="Q5" s="13">
        <f t="shared" si="0"/>
        <v>16223.64</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28913.940000000002</v>
      </c>
      <c r="AD5" s="13">
        <f t="shared" si="0"/>
        <v>1250.6200000000001</v>
      </c>
      <c r="AE5" s="13">
        <f t="shared" si="0"/>
        <v>0</v>
      </c>
      <c r="AF5" s="13">
        <f t="shared" si="0"/>
        <v>0</v>
      </c>
      <c r="AG5" s="13">
        <f t="shared" si="0"/>
        <v>0</v>
      </c>
      <c r="AH5" s="13">
        <f t="shared" si="0"/>
        <v>0</v>
      </c>
      <c r="AI5" s="13">
        <f t="shared" si="0"/>
        <v>0</v>
      </c>
      <c r="AJ5" s="13">
        <f t="shared" si="0"/>
        <v>0</v>
      </c>
      <c r="AK5" s="13">
        <f t="shared" si="0"/>
        <v>0</v>
      </c>
      <c r="AL5" s="13">
        <f t="shared" si="0"/>
        <v>4347.6000000000004</v>
      </c>
      <c r="AM5" s="13">
        <f t="shared" si="0"/>
        <v>0</v>
      </c>
      <c r="AN5" s="13">
        <f t="shared" si="0"/>
        <v>23315.72</v>
      </c>
      <c r="AO5" s="13">
        <f t="shared" si="0"/>
        <v>0</v>
      </c>
      <c r="AP5" s="13">
        <f t="shared" si="0"/>
        <v>0</v>
      </c>
      <c r="AQ5" s="13">
        <f t="shared" si="0"/>
        <v>0</v>
      </c>
      <c r="AR5" s="13">
        <f t="shared" si="0"/>
        <v>0</v>
      </c>
      <c r="AS5" s="13">
        <f t="shared" si="0"/>
        <v>0</v>
      </c>
      <c r="AT5" s="13">
        <f t="shared" si="0"/>
        <v>17671.730000000003</v>
      </c>
      <c r="AU5" s="1346"/>
      <c r="AV5" s="12" t="s">
        <v>1070</v>
      </c>
      <c r="AW5" s="1347"/>
      <c r="AX5" s="1347"/>
      <c r="AY5" s="14" t="s">
        <v>2</v>
      </c>
      <c r="AZ5" s="15">
        <f t="shared" ref="AZ5:BT5" si="1">SUM(AZ13:AZ656)</f>
        <v>205240.05</v>
      </c>
      <c r="BA5" s="15">
        <f t="shared" si="1"/>
        <v>176326.11</v>
      </c>
      <c r="BB5" s="15">
        <f t="shared" si="1"/>
        <v>4070.27</v>
      </c>
      <c r="BC5" s="15">
        <f t="shared" si="1"/>
        <v>73250.87</v>
      </c>
      <c r="BD5" s="15">
        <f t="shared" si="1"/>
        <v>77839.66</v>
      </c>
      <c r="BE5" s="15">
        <f t="shared" si="1"/>
        <v>4941.67</v>
      </c>
      <c r="BF5" s="15">
        <f t="shared" si="1"/>
        <v>16223.64</v>
      </c>
      <c r="BG5" s="15">
        <f t="shared" si="1"/>
        <v>0</v>
      </c>
      <c r="BH5" s="15">
        <f t="shared" si="1"/>
        <v>0</v>
      </c>
      <c r="BI5" s="15">
        <f t="shared" si="1"/>
        <v>0</v>
      </c>
      <c r="BJ5" s="15">
        <f t="shared" si="1"/>
        <v>0</v>
      </c>
      <c r="BK5" s="15">
        <f t="shared" si="1"/>
        <v>0</v>
      </c>
      <c r="BL5" s="15">
        <f t="shared" si="1"/>
        <v>28913.940000000002</v>
      </c>
      <c r="BM5" s="15">
        <f t="shared" si="1"/>
        <v>1250.6200000000001</v>
      </c>
      <c r="BN5" s="15">
        <f t="shared" si="1"/>
        <v>0</v>
      </c>
      <c r="BO5" s="15">
        <f t="shared" si="1"/>
        <v>0</v>
      </c>
      <c r="BP5" s="15">
        <f t="shared" si="1"/>
        <v>0</v>
      </c>
      <c r="BQ5" s="15">
        <f t="shared" si="1"/>
        <v>4347.6000000000004</v>
      </c>
      <c r="BR5" s="15">
        <f t="shared" si="1"/>
        <v>23315.72</v>
      </c>
      <c r="BS5" s="15">
        <f t="shared" si="1"/>
        <v>0</v>
      </c>
      <c r="BT5" s="16">
        <f t="shared" si="1"/>
        <v>0</v>
      </c>
    </row>
    <row r="6" spans="1:72" s="1589" customFormat="1" ht="12.75">
      <c r="A6" s="12" t="s">
        <v>1071</v>
      </c>
      <c r="B6" s="1586"/>
      <c r="C6" s="1586"/>
      <c r="D6" s="1587"/>
      <c r="E6" s="13">
        <f>H6+AC6+AT6</f>
        <v>27295.089999999997</v>
      </c>
      <c r="F6" s="13" t="s">
        <v>0</v>
      </c>
      <c r="G6" s="13" t="s">
        <v>1</v>
      </c>
      <c r="H6" s="17">
        <f>SUMIF(I$12:AB$12,"总值",I6:AB6)</f>
        <v>21590.769999999997</v>
      </c>
      <c r="I6" s="13">
        <f t="shared" ref="I6:AB6" si="2">ROUND($A$3*I5/$B$3,2)</f>
        <v>498.4</v>
      </c>
      <c r="J6" s="13">
        <f t="shared" si="2"/>
        <v>0</v>
      </c>
      <c r="K6" s="13">
        <f t="shared" si="2"/>
        <v>8969.42</v>
      </c>
      <c r="L6" s="13">
        <f t="shared" si="2"/>
        <v>0</v>
      </c>
      <c r="M6" s="13">
        <f t="shared" si="2"/>
        <v>9531.2999999999993</v>
      </c>
      <c r="N6" s="13">
        <f t="shared" si="2"/>
        <v>0</v>
      </c>
      <c r="O6" s="13">
        <f t="shared" si="2"/>
        <v>605.1</v>
      </c>
      <c r="P6" s="13">
        <f t="shared" si="2"/>
        <v>0</v>
      </c>
      <c r="Q6" s="13">
        <f t="shared" si="2"/>
        <v>1986.55</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3540.45</v>
      </c>
      <c r="AD6" s="13">
        <f t="shared" ref="AD6:AS6" si="3">ROUND($A$3*AD5/$B$3,2)</f>
        <v>153.13999999999999</v>
      </c>
      <c r="AE6" s="13">
        <f t="shared" si="3"/>
        <v>0</v>
      </c>
      <c r="AF6" s="13">
        <f t="shared" si="3"/>
        <v>0</v>
      </c>
      <c r="AG6" s="13">
        <f t="shared" si="3"/>
        <v>0</v>
      </c>
      <c r="AH6" s="13">
        <f t="shared" si="3"/>
        <v>0</v>
      </c>
      <c r="AI6" s="13">
        <f t="shared" si="3"/>
        <v>0</v>
      </c>
      <c r="AJ6" s="13">
        <f t="shared" si="3"/>
        <v>0</v>
      </c>
      <c r="AK6" s="13">
        <f t="shared" si="3"/>
        <v>0</v>
      </c>
      <c r="AL6" s="13">
        <f t="shared" si="3"/>
        <v>532.35</v>
      </c>
      <c r="AM6" s="13">
        <f t="shared" si="3"/>
        <v>0</v>
      </c>
      <c r="AN6" s="13">
        <f t="shared" si="3"/>
        <v>2854.96</v>
      </c>
      <c r="AO6" s="13">
        <f t="shared" si="3"/>
        <v>0</v>
      </c>
      <c r="AP6" s="13">
        <f t="shared" si="3"/>
        <v>0</v>
      </c>
      <c r="AQ6" s="13">
        <f t="shared" si="3"/>
        <v>0</v>
      </c>
      <c r="AR6" s="13">
        <f t="shared" si="3"/>
        <v>0</v>
      </c>
      <c r="AS6" s="13">
        <f t="shared" si="3"/>
        <v>0</v>
      </c>
      <c r="AT6" s="17">
        <f>IF(C3="是",ROUND($A$3*AT5/$B$3,2),0)</f>
        <v>2163.87</v>
      </c>
      <c r="AU6" s="1588"/>
      <c r="AV6" s="12" t="s">
        <v>1071</v>
      </c>
      <c r="AW6" s="1586"/>
      <c r="AX6" s="1586"/>
      <c r="AY6" s="18">
        <f>IF(AY3&gt;0,AY3,ROUND($A$3*AZ5/$B$3,2))</f>
        <v>25131.21</v>
      </c>
      <c r="AZ6" s="13" t="s">
        <v>2</v>
      </c>
      <c r="BA6" s="13">
        <f>ROUND($AY$6*BA5/$AZ$5,2)</f>
        <v>21590.76</v>
      </c>
      <c r="BB6" s="13">
        <f>ROUND($AY$6*BB5/$AZ$5,2)</f>
        <v>498.4</v>
      </c>
      <c r="BC6" s="13">
        <f t="shared" ref="BC6:BH6" si="4">ROUND($AY$6*BC5/$AZ$5,2)</f>
        <v>8969.41</v>
      </c>
      <c r="BD6" s="13">
        <f t="shared" si="4"/>
        <v>9531.2999999999993</v>
      </c>
      <c r="BE6" s="13">
        <f t="shared" si="4"/>
        <v>605.1</v>
      </c>
      <c r="BF6" s="13">
        <f t="shared" si="4"/>
        <v>1986.55</v>
      </c>
      <c r="BG6" s="13">
        <f t="shared" si="4"/>
        <v>0</v>
      </c>
      <c r="BH6" s="13">
        <f t="shared" si="4"/>
        <v>0</v>
      </c>
      <c r="BI6" s="13">
        <f t="shared" ref="BI6:BT6" si="5">ROUND($AY$6*BI5/$AZ$5,2)</f>
        <v>0</v>
      </c>
      <c r="BJ6" s="13">
        <f t="shared" si="5"/>
        <v>0</v>
      </c>
      <c r="BK6" s="13">
        <f t="shared" si="5"/>
        <v>0</v>
      </c>
      <c r="BL6" s="13">
        <f t="shared" si="5"/>
        <v>3540.45</v>
      </c>
      <c r="BM6" s="13">
        <f t="shared" si="5"/>
        <v>153.13999999999999</v>
      </c>
      <c r="BN6" s="13">
        <f t="shared" si="5"/>
        <v>0</v>
      </c>
      <c r="BO6" s="13">
        <f t="shared" si="5"/>
        <v>0</v>
      </c>
      <c r="BP6" s="13">
        <f t="shared" si="5"/>
        <v>0</v>
      </c>
      <c r="BQ6" s="13">
        <f t="shared" si="5"/>
        <v>532.35</v>
      </c>
      <c r="BR6" s="13">
        <f t="shared" si="5"/>
        <v>2854.96</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3384</v>
      </c>
      <c r="J9" s="809"/>
      <c r="K9" s="1603" t="s">
        <v>3384</v>
      </c>
      <c r="L9" s="809"/>
      <c r="M9" s="1603" t="s">
        <v>3384</v>
      </c>
      <c r="N9" s="809"/>
      <c r="O9" s="1603" t="s">
        <v>3389</v>
      </c>
      <c r="P9" s="809"/>
      <c r="Q9" s="1603" t="s">
        <v>3389</v>
      </c>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21</v>
      </c>
      <c r="L10" s="809"/>
      <c r="M10" s="1609" t="s">
        <v>673</v>
      </c>
      <c r="N10" s="809"/>
      <c r="O10" s="1609" t="s">
        <v>21</v>
      </c>
      <c r="P10" s="809"/>
      <c r="Q10" s="1609" t="s">
        <v>3337</v>
      </c>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t="str">
        <f>M9</f>
        <v>地上</v>
      </c>
      <c r="BE10" s="26" t="str">
        <f>O9</f>
        <v>地下</v>
      </c>
      <c r="BF10" s="26" t="str">
        <f>Q9</f>
        <v>地下</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t="s">
        <v>3386</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t="str">
        <f>M10</f>
        <v>商业</v>
      </c>
      <c r="BE11" s="1599" t="str">
        <f>O10</f>
        <v>办公</v>
      </c>
      <c r="BF11" s="1599" t="str">
        <f>Q10</f>
        <v>车库</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t="str">
        <f>M11</f>
        <v>公寓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3381</v>
      </c>
      <c r="D13" s="1625" t="s">
        <v>3382</v>
      </c>
      <c r="E13" s="13">
        <f>IF($C$3="是",ROUND($A$3*G13/$B$3,2),ROUND($A$3*(G13-AT13)/$B$3,2))</f>
        <v>4630.1899999999996</v>
      </c>
      <c r="F13" s="29"/>
      <c r="G13" s="30">
        <f>H13+AC13+AT13</f>
        <v>37813.58</v>
      </c>
      <c r="H13" s="17">
        <f>SUMIF(I$12:AB$12,"总值",I13:AB13)</f>
        <v>37813.58</v>
      </c>
      <c r="I13" s="1626">
        <v>1330.48</v>
      </c>
      <c r="J13" s="1626"/>
      <c r="K13" s="1626">
        <v>36483.1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A#办公楼</v>
      </c>
      <c r="AY13" s="1349">
        <f>ROUND($AY$6*AZ13/$AZ$5,2)</f>
        <v>4630.1899999999996</v>
      </c>
      <c r="AZ13" s="13">
        <f>BA13+BL13</f>
        <v>37813.58</v>
      </c>
      <c r="BA13" s="13">
        <f>SUM(BB13:BK13)</f>
        <v>37813.58</v>
      </c>
      <c r="BB13" s="13">
        <f>IF($D13="是",I13-J13,0)</f>
        <v>1330.48</v>
      </c>
      <c r="BC13" s="13">
        <f>IF($D13="是",K13-L13,0)</f>
        <v>36483.1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3383</v>
      </c>
      <c r="D14" s="1625" t="s">
        <v>3382</v>
      </c>
      <c r="E14" s="13">
        <f>IF($C$3="是",ROUND($A$3*G14/$B$3,2),ROUND($A$3*(G14-AT14)/$B$3,2))</f>
        <v>4703.0600000000004</v>
      </c>
      <c r="F14" s="29"/>
      <c r="G14" s="30">
        <f>H14+AC14+AT14</f>
        <v>38408.629999999997</v>
      </c>
      <c r="H14" s="17">
        <f>SUMIF(I$12:AB$12,"总值",I14:AB14)</f>
        <v>38352.46</v>
      </c>
      <c r="I14" s="1626">
        <v>1584.69</v>
      </c>
      <c r="J14" s="1626"/>
      <c r="K14" s="1626">
        <v>36767.769999999997</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v>56.17</v>
      </c>
      <c r="AU14" s="1629"/>
      <c r="AV14" s="8">
        <f t="shared" si="6"/>
        <v>0</v>
      </c>
      <c r="AW14" s="8">
        <f t="shared" si="6"/>
        <v>0</v>
      </c>
      <c r="AX14" s="8" t="str">
        <f t="shared" si="6"/>
        <v>B#办公楼</v>
      </c>
      <c r="AY14" s="1349">
        <f>ROUND($AY$6*AZ14/$AZ$5,2)</f>
        <v>4696.18</v>
      </c>
      <c r="AZ14" s="13">
        <f>BA14+BL14</f>
        <v>38352.46</v>
      </c>
      <c r="BA14" s="13">
        <f>SUM(BB14:BK14)</f>
        <v>38352.46</v>
      </c>
      <c r="BB14" s="13">
        <f>IF($D14="是",I14-J14,0)</f>
        <v>1584.69</v>
      </c>
      <c r="BC14" s="13">
        <f>IF($D14="是",K14-L14,0)</f>
        <v>36767.769999999997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c r="C15" s="1570" t="s">
        <v>3385</v>
      </c>
      <c r="D15" s="1625" t="s">
        <v>3382</v>
      </c>
      <c r="E15" s="13">
        <f>IF($C$3="是",ROUND($A$3*G15/$B$3,2),ROUND($A$3*(G15-AT15)/$B$3,2))</f>
        <v>5188.8900000000003</v>
      </c>
      <c r="F15" s="29"/>
      <c r="G15" s="30">
        <f>H15+AC15+AT15</f>
        <v>42376.29</v>
      </c>
      <c r="H15" s="17">
        <f>SUMIF(I$12:AB$12,"总值",I15:AB15)</f>
        <v>40145.14</v>
      </c>
      <c r="I15" s="1626">
        <v>667.93</v>
      </c>
      <c r="J15" s="1626"/>
      <c r="K15" s="1626"/>
      <c r="L15" s="1626"/>
      <c r="M15" s="1626">
        <v>39477.21</v>
      </c>
      <c r="N15" s="1626"/>
      <c r="O15" s="1626"/>
      <c r="P15" s="1626"/>
      <c r="Q15" s="1626"/>
      <c r="R15" s="1626"/>
      <c r="S15" s="1626"/>
      <c r="T15" s="1626"/>
      <c r="U15" s="1626"/>
      <c r="V15" s="1626"/>
      <c r="W15" s="1626"/>
      <c r="X15" s="1626"/>
      <c r="Y15" s="1626"/>
      <c r="Z15" s="1626"/>
      <c r="AA15" s="1626"/>
      <c r="AB15" s="1626"/>
      <c r="AC15" s="13">
        <f>SUMIF(AD$12:AS$12,"总值",AD15:AS15)</f>
        <v>2171.08</v>
      </c>
      <c r="AD15" s="1627"/>
      <c r="AE15" s="1627"/>
      <c r="AF15" s="1627"/>
      <c r="AG15" s="1627"/>
      <c r="AH15" s="1627"/>
      <c r="AI15" s="1627"/>
      <c r="AJ15" s="1627"/>
      <c r="AK15" s="1627"/>
      <c r="AL15" s="1627">
        <v>2171.08</v>
      </c>
      <c r="AM15" s="1627"/>
      <c r="AN15" s="1627"/>
      <c r="AO15" s="1627"/>
      <c r="AP15" s="1627"/>
      <c r="AQ15" s="1627"/>
      <c r="AR15" s="1627"/>
      <c r="AS15" s="1627"/>
      <c r="AT15" s="1628">
        <v>60.07</v>
      </c>
      <c r="AU15" s="1629"/>
      <c r="AV15" s="8">
        <f t="shared" si="6"/>
        <v>0</v>
      </c>
      <c r="AW15" s="8">
        <f t="shared" si="6"/>
        <v>0</v>
      </c>
      <c r="AX15" s="8" t="str">
        <f t="shared" si="6"/>
        <v>C#服务型公寓楼</v>
      </c>
      <c r="AY15" s="1349">
        <f>ROUND($AY$6*AZ15/$AZ$5,2)</f>
        <v>5181.53</v>
      </c>
      <c r="AZ15" s="13">
        <f>BA15+BL15</f>
        <v>42316.22</v>
      </c>
      <c r="BA15" s="13">
        <f>SUM(BB15:BK15)</f>
        <v>40145.14</v>
      </c>
      <c r="BB15" s="13">
        <f>IF($D15="是",I15-J15,0)</f>
        <v>667.93</v>
      </c>
      <c r="BC15" s="13">
        <f>IF($D15="是",K15-L15,0)</f>
        <v>0</v>
      </c>
      <c r="BD15" s="13">
        <f>IF($D15="是",M15-N15,0)</f>
        <v>39477.21</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2171.08</v>
      </c>
      <c r="BM15" s="13">
        <f>IF($D15="是",AD15-AE15,0)</f>
        <v>0</v>
      </c>
      <c r="BN15" s="13">
        <f>IF($D15="是",AF15-AG15,0)</f>
        <v>0</v>
      </c>
      <c r="BO15" s="13">
        <f>IF($D15="是",AH15-AI15,0)</f>
        <v>0</v>
      </c>
      <c r="BP15" s="13">
        <f>IF($D15="是",AJ15-AK15,0)</f>
        <v>0</v>
      </c>
      <c r="BQ15" s="13">
        <f>IF($D15="是",AL15-AM15,0)</f>
        <v>2171.08</v>
      </c>
      <c r="BR15" s="13">
        <f>IF($D15="是",AN15-AO15,0)</f>
        <v>0</v>
      </c>
      <c r="BS15" s="13">
        <f>IF($D15="是",AP15-AQ15,0)</f>
        <v>0</v>
      </c>
      <c r="BT15" s="19">
        <f>IF($D15="是",AR15-AS15,0)</f>
        <v>0</v>
      </c>
    </row>
    <row r="16" spans="1:72" s="1579" customFormat="1" ht="25.5">
      <c r="A16" s="1051"/>
      <c r="B16" s="1051"/>
      <c r="C16" s="1570" t="s">
        <v>3387</v>
      </c>
      <c r="D16" s="1625" t="s">
        <v>3382</v>
      </c>
      <c r="E16" s="13">
        <f>IF($C$3="是",ROUND($A$3*G16/$B$3,2),ROUND($A$3*(G16-AT16)/$B$3,2))</f>
        <v>5057.18</v>
      </c>
      <c r="F16" s="29"/>
      <c r="G16" s="30">
        <f>H16+AC16+AT16</f>
        <v>41300.649999999994</v>
      </c>
      <c r="H16" s="17">
        <f>SUMIF(I$12:AB$12,"总值",I16:AB16)</f>
        <v>38849.619999999995</v>
      </c>
      <c r="I16" s="1626">
        <v>487.17</v>
      </c>
      <c r="J16" s="1626"/>
      <c r="K16" s="1626"/>
      <c r="L16" s="1626"/>
      <c r="M16" s="1626">
        <v>38362.449999999997</v>
      </c>
      <c r="N16" s="1626"/>
      <c r="O16" s="1626"/>
      <c r="P16" s="1626"/>
      <c r="Q16" s="1626"/>
      <c r="R16" s="1626"/>
      <c r="S16" s="1626"/>
      <c r="T16" s="1626"/>
      <c r="U16" s="1626"/>
      <c r="V16" s="1626"/>
      <c r="W16" s="1626"/>
      <c r="X16" s="1626"/>
      <c r="Y16" s="1626"/>
      <c r="Z16" s="1626"/>
      <c r="AA16" s="1626"/>
      <c r="AB16" s="1626"/>
      <c r="AC16" s="13">
        <f>SUMIF(AD$12:AS$12,"总值",AD16:AS16)</f>
        <v>2376.52</v>
      </c>
      <c r="AD16" s="1627">
        <v>200</v>
      </c>
      <c r="AE16" s="1627"/>
      <c r="AF16" s="1627"/>
      <c r="AG16" s="1627"/>
      <c r="AH16" s="1627"/>
      <c r="AI16" s="1627"/>
      <c r="AJ16" s="1627"/>
      <c r="AK16" s="1627"/>
      <c r="AL16" s="1627">
        <v>2176.52</v>
      </c>
      <c r="AM16" s="1627"/>
      <c r="AN16" s="1627"/>
      <c r="AO16" s="1627"/>
      <c r="AP16" s="1627"/>
      <c r="AQ16" s="1627"/>
      <c r="AR16" s="1627"/>
      <c r="AS16" s="1627"/>
      <c r="AT16" s="1628">
        <v>74.510000000000005</v>
      </c>
      <c r="AU16" s="1629"/>
      <c r="AV16" s="8">
        <f t="shared" si="6"/>
        <v>0</v>
      </c>
      <c r="AW16" s="8">
        <f t="shared" si="6"/>
        <v>0</v>
      </c>
      <c r="AX16" s="8" t="str">
        <f t="shared" si="6"/>
        <v>D#服务型公寓</v>
      </c>
      <c r="AY16" s="1349">
        <f>ROUND($AY$6*AZ16/$AZ$5,2)</f>
        <v>5048.05</v>
      </c>
      <c r="AZ16" s="13">
        <f>BA16+BL16</f>
        <v>41226.139999999992</v>
      </c>
      <c r="BA16" s="13">
        <f>SUM(BB16:BK16)</f>
        <v>38849.619999999995</v>
      </c>
      <c r="BB16" s="13">
        <f>IF($D16="是",I16-J16,0)</f>
        <v>487.17</v>
      </c>
      <c r="BC16" s="13">
        <f>IF($D16="是",K16-L16,0)</f>
        <v>0</v>
      </c>
      <c r="BD16" s="13">
        <f>IF($D16="是",M16-N16,0)</f>
        <v>38362.449999999997</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2376.52</v>
      </c>
      <c r="BM16" s="13">
        <f>IF($D16="是",AD16-AE16,0)</f>
        <v>200</v>
      </c>
      <c r="BN16" s="13">
        <f>IF($D16="是",AF16-AG16,0)</f>
        <v>0</v>
      </c>
      <c r="BO16" s="13">
        <f>IF($D16="是",AH16-AI16,0)</f>
        <v>0</v>
      </c>
      <c r="BP16" s="13">
        <f>IF($D16="是",AJ16-AK16,0)</f>
        <v>0</v>
      </c>
      <c r="BQ16" s="13">
        <f>IF($D16="是",AL16-AM16,0)</f>
        <v>2176.52</v>
      </c>
      <c r="BR16" s="13">
        <f>IF($D16="是",AN16-AO16,0)</f>
        <v>0</v>
      </c>
      <c r="BS16" s="13">
        <f>IF($D16="是",AP16-AQ16,0)</f>
        <v>0</v>
      </c>
      <c r="BT16" s="19">
        <f>IF($D16="是",AR16-AS16,0)</f>
        <v>0</v>
      </c>
    </row>
    <row r="17" spans="1:72" s="1579" customFormat="1" ht="12.75">
      <c r="A17" s="1051"/>
      <c r="B17" s="1051"/>
      <c r="C17" s="1570" t="s">
        <v>3388</v>
      </c>
      <c r="D17" s="1625" t="s">
        <v>3382</v>
      </c>
      <c r="E17" s="13">
        <f>IF($C$3="是",ROUND($A$3*G17/$B$3,2),ROUND($A$3*(G17-AT17)/$B$3,2))</f>
        <v>3316.78</v>
      </c>
      <c r="F17" s="29"/>
      <c r="G17" s="30">
        <f>H17+AC17+AT17</f>
        <v>27087.29</v>
      </c>
      <c r="H17" s="17">
        <f>SUMIF(I$12:AB$12,"总值",I17:AB17)</f>
        <v>11323.47</v>
      </c>
      <c r="I17" s="1626"/>
      <c r="J17" s="1626"/>
      <c r="K17" s="1626"/>
      <c r="L17" s="1626"/>
      <c r="M17" s="1626"/>
      <c r="N17" s="1626"/>
      <c r="O17" s="1626">
        <v>2054.25</v>
      </c>
      <c r="P17" s="1626"/>
      <c r="Q17" s="1626">
        <v>9269.2199999999993</v>
      </c>
      <c r="R17" s="1626"/>
      <c r="S17" s="1626"/>
      <c r="T17" s="1626"/>
      <c r="U17" s="1626"/>
      <c r="V17" s="1626"/>
      <c r="W17" s="1626"/>
      <c r="X17" s="1626"/>
      <c r="Y17" s="1626"/>
      <c r="Z17" s="1626"/>
      <c r="AA17" s="1626"/>
      <c r="AB17" s="1626"/>
      <c r="AC17" s="13">
        <f>SUMIF(AD$12:AS$12,"总值",AD17:AS17)</f>
        <v>12195.31</v>
      </c>
      <c r="AD17" s="1627">
        <v>495.68</v>
      </c>
      <c r="AE17" s="1627"/>
      <c r="AF17" s="1627"/>
      <c r="AG17" s="1627"/>
      <c r="AH17" s="1627"/>
      <c r="AI17" s="1627"/>
      <c r="AJ17" s="1627"/>
      <c r="AK17" s="1627"/>
      <c r="AL17" s="1627"/>
      <c r="AM17" s="1627"/>
      <c r="AN17" s="1627">
        <v>11699.63</v>
      </c>
      <c r="AO17" s="1627"/>
      <c r="AP17" s="1627"/>
      <c r="AQ17" s="1627"/>
      <c r="AR17" s="1627"/>
      <c r="AS17" s="1627"/>
      <c r="AT17" s="1628">
        <f>82.25+3486.26</f>
        <v>3568.51</v>
      </c>
      <c r="AU17" s="1629"/>
      <c r="AV17" s="8">
        <f t="shared" si="6"/>
        <v>0</v>
      </c>
      <c r="AW17" s="8">
        <f t="shared" si="6"/>
        <v>0</v>
      </c>
      <c r="AX17" s="8" t="str">
        <f t="shared" si="6"/>
        <v>1#地库</v>
      </c>
      <c r="AY17" s="1349">
        <f>ROUND($AY$6*AZ17/$AZ$5,2)</f>
        <v>2879.82</v>
      </c>
      <c r="AZ17" s="13">
        <f>BA17+BL17</f>
        <v>23518.78</v>
      </c>
      <c r="BA17" s="13">
        <f>SUM(BB17:BK17)</f>
        <v>11323.47</v>
      </c>
      <c r="BB17" s="13">
        <f>IF($D17="是",I17-J17,0)</f>
        <v>0</v>
      </c>
      <c r="BC17" s="13">
        <f>IF($D17="是",K17-L17,0)</f>
        <v>0</v>
      </c>
      <c r="BD17" s="13">
        <f>IF($D17="是",M17-N17,0)</f>
        <v>0</v>
      </c>
      <c r="BE17" s="13">
        <f>IF($D17="是",O17-P17,0)</f>
        <v>2054.25</v>
      </c>
      <c r="BF17" s="13">
        <f>IF($D17="是",Q17-R17,0)</f>
        <v>9269.2199999999993</v>
      </c>
      <c r="BG17" s="13">
        <f>IF($D17="是",S17-T17,0)</f>
        <v>0</v>
      </c>
      <c r="BH17" s="13">
        <f>IF($D17="是",U17-V17,0)</f>
        <v>0</v>
      </c>
      <c r="BI17" s="13">
        <f>IF($D17="是",W17-X17,0)</f>
        <v>0</v>
      </c>
      <c r="BJ17" s="13">
        <f>IF($D17="是",Y17-Z17,0)</f>
        <v>0</v>
      </c>
      <c r="BK17" s="13">
        <f>IF($D17="是",AA17-AB17,0)</f>
        <v>0</v>
      </c>
      <c r="BL17" s="13">
        <f>SUM(BM17:BT17)</f>
        <v>12195.31</v>
      </c>
      <c r="BM17" s="13">
        <f>IF($D17="是",AD17-AE17,0)</f>
        <v>495.68</v>
      </c>
      <c r="BN17" s="13">
        <f>IF($D17="是",AF17-AG17,0)</f>
        <v>0</v>
      </c>
      <c r="BO17" s="13">
        <f>IF($D17="是",AH17-AI17,0)</f>
        <v>0</v>
      </c>
      <c r="BP17" s="13">
        <f>IF($D17="是",AJ17-AK17,0)</f>
        <v>0</v>
      </c>
      <c r="BQ17" s="13">
        <f>IF($D17="是",AL17-AM17,0)</f>
        <v>0</v>
      </c>
      <c r="BR17" s="13">
        <f>IF($D17="是",AN17-AO17,0)</f>
        <v>11699.63</v>
      </c>
      <c r="BS17" s="13">
        <f>IF($D17="是",AP17-AQ17,0)</f>
        <v>0</v>
      </c>
      <c r="BT17" s="19">
        <f>IF($D17="是",AR17-AS17,0)</f>
        <v>0</v>
      </c>
    </row>
    <row r="18" spans="1:72">
      <c r="A18" s="6"/>
      <c r="B18" s="31"/>
      <c r="C18" s="31" t="s">
        <v>3390</v>
      </c>
      <c r="D18" s="1630" t="s">
        <v>3382</v>
      </c>
      <c r="E18" s="32">
        <f t="shared" ref="E18:E112" si="7">IF($C$3="是",ROUND($A$3*G18/$B$3,2),ROUND($A$3*(G18-AT18)/$B$3,2))</f>
        <v>4398.9799999999996</v>
      </c>
      <c r="F18" s="33"/>
      <c r="G18" s="34">
        <f t="shared" ref="G18:G109" si="8">H18+AC18+AT18</f>
        <v>35925.340000000004</v>
      </c>
      <c r="H18" s="35">
        <f t="shared" ref="H18:H109" si="9">SUMIF(I$12:AB$12,"总值",I18:AB18)</f>
        <v>9841.84</v>
      </c>
      <c r="I18" s="36"/>
      <c r="J18" s="36"/>
      <c r="K18" s="36"/>
      <c r="L18" s="36"/>
      <c r="M18" s="36"/>
      <c r="N18" s="36"/>
      <c r="O18" s="36">
        <v>2887.42</v>
      </c>
      <c r="P18" s="36"/>
      <c r="Q18" s="36">
        <v>6954.42</v>
      </c>
      <c r="R18" s="36"/>
      <c r="S18" s="36"/>
      <c r="T18" s="36"/>
      <c r="U18" s="36"/>
      <c r="V18" s="36"/>
      <c r="W18" s="36"/>
      <c r="X18" s="36"/>
      <c r="Y18" s="36"/>
      <c r="Z18" s="36"/>
      <c r="AA18" s="36"/>
      <c r="AB18" s="36"/>
      <c r="AC18" s="32">
        <f t="shared" ref="AC18:AC109" si="10">SUMIF(AD$12:AS$12,"总值",AD18:AS18)</f>
        <v>12171.03</v>
      </c>
      <c r="AD18" s="37">
        <v>554.94000000000005</v>
      </c>
      <c r="AE18" s="37"/>
      <c r="AF18" s="37"/>
      <c r="AG18" s="37"/>
      <c r="AH18" s="37"/>
      <c r="AI18" s="37"/>
      <c r="AJ18" s="37"/>
      <c r="AK18" s="37"/>
      <c r="AL18" s="37"/>
      <c r="AM18" s="37"/>
      <c r="AN18" s="37">
        <f>465+11151.09</f>
        <v>11616.09</v>
      </c>
      <c r="AO18" s="37"/>
      <c r="AP18" s="37"/>
      <c r="AQ18" s="37"/>
      <c r="AR18" s="37"/>
      <c r="AS18" s="37"/>
      <c r="AT18" s="38">
        <f>18.6+13893.87</f>
        <v>13912.470000000001</v>
      </c>
      <c r="AU18" s="1631"/>
      <c r="AV18" s="1343">
        <f t="shared" ref="AV18:AV112" si="11">A18</f>
        <v>0</v>
      </c>
      <c r="AW18" s="1343">
        <f t="shared" ref="AW18:AW112" si="12">B18</f>
        <v>0</v>
      </c>
      <c r="AX18" s="1343" t="str">
        <f t="shared" ref="AX18:AX112" si="13">C18</f>
        <v>2#地库</v>
      </c>
      <c r="AY18" s="39">
        <f t="shared" ref="AY18:AY109" si="14">ROUND($AY$6*AZ18/$AZ$5,2)</f>
        <v>2695.43</v>
      </c>
      <c r="AZ18" s="32">
        <f t="shared" ref="AZ18:AZ109" si="15">BA18+BL18</f>
        <v>22012.870000000003</v>
      </c>
      <c r="BA18" s="32">
        <f t="shared" ref="BA18:BA109" si="16">SUM(BB18:BK18)</f>
        <v>9841.84</v>
      </c>
      <c r="BB18" s="32">
        <f t="shared" ref="BB18:BB109" si="17">IF($D18="是",I18-J18,0)</f>
        <v>0</v>
      </c>
      <c r="BC18" s="32">
        <f t="shared" ref="BC18:BC109" si="18">IF($D18="是",K18-L18,0)</f>
        <v>0</v>
      </c>
      <c r="BD18" s="32">
        <f t="shared" ref="BD18:BD109" si="19">IF($D18="是",M18-N18,0)</f>
        <v>0</v>
      </c>
      <c r="BE18" s="32">
        <f t="shared" ref="BE18:BE109" si="20">IF($D18="是",O18-P18,0)</f>
        <v>2887.42</v>
      </c>
      <c r="BF18" s="32">
        <f t="shared" ref="BF18:BF109" si="21">IF($D18="是",Q18-R18,0)</f>
        <v>6954.42</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12171.03</v>
      </c>
      <c r="BM18" s="32">
        <f t="shared" ref="BM18:BM109" si="28">IF($D18="是",AD18-AE18,0)</f>
        <v>554.94000000000005</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11616.09</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4" sqref="F2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2" t="s">
        <v>1130</v>
      </c>
      <c r="B2" s="3542"/>
      <c r="C2" s="3542"/>
      <c r="D2" s="796" t="s">
        <v>1106</v>
      </c>
      <c r="E2" s="1639" t="s">
        <v>1107</v>
      </c>
      <c r="F2" s="2659"/>
      <c r="G2" s="2650"/>
      <c r="H2" s="2651"/>
      <c r="I2" s="2325" t="s">
        <v>1131</v>
      </c>
      <c r="J2" s="2659"/>
      <c r="K2" s="2659"/>
      <c r="L2" s="2659"/>
      <c r="M2" s="2659"/>
      <c r="N2" s="2661"/>
      <c r="O2" s="2659"/>
      <c r="P2" s="2659"/>
    </row>
    <row r="3" spans="1:16" ht="15.75" thickBot="1">
      <c r="A3" s="3543" t="s">
        <v>1104</v>
      </c>
      <c r="B3" s="3543"/>
      <c r="C3" s="3543"/>
      <c r="D3" s="43">
        <f>'数据-基础表'!AY6</f>
        <v>25131.21</v>
      </c>
      <c r="E3" s="43">
        <f>'数据-基础表'!AZ5</f>
        <v>205240.05</v>
      </c>
      <c r="F3" s="2659"/>
      <c r="G3" s="1145"/>
      <c r="H3" s="1026" t="s">
        <v>1105</v>
      </c>
      <c r="I3" s="855">
        <f>ROUND('数据-基础表'!B3/'数据-基础表'!A3,2)</f>
        <v>8.17</v>
      </c>
      <c r="J3" s="2659"/>
      <c r="K3" s="2659"/>
      <c r="L3" s="2659"/>
      <c r="M3" s="2659"/>
      <c r="N3" s="2661"/>
      <c r="O3" s="2659"/>
      <c r="P3" s="2659"/>
    </row>
    <row r="4" spans="1:16" ht="15">
      <c r="A4" s="3544"/>
      <c r="B4" s="3545"/>
      <c r="C4" s="3546"/>
      <c r="D4" s="1641" t="s">
        <v>1106</v>
      </c>
      <c r="E4" s="1642" t="s">
        <v>1107</v>
      </c>
      <c r="F4" s="2659"/>
      <c r="G4" s="2652" t="s">
        <v>1132</v>
      </c>
      <c r="H4" s="1026" t="s">
        <v>1112</v>
      </c>
      <c r="I4" s="855">
        <f>ROUND(SUMIF('数据-基础表'!I9:AS9,"地上",'数据-基础表'!I5:AS5)/'数据-基础表'!A3,2)</f>
        <v>5.89</v>
      </c>
      <c r="J4" s="2659"/>
      <c r="K4" s="2659"/>
      <c r="L4" s="2659"/>
      <c r="M4" s="2659"/>
      <c r="N4" s="2661"/>
      <c r="O4" s="2659"/>
      <c r="P4" s="2659"/>
    </row>
    <row r="5" spans="1:16">
      <c r="A5" s="44" t="s">
        <v>1108</v>
      </c>
      <c r="B5" s="3547" t="s">
        <v>1109</v>
      </c>
      <c r="C5" s="3547"/>
      <c r="D5" s="45">
        <f>ROUND($D$3*E5/$E$3,2)</f>
        <v>0</v>
      </c>
      <c r="E5" s="46">
        <f>SUMIF('数据-基础表'!$11:$11,"住宅",'数据-基础表'!$5:$5)</f>
        <v>0</v>
      </c>
      <c r="F5" s="2659"/>
      <c r="G5" s="1145"/>
      <c r="H5" s="1026" t="s">
        <v>1105</v>
      </c>
      <c r="I5" s="855">
        <f>ROUND(E31/D31,2)</f>
        <v>8.17</v>
      </c>
      <c r="J5" s="2659"/>
      <c r="K5" s="2659"/>
      <c r="L5" s="2659"/>
      <c r="M5" s="2659"/>
      <c r="N5" s="2659"/>
      <c r="O5" s="2659"/>
      <c r="P5" s="2659"/>
    </row>
    <row r="6" spans="1:16" ht="15" thickBot="1">
      <c r="A6" s="1644"/>
      <c r="B6" s="3547" t="s">
        <v>1110</v>
      </c>
      <c r="C6" s="3547"/>
      <c r="D6" s="45">
        <f>ROUND($D$3*E6/$E$3,2)</f>
        <v>25131.21</v>
      </c>
      <c r="E6" s="46">
        <f>E3-E5</f>
        <v>205240.05</v>
      </c>
      <c r="F6" s="2659"/>
      <c r="G6" s="2653" t="s">
        <v>1111</v>
      </c>
      <c r="H6" s="1146" t="s">
        <v>1112</v>
      </c>
      <c r="I6" s="2654">
        <f>ROUND(F31/D31,2)</f>
        <v>6.4</v>
      </c>
      <c r="J6" s="2659"/>
      <c r="K6" s="2659"/>
      <c r="L6" s="2659"/>
      <c r="M6" s="2659"/>
      <c r="N6" s="2659"/>
      <c r="O6" s="2659"/>
      <c r="P6" s="2659"/>
    </row>
    <row r="7" spans="1:16" ht="15.75" thickBot="1">
      <c r="A7" s="3539"/>
      <c r="B7" s="3540"/>
      <c r="C7" s="3541"/>
      <c r="D7" s="1641" t="s">
        <v>1106</v>
      </c>
      <c r="E7" s="1645" t="s">
        <v>1113</v>
      </c>
      <c r="F7" s="2659"/>
      <c r="G7" s="2655" t="s">
        <v>1114</v>
      </c>
      <c r="H7" s="2656"/>
      <c r="I7" s="2657"/>
      <c r="J7" s="2659"/>
      <c r="K7" s="2659"/>
      <c r="L7" s="2659"/>
      <c r="M7" s="2659"/>
      <c r="N7" s="2659"/>
      <c r="O7" s="2659"/>
      <c r="P7" s="2659"/>
    </row>
    <row r="8" spans="1:16">
      <c r="A8" s="44" t="s">
        <v>1115</v>
      </c>
      <c r="B8" s="47" t="s">
        <v>1116</v>
      </c>
      <c r="C8" s="45" t="s">
        <v>1117</v>
      </c>
      <c r="D8" s="45">
        <f t="shared" ref="D8:D15" si="0">ROUND($D$3*E8/$E$3,2)</f>
        <v>18999.11</v>
      </c>
      <c r="E8" s="48">
        <f>SUMIF('数据-基础表'!BB10:BK10,"地上",'数据-基础表'!BB5:BK5)</f>
        <v>155160.79999999999</v>
      </c>
      <c r="F8" s="2659"/>
      <c r="G8" s="2660"/>
      <c r="H8" s="2660"/>
      <c r="I8" s="2659"/>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1119</v>
      </c>
      <c r="D11" s="45">
        <f t="shared" si="0"/>
        <v>605.1</v>
      </c>
      <c r="E11" s="48">
        <f>SUMPRODUCT(('数据-基础表'!BB10:BK10="地下")*('数据-基础表'!BB11:BK11="办公")*('数据-基础表'!BB5:BK5))+'数据-基础表'!BP5</f>
        <v>4941.67</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1986.55</v>
      </c>
      <c r="E13" s="48">
        <f>SUMPRODUCT(('数据-基础表'!BB10:BK10="地下")*('数据-基础表'!BB11:BK11="车库")*('数据-基础表'!BB5:BK5))</f>
        <v>16223.64</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21590.76</v>
      </c>
      <c r="E16" s="50">
        <f>SUM(E8:E15)</f>
        <v>176326.11</v>
      </c>
      <c r="F16" s="2659"/>
      <c r="G16" s="2660"/>
      <c r="H16" s="1648" t="s">
        <v>1134</v>
      </c>
      <c r="I16" s="1649"/>
      <c r="J16" s="1139"/>
      <c r="K16" s="3536" t="s">
        <v>1134</v>
      </c>
      <c r="L16" s="3537"/>
      <c r="M16" s="3537"/>
      <c r="N16" s="3537"/>
      <c r="O16" s="3537"/>
      <c r="P16" s="3538"/>
    </row>
    <row r="17" spans="1:19" ht="15">
      <c r="A17" s="1650" t="s">
        <v>1135</v>
      </c>
      <c r="B17" s="1651" t="s">
        <v>1136</v>
      </c>
      <c r="C17" s="1652" t="s">
        <v>1137</v>
      </c>
      <c r="D17" s="1653" t="s">
        <v>1125</v>
      </c>
      <c r="E17" s="1654" t="s">
        <v>1126</v>
      </c>
      <c r="F17" s="1655"/>
      <c r="G17" s="1656"/>
      <c r="H17" s="1657" t="s">
        <v>1138</v>
      </c>
      <c r="I17" s="1658" t="s">
        <v>1123</v>
      </c>
      <c r="J17" s="1139"/>
      <c r="K17" s="3533" t="s">
        <v>1139</v>
      </c>
      <c r="L17" s="3534"/>
      <c r="M17" s="3535"/>
      <c r="N17" s="3533" t="s">
        <v>1140</v>
      </c>
      <c r="O17" s="3534"/>
      <c r="P17" s="353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7" t="s">
        <v>3391</v>
      </c>
      <c r="D19" s="45">
        <f>ROUND($D$3*E19/$E$3,2)</f>
        <v>9574.51</v>
      </c>
      <c r="E19" s="53">
        <f t="shared" ref="E19:E26" si="1">SUM(F19:G19)</f>
        <v>78192.539999999994</v>
      </c>
      <c r="F19" s="2795">
        <f>'数据-基础表'!K5</f>
        <v>73250.87</v>
      </c>
      <c r="G19" s="2796">
        <f>'数据-基础表'!O5</f>
        <v>4941.67</v>
      </c>
      <c r="H19" s="670">
        <f>ROUND($D$3*I19/$E$3,2)</f>
        <v>1502.12</v>
      </c>
      <c r="I19" s="48">
        <f t="shared" ref="I19:I26" si="2">IF($I$17="自定义",P19,M19)</f>
        <v>12267.41</v>
      </c>
      <c r="J19" s="1139"/>
      <c r="K19" s="1138">
        <f t="shared" ref="K19:K26" si="3">ROUND(E$28*E19/E$27,2)</f>
        <v>12267.41</v>
      </c>
      <c r="L19" s="1026">
        <f t="shared" ref="L19:L26" si="4">ROUND(IF(COUNTIF(C19,"*住宅*")&gt;0,E$29*E19/E$32,0),2)</f>
        <v>0</v>
      </c>
      <c r="M19" s="1150">
        <f>K19+L19</f>
        <v>12267.41</v>
      </c>
      <c r="N19" s="1668"/>
      <c r="O19" s="1669"/>
      <c r="P19" s="1150">
        <f>N19+O19</f>
        <v>0</v>
      </c>
      <c r="R19" s="1026">
        <f t="shared" ref="R19:S26" si="5">D19+H19</f>
        <v>11076.630000000001</v>
      </c>
      <c r="S19" s="1027">
        <f t="shared" si="5"/>
        <v>90459.95</v>
      </c>
    </row>
    <row r="20" spans="1:19">
      <c r="A20" s="1670"/>
      <c r="B20" s="47" t="s">
        <v>1152</v>
      </c>
      <c r="C20" s="3417" t="s">
        <v>3392</v>
      </c>
      <c r="D20" s="45">
        <f t="shared" ref="D20:D26" si="6">ROUND($D$3*E20/$E$3,2)</f>
        <v>498.4</v>
      </c>
      <c r="E20" s="53">
        <f t="shared" si="1"/>
        <v>4070.27</v>
      </c>
      <c r="F20" s="2795">
        <f>'数据-基础表'!I5</f>
        <v>4070.27</v>
      </c>
      <c r="G20" s="2796"/>
      <c r="H20" s="670">
        <f t="shared" ref="H20:H26" si="7">ROUND($D$3*I20/$E$3,2)</f>
        <v>78.19</v>
      </c>
      <c r="I20" s="48">
        <f t="shared" si="2"/>
        <v>638.57000000000005</v>
      </c>
      <c r="J20" s="1139"/>
      <c r="K20" s="1138">
        <f t="shared" si="3"/>
        <v>638.57000000000005</v>
      </c>
      <c r="L20" s="1026">
        <f t="shared" si="4"/>
        <v>0</v>
      </c>
      <c r="M20" s="1150">
        <f t="shared" ref="M20:M26" si="8">K20+L20</f>
        <v>638.57000000000005</v>
      </c>
      <c r="N20" s="1668"/>
      <c r="O20" s="1669"/>
      <c r="P20" s="1150">
        <f t="shared" ref="P20:P26" si="9">N20+O20</f>
        <v>0</v>
      </c>
      <c r="R20" s="1026">
        <f t="shared" si="5"/>
        <v>576.58999999999992</v>
      </c>
      <c r="S20" s="1027">
        <f t="shared" si="5"/>
        <v>4708.84</v>
      </c>
    </row>
    <row r="21" spans="1:19">
      <c r="A21" s="1670"/>
      <c r="B21" s="47" t="s">
        <v>1152</v>
      </c>
      <c r="C21" s="3417" t="s">
        <v>3393</v>
      </c>
      <c r="D21" s="45">
        <f t="shared" si="6"/>
        <v>9531.2999999999993</v>
      </c>
      <c r="E21" s="53">
        <f t="shared" si="1"/>
        <v>77839.66</v>
      </c>
      <c r="F21" s="2795">
        <f>'数据-基础表'!M5</f>
        <v>77839.66</v>
      </c>
      <c r="G21" s="2796"/>
      <c r="H21" s="670">
        <f t="shared" si="7"/>
        <v>1495.34</v>
      </c>
      <c r="I21" s="48">
        <f t="shared" si="2"/>
        <v>12212.05</v>
      </c>
      <c r="J21" s="1139"/>
      <c r="K21" s="1138">
        <f t="shared" si="3"/>
        <v>12212.05</v>
      </c>
      <c r="L21" s="1026">
        <f t="shared" si="4"/>
        <v>0</v>
      </c>
      <c r="M21" s="1150">
        <f t="shared" si="8"/>
        <v>12212.05</v>
      </c>
      <c r="N21" s="1668"/>
      <c r="O21" s="1669"/>
      <c r="P21" s="1150">
        <f t="shared" si="9"/>
        <v>0</v>
      </c>
      <c r="R21" s="1026">
        <f t="shared" si="5"/>
        <v>11026.64</v>
      </c>
      <c r="S21" s="1027">
        <f t="shared" si="5"/>
        <v>90051.71</v>
      </c>
    </row>
    <row r="22" spans="1:19">
      <c r="A22" s="1670"/>
      <c r="B22" s="47" t="s">
        <v>1152</v>
      </c>
      <c r="C22" s="3418" t="s">
        <v>3395</v>
      </c>
      <c r="D22" s="45">
        <f t="shared" si="6"/>
        <v>1986.55</v>
      </c>
      <c r="E22" s="53">
        <f t="shared" si="1"/>
        <v>16223.64</v>
      </c>
      <c r="F22" s="2797"/>
      <c r="G22" s="2798">
        <f>'数据-基础表'!Q5</f>
        <v>16223.64</v>
      </c>
      <c r="H22" s="670">
        <f t="shared" si="7"/>
        <v>311.66000000000003</v>
      </c>
      <c r="I22" s="48">
        <f t="shared" si="2"/>
        <v>2545.2800000000002</v>
      </c>
      <c r="J22" s="1139"/>
      <c r="K22" s="1138">
        <f t="shared" si="3"/>
        <v>2545.2800000000002</v>
      </c>
      <c r="L22" s="1026">
        <f t="shared" si="4"/>
        <v>0</v>
      </c>
      <c r="M22" s="1150">
        <f t="shared" si="8"/>
        <v>2545.2800000000002</v>
      </c>
      <c r="N22" s="1668"/>
      <c r="O22" s="1669"/>
      <c r="P22" s="1150">
        <f t="shared" si="9"/>
        <v>0</v>
      </c>
      <c r="R22" s="1026">
        <f t="shared" si="5"/>
        <v>2298.21</v>
      </c>
      <c r="S22" s="1027">
        <f t="shared" si="5"/>
        <v>18768.919999999998</v>
      </c>
    </row>
    <row r="23" spans="1:19">
      <c r="A23" s="1670"/>
      <c r="B23" s="47" t="s">
        <v>1152</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43.5" thickBot="1">
      <c r="A27" s="1670"/>
      <c r="B27" s="45"/>
      <c r="C27" s="1673" t="s">
        <v>1153</v>
      </c>
      <c r="D27" s="1140">
        <f>SUM(D19:D26)</f>
        <v>21590.76</v>
      </c>
      <c r="E27" s="1141">
        <f>IF(SUM(E19:E26)='数据-基础表'!BA5,SUM(E19:E26),IF(F27="地上面积有误","面积有误","地下面积有误"))</f>
        <v>176326.11</v>
      </c>
      <c r="F27" s="1140">
        <f>IF(SUM(F19:F26)=E8,SUM(F19:F26),"地上面积有误")</f>
        <v>155160.79999999999</v>
      </c>
      <c r="G27" s="1142">
        <f>SUM(G19:G26)</f>
        <v>21165.309999999998</v>
      </c>
      <c r="H27" s="1143">
        <f>SUM(H19:H26)</f>
        <v>3387.3099999999995</v>
      </c>
      <c r="I27" s="1144">
        <f>SUM(I19:I26)</f>
        <v>27663.309999999998</v>
      </c>
      <c r="J27" s="1139"/>
      <c r="K27" s="1147">
        <f>SUM(K19:K26)</f>
        <v>27663.309999999998</v>
      </c>
      <c r="L27" s="1148">
        <f>SUM(L19:L26)</f>
        <v>0</v>
      </c>
      <c r="M27" s="1151">
        <f>SUM(M19:M26)</f>
        <v>27663.309999999998</v>
      </c>
      <c r="N27" s="1147">
        <f t="shared" ref="N27:O27" si="10">SUM(N19:N26)</f>
        <v>0</v>
      </c>
      <c r="O27" s="1148">
        <f t="shared" si="10"/>
        <v>0</v>
      </c>
      <c r="P27" s="1149">
        <f>SUM(P19:P26)</f>
        <v>0</v>
      </c>
      <c r="R27" s="1028" t="str">
        <f>IF(SUM(R19:R26)=$D$3,SUM(R19:R26),SUM(R19:R26)&amp;"误差"&amp;ROUND(SUM(R19:R26)-$D$3,2))</f>
        <v>24978.07误差-153.14</v>
      </c>
      <c r="S27" s="1026" t="str">
        <f>IF(SUM(S19:S26)=$E$3,SUM(S19:S26),SUM(S19:S26)&amp;"误差"&amp;ROUND(SUM(S19:S26)-E3,2))</f>
        <v>203989.42误差-1250.63</v>
      </c>
    </row>
    <row r="28" spans="1:19">
      <c r="A28" s="1670"/>
      <c r="B28" s="47" t="s">
        <v>1154</v>
      </c>
      <c r="C28" s="1038" t="s">
        <v>1155</v>
      </c>
      <c r="D28" s="45">
        <f>ROUND($D$3*E28/$E$3,2)</f>
        <v>3387.32</v>
      </c>
      <c r="E28" s="53">
        <f>SUM(F28:G28)</f>
        <v>27663.32</v>
      </c>
      <c r="F28" s="56">
        <f>'数据-基础表'!BQ5+'数据-基础表'!BS5</f>
        <v>4347.6000000000004</v>
      </c>
      <c r="G28" s="57">
        <f>'数据-基础表'!BR5+'数据-基础表'!BT5</f>
        <v>23315.72</v>
      </c>
      <c r="H28" s="2659"/>
      <c r="I28" s="2659"/>
      <c r="J28" s="2659"/>
      <c r="K28" s="2659"/>
      <c r="L28" s="2659"/>
      <c r="M28" s="2659"/>
      <c r="N28" s="2659"/>
      <c r="O28" s="2659"/>
      <c r="P28" s="2659"/>
    </row>
    <row r="29" spans="1:19">
      <c r="A29" s="1670"/>
      <c r="B29" s="47" t="s">
        <v>1154</v>
      </c>
      <c r="C29" s="1674" t="s">
        <v>1156</v>
      </c>
      <c r="D29" s="45">
        <f>ROUND($D$3*E29/$E$3,2)</f>
        <v>153.13999999999999</v>
      </c>
      <c r="E29" s="53">
        <f>SUM(F29:G29)</f>
        <v>1250.6200000000001</v>
      </c>
      <c r="F29" s="58">
        <f>'数据-基础表'!BM5+'数据-基础表'!BO5</f>
        <v>1250.6200000000001</v>
      </c>
      <c r="G29" s="59">
        <f>'数据-基础表'!BN5+'数据-基础表'!BP5</f>
        <v>0</v>
      </c>
      <c r="H29" s="2659"/>
      <c r="I29" s="2659"/>
      <c r="J29" s="2659"/>
      <c r="K29" s="2659"/>
      <c r="L29" s="2659"/>
      <c r="M29" s="2659"/>
      <c r="N29" s="2659"/>
      <c r="O29" s="2659"/>
      <c r="P29" s="2659"/>
    </row>
    <row r="30" spans="1:19" ht="15">
      <c r="A30" s="1670"/>
      <c r="B30" s="47"/>
      <c r="C30" s="1675" t="s">
        <v>1153</v>
      </c>
      <c r="D30" s="1140">
        <f>SUM(D28:D29)</f>
        <v>3540.46</v>
      </c>
      <c r="E30" s="1140">
        <f>SUM(E28:E29)</f>
        <v>28913.94</v>
      </c>
      <c r="F30" s="1140">
        <f>SUM(F28:F29)</f>
        <v>5598.22</v>
      </c>
      <c r="G30" s="1142">
        <f>SUM(G28:G29)</f>
        <v>23315.72</v>
      </c>
      <c r="H30" s="2659"/>
      <c r="I30" s="2659"/>
      <c r="J30" s="2659"/>
      <c r="K30" s="2659"/>
      <c r="L30" s="2659"/>
      <c r="M30" s="2659"/>
      <c r="N30" s="2659"/>
      <c r="O30" s="2659"/>
      <c r="P30" s="2659"/>
    </row>
    <row r="31" spans="1:19" ht="15.75" thickBot="1">
      <c r="A31" s="1676"/>
      <c r="B31" s="1677"/>
      <c r="C31" s="835" t="s">
        <v>1157</v>
      </c>
      <c r="D31" s="676">
        <f>D27+D30</f>
        <v>25131.219999999998</v>
      </c>
      <c r="E31" s="676">
        <f>E27+E30</f>
        <v>205240.05</v>
      </c>
      <c r="F31" s="677">
        <f>F27+F30</f>
        <v>160759.01999999999</v>
      </c>
      <c r="G31" s="678">
        <f>G27+G30</f>
        <v>44481.03</v>
      </c>
      <c r="H31" s="2659"/>
      <c r="I31" s="2659"/>
      <c r="J31" s="2659"/>
      <c r="K31" s="2659"/>
      <c r="L31" s="2659"/>
      <c r="M31" s="2659"/>
      <c r="N31" s="2659"/>
      <c r="O31" s="2659"/>
      <c r="P31" s="2659"/>
    </row>
    <row r="32" spans="1:19">
      <c r="A32" s="1643"/>
      <c r="B32" s="1643" t="s">
        <v>1158</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 style="1682" customWidth="1"/>
    <col min="22" max="22" width="6.375" style="1682" customWidth="1"/>
    <col min="23" max="24" width="6.75" style="1682" customWidth="1"/>
    <col min="25" max="25" width="7"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45037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61163</v>
      </c>
      <c r="F6" s="64">
        <f>SUMIF(项目基本情况!C$12:I$12,C6,项目基本情况!C$15:I$15)</f>
        <v>44.18</v>
      </c>
      <c r="G6" s="65">
        <f>IF(ISERROR(ROUND(POWER(1+H6,D6-F6)*(POWER(1+H6,F6)-1)/(POWER(1+H6,D6)-1),3)),0,ROUND(POWER(1+H6,D6-F6)*(POWER(1+H6,F6)-1)/(POWER(1+H6,D6)-1),3))</f>
        <v>0.96899999999999997</v>
      </c>
      <c r="H6" s="732">
        <v>0.05</v>
      </c>
      <c r="I6" s="732">
        <v>5.5E-2</v>
      </c>
      <c r="J6" s="66">
        <v>7.4999999999999997E-2</v>
      </c>
      <c r="K6" s="1030">
        <f>SUMIF('数据-汇总表'!C$19:C$33,A6,'数据-汇总表'!E$19:E$33)</f>
        <v>78192.539999999994</v>
      </c>
      <c r="L6" s="733">
        <v>6000</v>
      </c>
      <c r="M6" s="67">
        <f t="shared" ref="M6:M14" si="0">ROUND(K6*L6/10000,0)</f>
        <v>46916</v>
      </c>
      <c r="N6" s="731">
        <v>0.8</v>
      </c>
      <c r="O6" s="67">
        <f>IF($N$5="成新度","——",ROUND(M6*N6,0))</f>
        <v>37533</v>
      </c>
      <c r="P6" s="68">
        <f>IF($N$5="成新度","——",M6-O6)</f>
        <v>9383</v>
      </c>
      <c r="Q6" s="734">
        <v>0.2</v>
      </c>
      <c r="R6" s="69">
        <f ca="1">SUMIF('数据-汇总表'!C$19:C$33,A6,'数据-汇总表'!R$19:R$27)</f>
        <v>11076.630000000001</v>
      </c>
      <c r="S6" s="51">
        <f>IF('数据-汇总表'!$I$17="按面积比例",SUMIF('数据-汇总表'!C$19:C$33,A6,'数据-汇总表'!K$19:K$33),SUMIF('数据-汇总表'!C$19:C$33,A6,'数据-汇总表'!N$19:N$33))</f>
        <v>12267.41</v>
      </c>
      <c r="T6" s="1172">
        <f>ROUND($L$14*S6/10000,0)</f>
        <v>7360</v>
      </c>
      <c r="U6" s="3428">
        <v>8</v>
      </c>
      <c r="V6" s="70">
        <v>0.03</v>
      </c>
      <c r="W6" s="70">
        <v>0.1</v>
      </c>
      <c r="X6" s="1040"/>
      <c r="Y6" s="71">
        <v>1</v>
      </c>
      <c r="Z6" s="72"/>
      <c r="AA6" s="66"/>
      <c r="AB6" s="66"/>
      <c r="AC6" s="1040"/>
      <c r="AD6" s="73"/>
      <c r="AE6" s="1041">
        <f ca="1">IF(AN6="",0,SUMIF(INDIRECT("'"&amp;AN6&amp;"'"&amp;"!E:E"),$AE$5,INDIRECT("'"&amp;AN6&amp;"'"&amp;"!F:F")))</f>
        <v>43.58</v>
      </c>
      <c r="AF6" s="1348"/>
      <c r="AG6" s="138">
        <f>IF(AF6="",0,AE6-AF6)</f>
        <v>0</v>
      </c>
      <c r="AH6" s="74"/>
      <c r="AI6" s="76">
        <v>365</v>
      </c>
      <c r="AJ6" s="77"/>
      <c r="AK6" s="78">
        <v>5.0000000000000001E-3</v>
      </c>
      <c r="AL6" s="79">
        <v>1.5E-3</v>
      </c>
      <c r="AM6" s="80">
        <v>0.01</v>
      </c>
      <c r="AN6" s="1715" t="s">
        <v>3422</v>
      </c>
      <c r="AO6" s="52">
        <f ca="1">SUMIF(INDIRECT("'"&amp;AN6&amp;"'"&amp;"!A:A"),"总价",INDIRECT("'"&amp;AN6&amp;"'"&amp;"!B:B"))</f>
        <v>425708</v>
      </c>
      <c r="AP6" s="1716">
        <f>IF(C6="住宅",K6*L6,0)</f>
        <v>0</v>
      </c>
      <c r="AQ6" s="52">
        <f>ROUND($L$14*$N$14*S6/10000,0)</f>
        <v>5888</v>
      </c>
      <c r="AR6" s="52">
        <f>ROUND($L$14*(1-$N$14)*S6/10000,0)</f>
        <v>1472</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IF(B7="","",SUMIF(项目基本情况!C$12:I$12,C7,项目基本情况!C$13:I$13))</f>
        <v>57511</v>
      </c>
      <c r="F7" s="64">
        <f>SUMIF(项目基本情况!C$12:I$12,C7,项目基本情况!C$15:I$15)</f>
        <v>34.17</v>
      </c>
      <c r="G7" s="65">
        <f t="shared" ref="G7:G11" si="2">IF(ISERROR(ROUND(POWER(1+H7,D7-F7)*(POWER(1+H7,F7)-1)/(POWER(1+H7,D7)-1),3)),0,ROUND(POWER(1+H7,D7-F7)*(POWER(1+H7,F7)-1)/(POWER(1+H7,D7)-1),3))</f>
        <v>0.94599999999999995</v>
      </c>
      <c r="H7" s="732">
        <v>0.05</v>
      </c>
      <c r="I7" s="732">
        <v>0.06</v>
      </c>
      <c r="J7" s="66">
        <f>J6</f>
        <v>7.4999999999999997E-2</v>
      </c>
      <c r="K7" s="1030">
        <f>SUMIF('数据-汇总表'!C$19:C$33,A7,'数据-汇总表'!E$19:E$33)</f>
        <v>4070.27</v>
      </c>
      <c r="L7" s="733">
        <v>6000</v>
      </c>
      <c r="M7" s="67">
        <f t="shared" si="0"/>
        <v>2442</v>
      </c>
      <c r="N7" s="731">
        <f>N6</f>
        <v>0.8</v>
      </c>
      <c r="O7" s="67">
        <f t="shared" ref="O7:O14" si="3">IF($N$5="成新度","——",ROUND(M7*N7,0))</f>
        <v>1954</v>
      </c>
      <c r="P7" s="68">
        <f t="shared" ref="P7:P14" si="4">IF($N$5="成新度","——",M7-O7)</f>
        <v>488</v>
      </c>
      <c r="Q7" s="734">
        <v>0.2</v>
      </c>
      <c r="R7" s="69">
        <f ca="1">SUMIF('数据-汇总表'!C$19:C$33,A7,'数据-汇总表'!R$19:R$27)</f>
        <v>576.58999999999992</v>
      </c>
      <c r="S7" s="51">
        <f>IF('数据-汇总表'!$I$17="按面积比例",SUMIF('数据-汇总表'!C$19:C$33,A7,'数据-汇总表'!K$19:K$33),SUMIF('数据-汇总表'!C$19:C$33,A7,'数据-汇总表'!N$19:N$33))</f>
        <v>638.57000000000005</v>
      </c>
      <c r="T7" s="1172">
        <f t="shared" ref="T7:T13" si="5">ROUND($L$14*S7/10000,0)</f>
        <v>383</v>
      </c>
      <c r="U7" s="3428">
        <v>10</v>
      </c>
      <c r="V7" s="70">
        <v>0.03</v>
      </c>
      <c r="W7" s="70">
        <v>0.1</v>
      </c>
      <c r="X7" s="1040"/>
      <c r="Y7" s="71">
        <f>Y6</f>
        <v>1</v>
      </c>
      <c r="Z7" s="72"/>
      <c r="AA7" s="66"/>
      <c r="AB7" s="66"/>
      <c r="AC7" s="1040"/>
      <c r="AD7" s="73"/>
      <c r="AE7" s="1041">
        <f t="shared" ref="AE7:AE13" ca="1" si="6">IF(AN7="",0,SUMIF(INDIRECT("'"&amp;AN7&amp;"'"&amp;"!E:E"),$AE$5,INDIRECT("'"&amp;AN7&amp;"'"&amp;"!F:F")))</f>
        <v>33.57</v>
      </c>
      <c r="AF7" s="1348"/>
      <c r="AG7" s="138">
        <f t="shared" ref="AG7:AG13" si="7">IF(AF7="",0,AE7-AF7)</f>
        <v>0</v>
      </c>
      <c r="AH7" s="74"/>
      <c r="AI7" s="76">
        <v>365</v>
      </c>
      <c r="AJ7" s="77"/>
      <c r="AK7" s="78">
        <v>5.0000000000000001E-3</v>
      </c>
      <c r="AL7" s="79">
        <v>1.5E-3</v>
      </c>
      <c r="AM7" s="80">
        <v>0.01</v>
      </c>
      <c r="AN7" s="1715" t="s">
        <v>3426</v>
      </c>
      <c r="AO7" s="52">
        <f t="shared" ref="AO7:AO13" ca="1" si="8">SUMIF(INDIRECT("'"&amp;AN7&amp;"'"&amp;"!A:A"),"总价",INDIRECT("'"&amp;AN7&amp;"'"&amp;"!B:B"))</f>
        <v>22265</v>
      </c>
      <c r="AP7" s="1716">
        <f t="shared" ref="AP7:AP13" si="9">IF(C7="住宅",K7*L7,0)</f>
        <v>0</v>
      </c>
      <c r="AQ7" s="52">
        <f t="shared" ref="AQ7:AQ13" si="10">ROUND($L$14*$N$14*S7/10000,0)</f>
        <v>307</v>
      </c>
      <c r="AR7" s="52">
        <f t="shared" ref="AR7:AR13" si="11">ROUND($L$14*(1-$N$14)*S7/10000,0)</f>
        <v>77</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公寓</v>
      </c>
      <c r="B8" s="1713" t="str">
        <f t="shared" si="1"/>
        <v>经营性</v>
      </c>
      <c r="C8" s="1714" t="s">
        <v>673</v>
      </c>
      <c r="D8" s="858">
        <f>SUMIF(项目基本情况!C$12:I$12,C8,项目基本情况!C$14:I$14)</f>
        <v>40</v>
      </c>
      <c r="E8" s="857">
        <f>IF(B8="","",SUMIF(项目基本情况!C$12:I$12,C8,项目基本情况!C$13:I$13))</f>
        <v>57511</v>
      </c>
      <c r="F8" s="64">
        <f>SUMIF(项目基本情况!C$12:I$12,C8,项目基本情况!C$15:I$15)</f>
        <v>34.17</v>
      </c>
      <c r="G8" s="65">
        <f t="shared" si="2"/>
        <v>0.94599999999999995</v>
      </c>
      <c r="H8" s="732">
        <v>0.05</v>
      </c>
      <c r="I8" s="732">
        <v>5.5E-2</v>
      </c>
      <c r="J8" s="66">
        <f>J6</f>
        <v>7.4999999999999997E-2</v>
      </c>
      <c r="K8" s="1030">
        <f>SUMIF('数据-汇总表'!C$19:C$33,A8,'数据-汇总表'!E$19:E$33)</f>
        <v>77839.66</v>
      </c>
      <c r="L8" s="733">
        <v>7000</v>
      </c>
      <c r="M8" s="67">
        <f>ROUND(K8*L8/10000,0)</f>
        <v>54488</v>
      </c>
      <c r="N8" s="731">
        <f>N6</f>
        <v>0.8</v>
      </c>
      <c r="O8" s="67">
        <f t="shared" si="3"/>
        <v>43590</v>
      </c>
      <c r="P8" s="68">
        <f t="shared" si="4"/>
        <v>10898</v>
      </c>
      <c r="Q8" s="734">
        <v>0.1</v>
      </c>
      <c r="R8" s="69">
        <f ca="1">SUMIF('数据-汇总表'!C$19:C$33,A8,'数据-汇总表'!R$19:R$27)</f>
        <v>11026.64</v>
      </c>
      <c r="S8" s="51">
        <f>IF('数据-汇总表'!$I$17="按面积比例",SUMIF('数据-汇总表'!C$19:C$33,A8,'数据-汇总表'!K$19:K$33),SUMIF('数据-汇总表'!C$19:C$33,A8,'数据-汇总表'!N$19:N$33))</f>
        <v>12212.05</v>
      </c>
      <c r="T8" s="1172">
        <f t="shared" si="5"/>
        <v>7327</v>
      </c>
      <c r="U8" s="3429">
        <v>4</v>
      </c>
      <c r="V8" s="735">
        <v>0.03</v>
      </c>
      <c r="W8" s="735">
        <v>0.1</v>
      </c>
      <c r="X8" s="1040"/>
      <c r="Y8" s="71">
        <f>Y6</f>
        <v>1</v>
      </c>
      <c r="Z8" s="72"/>
      <c r="AA8" s="66"/>
      <c r="AB8" s="66"/>
      <c r="AC8" s="1040"/>
      <c r="AD8" s="73"/>
      <c r="AE8" s="1041">
        <f t="shared" ca="1" si="6"/>
        <v>33.57</v>
      </c>
      <c r="AF8" s="1348"/>
      <c r="AG8" s="138">
        <f t="shared" si="7"/>
        <v>0</v>
      </c>
      <c r="AH8" s="736"/>
      <c r="AI8" s="76">
        <v>365</v>
      </c>
      <c r="AJ8" s="77"/>
      <c r="AK8" s="737">
        <v>5.0000000000000001E-3</v>
      </c>
      <c r="AL8" s="738">
        <v>1.5E-3</v>
      </c>
      <c r="AM8" s="739">
        <v>0.01</v>
      </c>
      <c r="AN8" s="1715" t="s">
        <v>3431</v>
      </c>
      <c r="AO8" s="52">
        <f t="shared" ca="1" si="8"/>
        <v>176363</v>
      </c>
      <c r="AP8" s="1716">
        <f t="shared" si="9"/>
        <v>0</v>
      </c>
      <c r="AQ8" s="52">
        <f t="shared" si="10"/>
        <v>5862</v>
      </c>
      <c r="AR8" s="52">
        <f t="shared" si="11"/>
        <v>1465</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t="str">
        <f>'数据-汇总表'!C22</f>
        <v>地下车库</v>
      </c>
      <c r="B9" s="1713" t="str">
        <f t="shared" si="1"/>
        <v>经营性</v>
      </c>
      <c r="C9" s="1714" t="s">
        <v>3337</v>
      </c>
      <c r="D9" s="858">
        <f>SUMIF(项目基本情况!C$12:I$12,C9,项目基本情况!C$14:I$14)</f>
        <v>50</v>
      </c>
      <c r="E9" s="857">
        <f>IF(B9="","",SUMIF(项目基本情况!C$12:I$12,C9,项目基本情况!C$13:I$13))</f>
        <v>61163</v>
      </c>
      <c r="F9" s="64">
        <f>SUMIF(项目基本情况!C$12:I$12,C9,项目基本情况!C$15:I$15)</f>
        <v>44.18</v>
      </c>
      <c r="G9" s="65">
        <f t="shared" si="2"/>
        <v>0.96899999999999997</v>
      </c>
      <c r="H9" s="66">
        <v>0.05</v>
      </c>
      <c r="I9" s="66">
        <v>5.5E-2</v>
      </c>
      <c r="J9" s="66">
        <f>J6</f>
        <v>7.4999999999999997E-2</v>
      </c>
      <c r="K9" s="1030">
        <f>SUMIF('数据-汇总表'!C$19:C$33,A9,'数据-汇总表'!E$19:E$33)</f>
        <v>16223.64</v>
      </c>
      <c r="L9" s="733">
        <v>6000</v>
      </c>
      <c r="M9" s="67">
        <f t="shared" si="0"/>
        <v>9734</v>
      </c>
      <c r="N9" s="731">
        <f>N6</f>
        <v>0.8</v>
      </c>
      <c r="O9" s="67">
        <f t="shared" si="3"/>
        <v>7787</v>
      </c>
      <c r="P9" s="68">
        <f t="shared" si="4"/>
        <v>1947</v>
      </c>
      <c r="Q9" s="81">
        <v>0.05</v>
      </c>
      <c r="R9" s="69">
        <f ca="1">SUMIF('数据-汇总表'!C$19:C$33,A9,'数据-汇总表'!R$19:R$27)</f>
        <v>2298.21</v>
      </c>
      <c r="S9" s="51">
        <f>IF('数据-汇总表'!$I$17="按面积比例",SUMIF('数据-汇总表'!C$19:C$33,A9,'数据-汇总表'!K$19:K$33),SUMIF('数据-汇总表'!C$19:C$33,A9,'数据-汇总表'!N$19:N$33))</f>
        <v>2545.2800000000002</v>
      </c>
      <c r="T9" s="1172">
        <f t="shared" si="5"/>
        <v>1527</v>
      </c>
      <c r="U9" s="3428">
        <v>1000</v>
      </c>
      <c r="V9" s="70">
        <v>2.5000000000000001E-2</v>
      </c>
      <c r="W9" s="70">
        <v>0.1</v>
      </c>
      <c r="X9" s="1040"/>
      <c r="Y9" s="71">
        <f>Y6</f>
        <v>1</v>
      </c>
      <c r="Z9" s="72"/>
      <c r="AA9" s="66"/>
      <c r="AB9" s="66"/>
      <c r="AC9" s="1040"/>
      <c r="AD9" s="73"/>
      <c r="AE9" s="1041">
        <f t="shared" ca="1" si="6"/>
        <v>43.58</v>
      </c>
      <c r="AF9" s="1348"/>
      <c r="AG9" s="138">
        <f t="shared" si="7"/>
        <v>0</v>
      </c>
      <c r="AH9" s="74">
        <f>ROUNDDOWN('数据-汇总表'!G22/35,0)</f>
        <v>463</v>
      </c>
      <c r="AI9" s="76">
        <v>12</v>
      </c>
      <c r="AJ9" s="77"/>
      <c r="AK9" s="78">
        <v>5.0000000000000001E-3</v>
      </c>
      <c r="AL9" s="79">
        <v>1.5E-3</v>
      </c>
      <c r="AM9" s="80">
        <v>0.01</v>
      </c>
      <c r="AN9" s="1715" t="s">
        <v>3428</v>
      </c>
      <c r="AO9" s="52">
        <f t="shared" ca="1" si="8"/>
        <v>7606</v>
      </c>
      <c r="AP9" s="1716">
        <f t="shared" si="9"/>
        <v>0</v>
      </c>
      <c r="AQ9" s="52">
        <f t="shared" si="10"/>
        <v>1222</v>
      </c>
      <c r="AR9" s="52">
        <f t="shared" si="11"/>
        <v>305</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27663.32</v>
      </c>
      <c r="L14" s="82">
        <v>6000</v>
      </c>
      <c r="M14" s="67">
        <f t="shared" si="0"/>
        <v>16598</v>
      </c>
      <c r="N14" s="83">
        <f>N6</f>
        <v>0.8</v>
      </c>
      <c r="O14" s="67">
        <f t="shared" si="3"/>
        <v>13278</v>
      </c>
      <c r="P14" s="68">
        <f t="shared" si="4"/>
        <v>3320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1250.6200000000001</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0.95799999999999996</v>
      </c>
      <c r="H16" s="90">
        <f>ROUND(SUMPRODUCT(H6:H13,K6:K13)/SUMPRODUCT((H6:H13&gt;0)*(K6:K13)),3)</f>
        <v>0.05</v>
      </c>
      <c r="I16" s="91"/>
      <c r="J16" s="91"/>
      <c r="K16" s="92">
        <f>SUM(K6:K15)</f>
        <v>205240.05</v>
      </c>
      <c r="L16" s="93">
        <f>ROUND(M16*10000/SUM(K6:K14),0)</f>
        <v>6382</v>
      </c>
      <c r="M16" s="93">
        <f>SUM(M6:M14)</f>
        <v>130178</v>
      </c>
      <c r="N16" s="94">
        <f>ROUND(SUMPRODUCT(M6:M14,N6:N14)/M16,3)</f>
        <v>0.8</v>
      </c>
      <c r="O16" s="93">
        <f>SUM(O6:O14)</f>
        <v>104142</v>
      </c>
      <c r="P16" s="93">
        <f>SUM(P6:P14)</f>
        <v>26036</v>
      </c>
      <c r="Q16" s="95">
        <f>ROUND(SUMPRODUCT(Q6:Q13,K6:K13)/SUMPRODUCT((Q6:Q13&gt;0)*(K6:K13)),2)</f>
        <v>0.14000000000000001</v>
      </c>
      <c r="R16" s="1034">
        <f ca="1">SUM(R6:R13)</f>
        <v>24978.07</v>
      </c>
      <c r="S16" s="96">
        <f>SUM(S6:S13)</f>
        <v>27663.309999999998</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3</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f>B20*N16</f>
        <v>2.4000000000000004</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3</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2.4000000000000004</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0.59999999999999964</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4105</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3396</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t="s">
        <v>110</v>
      </c>
      <c r="C53" s="2661" t="s">
        <v>1245</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f>C57</f>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8" t="s">
        <v>2285</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19" sqref="H1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205240.05</v>
      </c>
      <c r="C1" s="2686"/>
      <c r="D1" s="2686"/>
      <c r="E1" s="2686"/>
      <c r="F1" s="2686"/>
      <c r="G1" s="2687"/>
      <c r="H1" s="2688"/>
      <c r="I1" s="2688"/>
      <c r="J1" s="2688"/>
      <c r="K1" s="2688"/>
    </row>
    <row r="2" spans="1:11" ht="16.5">
      <c r="A2" s="2512" t="s">
        <v>653</v>
      </c>
      <c r="B2" s="2512">
        <f>SUM(C14:C23)</f>
        <v>25131.21</v>
      </c>
      <c r="C2" s="2686"/>
      <c r="D2" s="2686"/>
      <c r="E2" s="2686"/>
      <c r="F2" s="2686"/>
      <c r="G2" s="2687"/>
      <c r="H2" s="2688"/>
      <c r="I2" s="2688"/>
      <c r="J2" s="2688"/>
      <c r="K2" s="2688"/>
    </row>
    <row r="3" spans="1:11" ht="16.5">
      <c r="A3" s="2512" t="s">
        <v>662</v>
      </c>
      <c r="B3" s="2514">
        <f>项目基本情况!D3</f>
        <v>45037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551459</v>
      </c>
      <c r="C5" s="2512">
        <f ca="1">IF(B5=D14,结果表!H102,ROUND(B5*10000/$B$1,0))</f>
        <v>26869</v>
      </c>
      <c r="D5" s="2512">
        <f ca="1">ROUND(B5*10000/$B$2,0)</f>
        <v>219432</v>
      </c>
      <c r="E5" s="2686"/>
      <c r="F5" s="2687"/>
      <c r="G5" s="2687"/>
      <c r="H5" s="2688"/>
      <c r="I5" s="2688"/>
      <c r="J5" s="2688"/>
      <c r="K5" s="2688"/>
    </row>
    <row r="6" spans="1:11" ht="16.5">
      <c r="A6" s="2512" t="s">
        <v>656</v>
      </c>
      <c r="B6" s="2512">
        <f ca="1">SUM(G14:G23)</f>
        <v>551459</v>
      </c>
      <c r="C6" s="2512">
        <f ca="1">IF(B6=G14,结果表!H108,ROUND(B6*10000/$B$1,0))</f>
        <v>26869</v>
      </c>
      <c r="D6" s="2512">
        <f ca="1">ROUND(B6*10000/$B$2,0)</f>
        <v>219432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521772</v>
      </c>
      <c r="C8" s="2512">
        <f ca="1">IF(B8=I14,结果表!H112,ROUND(B8*10000/$B$1,0))</f>
        <v>25423</v>
      </c>
      <c r="D8" s="2512">
        <f ca="1">ROUND(B8*10000/$B$2,0)</f>
        <v>207619</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205240.05</v>
      </c>
      <c r="C14" s="2518">
        <f>结果表!C118</f>
        <v>25131.21</v>
      </c>
      <c r="D14" s="2518">
        <f ca="1">结果表!H118</f>
        <v>551459</v>
      </c>
      <c r="E14" s="2518">
        <f ca="1">ROUND(D14*10000/B14,0)</f>
        <v>26869</v>
      </c>
      <c r="F14" s="2518">
        <f ca="1">ROUND(D14*10000/C14,0)</f>
        <v>219432</v>
      </c>
      <c r="G14" s="2518">
        <f ca="1">结果表!D122</f>
        <v>551459</v>
      </c>
      <c r="H14" s="2518"/>
      <c r="I14" s="2518">
        <f ca="1">结果表!D126</f>
        <v>521772</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G23" sqref="G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3412</v>
      </c>
      <c r="H1" s="1750" t="str">
        <f>IF(G1="现房","——","估价对象范围")</f>
        <v>估价对象范围</v>
      </c>
      <c r="I1" s="1751" t="s">
        <v>3413</v>
      </c>
    </row>
    <row r="2" spans="1:12" ht="21.75" customHeight="1" thickBot="1">
      <c r="A2" s="3617" t="str">
        <f>项目基本情况!S2</f>
        <v>北京市出让国有建设用地使用权及在建建筑物房地产</v>
      </c>
      <c r="B2" s="3618"/>
      <c r="C2" s="3618"/>
      <c r="D2" s="3618"/>
      <c r="E2" s="3618"/>
      <c r="F2" s="3618"/>
      <c r="G2" s="3618"/>
      <c r="H2" s="3618"/>
      <c r="I2" s="3619"/>
    </row>
    <row r="3" spans="1:12" ht="12.75">
      <c r="A3" s="3621" t="s">
        <v>1263</v>
      </c>
      <c r="B3" s="3622"/>
      <c r="C3" s="3622"/>
      <c r="D3" s="3622"/>
      <c r="E3" s="3622"/>
      <c r="F3" s="3622"/>
      <c r="G3" s="3622"/>
      <c r="H3" s="3622"/>
      <c r="I3" s="3622"/>
    </row>
    <row r="4" spans="1:12" ht="14.25">
      <c r="A4" s="1754" t="s">
        <v>1264</v>
      </c>
      <c r="B4" s="1755" t="s">
        <v>1265</v>
      </c>
      <c r="C4" s="1756" t="s">
        <v>3410</v>
      </c>
      <c r="D4" s="1756" t="s">
        <v>3411</v>
      </c>
      <c r="E4" s="3626" t="s">
        <v>1266</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5" t="s">
        <v>1267</v>
      </c>
      <c r="B5" s="3620">
        <v>25</v>
      </c>
      <c r="C5" s="3623"/>
      <c r="D5" s="3611"/>
      <c r="E5" s="131" t="s">
        <v>1268</v>
      </c>
      <c r="F5" s="1757"/>
      <c r="G5" s="1757"/>
      <c r="H5" s="1757"/>
      <c r="I5" s="1373"/>
    </row>
    <row r="6" spans="1:12" ht="12.75">
      <c r="A6" s="3565"/>
      <c r="B6" s="3620"/>
      <c r="C6" s="3625"/>
      <c r="D6" s="3611"/>
      <c r="E6" s="131" t="s">
        <v>1269</v>
      </c>
      <c r="F6" s="1757"/>
      <c r="G6" s="1757"/>
      <c r="H6" s="1757"/>
      <c r="I6" s="1373"/>
    </row>
    <row r="7" spans="1:12" ht="12.75">
      <c r="A7" s="3565"/>
      <c r="B7" s="3620"/>
      <c r="C7" s="3624"/>
      <c r="D7" s="3611"/>
      <c r="E7" s="131" t="s">
        <v>1270</v>
      </c>
      <c r="F7" s="1757"/>
      <c r="G7" s="1757"/>
      <c r="H7" s="1757"/>
      <c r="I7" s="1373"/>
    </row>
    <row r="8" spans="1:12" ht="12.75">
      <c r="A8" s="3565" t="s">
        <v>1271</v>
      </c>
      <c r="B8" s="3620">
        <v>15</v>
      </c>
      <c r="C8" s="3623"/>
      <c r="D8" s="3611"/>
      <c r="E8" s="131" t="s">
        <v>1272</v>
      </c>
      <c r="F8" s="1757"/>
      <c r="G8" s="1757"/>
      <c r="H8" s="1757"/>
      <c r="I8" s="1373"/>
    </row>
    <row r="9" spans="1:12" ht="12.75">
      <c r="A9" s="3565"/>
      <c r="B9" s="3620"/>
      <c r="C9" s="3624"/>
      <c r="D9" s="3611"/>
      <c r="E9" s="131" t="s">
        <v>1273</v>
      </c>
      <c r="F9" s="1757"/>
      <c r="G9" s="1757"/>
      <c r="H9" s="1757"/>
      <c r="I9" s="1373"/>
    </row>
    <row r="10" spans="1:12" ht="12.75">
      <c r="A10" s="3565" t="s">
        <v>1274</v>
      </c>
      <c r="B10" s="3620">
        <v>15</v>
      </c>
      <c r="C10" s="3623"/>
      <c r="D10" s="3611"/>
      <c r="E10" s="131" t="s">
        <v>1275</v>
      </c>
      <c r="F10" s="1757"/>
      <c r="G10" s="1757"/>
      <c r="H10" s="1757"/>
      <c r="I10" s="1373"/>
    </row>
    <row r="11" spans="1:12" ht="12.75">
      <c r="A11" s="3565"/>
      <c r="B11" s="3620"/>
      <c r="C11" s="3624"/>
      <c r="D11" s="3611"/>
      <c r="E11" s="131" t="s">
        <v>1276</v>
      </c>
      <c r="F11" s="1757"/>
      <c r="G11" s="1757"/>
      <c r="H11" s="1757"/>
      <c r="I11" s="1373"/>
    </row>
    <row r="12" spans="1:12" ht="12.75">
      <c r="A12" s="3565" t="s">
        <v>1277</v>
      </c>
      <c r="B12" s="3620">
        <v>15</v>
      </c>
      <c r="C12" s="3623"/>
      <c r="D12" s="3611"/>
      <c r="E12" s="131" t="s">
        <v>1278</v>
      </c>
      <c r="F12" s="1757"/>
      <c r="G12" s="1757"/>
      <c r="H12" s="1757"/>
      <c r="I12" s="1373"/>
    </row>
    <row r="13" spans="1:12" ht="12.75">
      <c r="A13" s="3565"/>
      <c r="B13" s="3620"/>
      <c r="C13" s="3624"/>
      <c r="D13" s="3611"/>
      <c r="E13" s="131" t="s">
        <v>1279</v>
      </c>
      <c r="F13" s="1757"/>
      <c r="G13" s="1757"/>
      <c r="H13" s="1757"/>
      <c r="I13" s="1373"/>
    </row>
    <row r="14" spans="1:12" ht="12.75">
      <c r="A14" s="3565" t="s">
        <v>1280</v>
      </c>
      <c r="B14" s="3620">
        <v>30</v>
      </c>
      <c r="C14" s="3623">
        <v>5</v>
      </c>
      <c r="D14" s="3611">
        <v>5</v>
      </c>
      <c r="E14" s="131" t="s">
        <v>1281</v>
      </c>
      <c r="F14" s="1757"/>
      <c r="G14" s="1757"/>
      <c r="H14" s="1757"/>
      <c r="I14" s="1373"/>
    </row>
    <row r="15" spans="1:12" ht="12.75">
      <c r="A15" s="3565"/>
      <c r="B15" s="3620"/>
      <c r="C15" s="3625"/>
      <c r="D15" s="3611"/>
      <c r="E15" s="131" t="s">
        <v>1282</v>
      </c>
      <c r="F15" s="1757"/>
      <c r="G15" s="1757"/>
      <c r="H15" s="1757"/>
      <c r="I15" s="1373"/>
    </row>
    <row r="16" spans="1:12" ht="12.75">
      <c r="A16" s="3565"/>
      <c r="B16" s="3620"/>
      <c r="C16" s="3624"/>
      <c r="D16" s="3611"/>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42" t="s">
        <v>2130</v>
      </c>
      <c r="F18" s="3643"/>
      <c r="G18" s="3643"/>
      <c r="H18" s="3643"/>
      <c r="I18" s="3643"/>
      <c r="K18" s="302" t="s">
        <v>1288</v>
      </c>
      <c r="L18" s="302">
        <f>IF(C1="",'数据-汇总表'!E3,SUMIF(项目类型,C1,'数据-汇总表'!E17:E26)+SUMIF(项目类型,C1,'数据-汇总表'!I17:I26))</f>
        <v>205240.05</v>
      </c>
      <c r="M18" s="302">
        <f>IF(C1="",'数据-汇总表'!E3,SUMIF(项目类型,C1,'数据-汇总表'!E17:E26))</f>
        <v>205240.05</v>
      </c>
    </row>
    <row r="19" spans="1:36" ht="15">
      <c r="A19" s="1761" t="s">
        <v>1289</v>
      </c>
      <c r="B19" s="1762" t="s">
        <v>1290</v>
      </c>
      <c r="C19" s="134">
        <f ca="1">SUMIF(INDIRECT("'"&amp;C4&amp;"'"&amp;"!A:A"),结果表!B19,INDIRECT("'"&amp;C4&amp;"'"&amp;"!B:B"))</f>
        <v>584296</v>
      </c>
      <c r="D19" s="135">
        <f ca="1">SUMIF(INDIRECT("'"&amp;D4&amp;"'"&amp;"!A:A"),结果表!B19,INDIRECT("'"&amp;D4&amp;"'"&amp;"!B:B"))</f>
        <v>518621</v>
      </c>
      <c r="E19" s="1761" t="s">
        <v>1291</v>
      </c>
      <c r="F19" s="1762" t="s">
        <v>1290</v>
      </c>
      <c r="G19" s="136">
        <f ca="1">ROUND(C19*$C$18+D19*$D$18,0)</f>
        <v>551459</v>
      </c>
      <c r="H19" s="1763" t="s">
        <v>1292</v>
      </c>
      <c r="I19" s="129"/>
      <c r="K19" s="302" t="s">
        <v>1293</v>
      </c>
      <c r="L19" s="302">
        <f>IF(C1="",'数据-汇总表'!D3,SUMIF(项目类型,C1,'数据-汇总表'!D17:D26)+SUMIF(项目类型,C1,'数据-汇总表'!H17:H27))</f>
        <v>25131.21</v>
      </c>
      <c r="M19" s="302">
        <f>IF(C1="",'数据-汇总表'!D3,SUMIF(项目类型,C1,'数据-汇总表'!D17:D26))</f>
        <v>25131.21</v>
      </c>
    </row>
    <row r="20" spans="1:36" ht="15">
      <c r="A20" s="1764"/>
      <c r="B20" s="1026" t="s">
        <v>1294</v>
      </c>
      <c r="C20" s="137">
        <f ca="1">SUMIF(INDIRECT("'"&amp;C4&amp;"'"&amp;"!A:A"),结果表!B20,INDIRECT("'"&amp;C4&amp;"'"&amp;"!B:B"))</f>
        <v>28469</v>
      </c>
      <c r="D20" s="138">
        <f ca="1">SUMIF(INDIRECT("'"&amp;D4&amp;"'"&amp;"!A:A"),结果表!B20,INDIRECT("'"&amp;D4&amp;"'"&amp;"!B:B"))</f>
        <v>25269</v>
      </c>
      <c r="E20" s="1764"/>
      <c r="F20" s="1026" t="s">
        <v>1294</v>
      </c>
      <c r="G20" s="139">
        <f ca="1">ROUND(C20*$C$18+D20*$D$18,0)</f>
        <v>26869</v>
      </c>
      <c r="H20" s="808" t="s">
        <v>1295</v>
      </c>
      <c r="I20" s="129"/>
    </row>
    <row r="21" spans="1:36" ht="15" customHeight="1" thickBot="1">
      <c r="A21" s="828"/>
      <c r="B21" s="1765" t="s">
        <v>1296</v>
      </c>
      <c r="C21" s="719">
        <f ca="1">ROUND(C19*10000/L19,0)</f>
        <v>232498</v>
      </c>
      <c r="D21" s="720">
        <f ca="1">ROUND(D19*10000/L19,0)</f>
        <v>206365</v>
      </c>
      <c r="E21" s="828"/>
      <c r="F21" s="1765" t="s">
        <v>1296</v>
      </c>
      <c r="G21" s="140">
        <f ca="1">ROUND(G19*10000/L19,0)</f>
        <v>219432</v>
      </c>
      <c r="H21" s="1766" t="s">
        <v>1295</v>
      </c>
      <c r="I21" s="129"/>
    </row>
    <row r="22" spans="1:36" ht="15" thickBot="1">
      <c r="A22" s="1688" t="s">
        <v>1297</v>
      </c>
      <c r="B22" s="1767"/>
      <c r="C22" s="1768"/>
      <c r="D22" s="721">
        <f ca="1">IF(C19&lt;D19,D19/C19-1,C19/D19-1)</f>
        <v>0.12663390028556498</v>
      </c>
      <c r="E22" s="129"/>
      <c r="F22" s="129"/>
      <c r="G22" s="129"/>
      <c r="H22" s="129"/>
      <c r="I22" s="129"/>
    </row>
    <row r="23" spans="1:36" ht="13.5" thickBot="1">
      <c r="A23" s="1747"/>
      <c r="B23" s="1747"/>
      <c r="C23" s="1747"/>
      <c r="D23" s="1747"/>
      <c r="E23" s="129"/>
      <c r="F23" s="129"/>
      <c r="G23" s="129"/>
      <c r="H23" s="129"/>
      <c r="I23" s="129"/>
    </row>
    <row r="24" spans="1:36" ht="14.25">
      <c r="A24" s="3635" t="s">
        <v>1298</v>
      </c>
      <c r="B24" s="1762" t="s">
        <v>1290</v>
      </c>
      <c r="C24" s="136">
        <f>IF(B30=0,0,D30)</f>
        <v>0</v>
      </c>
      <c r="D24" s="1769"/>
      <c r="E24" s="129"/>
      <c r="F24" s="129"/>
      <c r="G24" s="129"/>
      <c r="H24" s="129"/>
      <c r="I24" s="129"/>
    </row>
    <row r="25" spans="1:36" ht="14.25">
      <c r="A25" s="363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551459</v>
      </c>
      <c r="D32" s="1775" t="s">
        <v>3414</v>
      </c>
      <c r="E32" s="129"/>
      <c r="F32" s="129"/>
      <c r="G32" s="129"/>
      <c r="H32" s="129"/>
      <c r="I32" s="129"/>
    </row>
    <row r="33" spans="1:15" ht="15">
      <c r="A33" s="786" t="s">
        <v>1305</v>
      </c>
      <c r="B33" s="1776"/>
      <c r="C33" s="1777" t="s">
        <v>3415</v>
      </c>
      <c r="D33" s="1778" t="s">
        <v>3410</v>
      </c>
      <c r="E33" s="1779" t="s">
        <v>1306</v>
      </c>
      <c r="F33" s="1780" t="str">
        <f>IF(D32="楼面单价","取值（单价）","取值（总价）")</f>
        <v>取值（总价）</v>
      </c>
      <c r="G33" s="129"/>
      <c r="H33" s="129"/>
      <c r="I33" s="129"/>
    </row>
    <row r="34" spans="1:15" ht="15">
      <c r="A34" s="1781"/>
      <c r="B34" s="1782" t="s">
        <v>1307</v>
      </c>
      <c r="C34" s="148">
        <f ca="1">IF(C33="自定义",F34,C32-C35)</f>
        <v>409734</v>
      </c>
      <c r="D34" s="861">
        <f ca="1">IF(C33="自定义",ROUND(C34/C32,3),IF(C33="收益比率",SUMIF(INDIRECT("'"&amp;D33&amp;"'"&amp;"!b:b"),"土地收益比率",INDIRECT("'"&amp;D33&amp;"'"&amp;"!c:c")),SUMIF(INDIRECT("'"&amp;D33&amp;"'"&amp;"!b:b"),"土地成本比率",INDIRECT("'"&amp;D33&amp;"'"&amp;"!c:c"))))</f>
        <v>0.74299999999999999</v>
      </c>
      <c r="E34" s="1783" t="s">
        <v>1308</v>
      </c>
      <c r="F34" s="1330"/>
      <c r="G34" s="129"/>
      <c r="H34" s="129"/>
      <c r="I34" s="129"/>
    </row>
    <row r="35" spans="1:15" ht="15.75" thickBot="1">
      <c r="A35" s="1784"/>
      <c r="B35" s="1785" t="s">
        <v>1309</v>
      </c>
      <c r="C35" s="1170">
        <f ca="1">IF(C33="自定义",F35,ROUND(C32*D35,0))</f>
        <v>141725</v>
      </c>
      <c r="D35" s="1171">
        <f ca="1">IF(C33="自定义",ROUND(C35/C32,3),IF(C33="收益比率",SUMIF(INDIRECT("'"&amp;D33&amp;"'"&amp;"!b:b"),"建筑物收益比率",INDIRECT("'"&amp;D33&amp;"'"&amp;"!c:c")),SUMIF(INDIRECT("'"&amp;D33&amp;"'"&amp;"!b:b"),"建筑物成本比率",INDIRECT("'"&amp;D33&amp;"'"&amp;"!c:c"))))</f>
        <v>0.25700000000000001</v>
      </c>
      <c r="E35" s="1786" t="s">
        <v>1310</v>
      </c>
      <c r="F35" s="154"/>
      <c r="G35" s="129"/>
      <c r="H35" s="129"/>
      <c r="I35" s="129"/>
    </row>
    <row r="36" spans="1:15" ht="15.75" thickBot="1">
      <c r="A36" s="3612" t="s">
        <v>1311</v>
      </c>
      <c r="B36" s="1787" t="s">
        <v>1312</v>
      </c>
      <c r="C36" s="145"/>
      <c r="D36" s="1788"/>
      <c r="E36" s="1789"/>
      <c r="F36" s="1790"/>
      <c r="G36" s="129"/>
      <c r="H36" s="129"/>
      <c r="I36" s="129"/>
    </row>
    <row r="37" spans="1:15" ht="15.75" thickBot="1">
      <c r="A37" s="3613"/>
      <c r="B37" s="1674" t="s">
        <v>1313</v>
      </c>
      <c r="C37" s="147"/>
      <c r="D37" s="1139"/>
      <c r="E37" s="1139"/>
      <c r="F37" s="1790"/>
      <c r="G37" s="129"/>
      <c r="H37" s="129"/>
      <c r="I37" s="129"/>
    </row>
    <row r="38" spans="1:15" ht="15.75" thickBot="1">
      <c r="A38" s="361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32" t="s">
        <v>1325</v>
      </c>
      <c r="B45" s="3633"/>
      <c r="C45" s="3634"/>
      <c r="D45" s="155">
        <f ca="1">ROUND(H101*F45,0)</f>
        <v>551459</v>
      </c>
      <c r="E45" s="156" t="s">
        <v>1326</v>
      </c>
      <c r="F45" s="157">
        <v>1</v>
      </c>
      <c r="G45" s="158" t="s">
        <v>1327</v>
      </c>
      <c r="H45" s="129"/>
      <c r="I45" s="129"/>
      <c r="J45" s="3552" t="s">
        <v>1328</v>
      </c>
      <c r="K45" s="3552"/>
      <c r="L45" s="3552"/>
      <c r="M45" s="3552"/>
      <c r="N45" s="3552"/>
      <c r="O45" s="3552"/>
    </row>
    <row r="46" spans="1:15" ht="14.25" customHeight="1">
      <c r="A46" s="3629" t="s">
        <v>1329</v>
      </c>
      <c r="B46" s="3630"/>
      <c r="C46" s="3630"/>
      <c r="D46" s="3630"/>
      <c r="E46" s="3630"/>
      <c r="F46" s="3630"/>
      <c r="G46" s="3631"/>
      <c r="H46" s="1806"/>
      <c r="I46" s="159"/>
      <c r="J46" s="2523">
        <v>1</v>
      </c>
      <c r="K46" s="3553" t="s">
        <v>1330</v>
      </c>
      <c r="L46" s="3553"/>
      <c r="M46" s="3554"/>
      <c r="N46" s="3554"/>
      <c r="O46" s="3554"/>
    </row>
    <row r="47" spans="1:15" ht="12" customHeight="1">
      <c r="A47" s="160" t="s">
        <v>1331</v>
      </c>
      <c r="B47" s="161"/>
      <c r="C47" s="162"/>
      <c r="D47" s="1087" t="s">
        <v>1332</v>
      </c>
      <c r="E47" s="302" t="s">
        <v>1333</v>
      </c>
      <c r="F47" s="163" t="s">
        <v>1334</v>
      </c>
      <c r="G47" s="2546" t="s">
        <v>1335</v>
      </c>
      <c r="H47" s="2547"/>
      <c r="I47" s="159"/>
      <c r="J47" s="2523">
        <v>2</v>
      </c>
      <c r="K47" s="3553" t="s">
        <v>1336</v>
      </c>
      <c r="L47" s="3553"/>
      <c r="M47" s="3555">
        <f>'数据-取费表'!B2</f>
        <v>45037</v>
      </c>
      <c r="N47" s="3555"/>
      <c r="O47" s="3555"/>
    </row>
    <row r="48" spans="1:15" ht="25.5">
      <c r="A48" s="3615" t="s">
        <v>1337</v>
      </c>
      <c r="B48" s="3616"/>
      <c r="C48" s="3616"/>
      <c r="D48" s="2324">
        <f ca="1">IF(H48="情况1",0,IF(H48="情况2",D52,IF(H48="情况3",D53,IF(H48="情况4",D54))))</f>
        <v>29411</v>
      </c>
      <c r="E48" s="2334" t="str">
        <f>IF(H48="情况4","(销售额-原购置价)×税（费）率","销售额×税（费）率")</f>
        <v>销售额×税（费）率</v>
      </c>
      <c r="F48" s="2548">
        <f>IF(H48="情况1","免征",'数据-取费表'!B41)</f>
        <v>5.6000000000000001E-2</v>
      </c>
      <c r="G48" s="2549" t="s">
        <v>1338</v>
      </c>
      <c r="H48" s="2550" t="s">
        <v>3433</v>
      </c>
      <c r="I48" s="1806"/>
      <c r="J48" s="2523">
        <v>3</v>
      </c>
      <c r="K48" s="3553" t="s">
        <v>1339</v>
      </c>
      <c r="L48" s="3553"/>
      <c r="M48" s="3556">
        <f ca="1">H101</f>
        <v>551459</v>
      </c>
      <c r="N48" s="3556"/>
      <c r="O48" s="3556"/>
    </row>
    <row r="49" spans="1:35" ht="25.5" customHeight="1">
      <c r="A49" s="2333" t="s">
        <v>1340</v>
      </c>
      <c r="B49" s="3601" t="s">
        <v>1341</v>
      </c>
      <c r="C49" s="3601"/>
      <c r="D49" s="1590">
        <v>0</v>
      </c>
      <c r="E49" s="324" t="s">
        <v>1342</v>
      </c>
      <c r="F49" s="2424" t="s">
        <v>28</v>
      </c>
      <c r="G49" s="3584"/>
      <c r="H49" s="2310" t="s">
        <v>2133</v>
      </c>
      <c r="I49" s="2311"/>
      <c r="J49" s="2523">
        <v>4</v>
      </c>
      <c r="K49" s="3553" t="str">
        <f>IF(项目基本情况!E8="房地产抵押价值","房地产抵押价值","抵押担保权已注销时的房地产抵押价值")</f>
        <v>房地产抵押价值</v>
      </c>
      <c r="L49" s="3553"/>
      <c r="M49" s="3556">
        <f ca="1">IF(项目基本情况!E8="房地产抵押价值",H107,H109)</f>
        <v>551459</v>
      </c>
      <c r="N49" s="3556"/>
      <c r="O49" s="3556"/>
    </row>
    <row r="50" spans="1:35" ht="25.5" customHeight="1">
      <c r="A50" s="2551"/>
      <c r="B50" s="3601" t="s">
        <v>1343</v>
      </c>
      <c r="C50" s="3601"/>
      <c r="D50" s="2552"/>
      <c r="E50" s="332"/>
      <c r="F50" s="2424"/>
      <c r="G50" s="3585"/>
      <c r="H50" s="2312" t="s">
        <v>2134</v>
      </c>
      <c r="I50" s="2311"/>
      <c r="J50" s="3552" t="s">
        <v>1344</v>
      </c>
      <c r="K50" s="3552"/>
      <c r="L50" s="3552"/>
      <c r="M50" s="3552"/>
      <c r="N50" s="3552"/>
      <c r="O50" s="3552"/>
    </row>
    <row r="51" spans="1:35" ht="20.45" customHeight="1">
      <c r="A51" s="2553"/>
      <c r="B51" s="3601" t="s">
        <v>1345</v>
      </c>
      <c r="C51" s="3601"/>
      <c r="D51" s="1087"/>
      <c r="E51" s="327"/>
      <c r="F51" s="2424"/>
      <c r="G51" s="3586"/>
      <c r="H51" s="2312" t="s">
        <v>2135</v>
      </c>
      <c r="I51" s="2311"/>
      <c r="J51" s="2524" t="s">
        <v>1346</v>
      </c>
      <c r="K51" s="3553" t="s">
        <v>1347</v>
      </c>
      <c r="L51" s="3553"/>
      <c r="M51" s="2524" t="s">
        <v>1348</v>
      </c>
      <c r="N51" s="2524" t="s">
        <v>1349</v>
      </c>
      <c r="O51" s="2524" t="s">
        <v>1350</v>
      </c>
    </row>
    <row r="52" spans="1:35" ht="24" customHeight="1">
      <c r="A52" s="2335" t="s">
        <v>1351</v>
      </c>
      <c r="B52" s="3601" t="s">
        <v>1352</v>
      </c>
      <c r="C52" s="3601"/>
      <c r="D52" s="1087">
        <f ca="1">ROUND(D45*'数据-取费表'!B41/(1+'数据-取费表'!C42),0)</f>
        <v>29411</v>
      </c>
      <c r="E52" s="2334" t="s">
        <v>1353</v>
      </c>
      <c r="F52" s="2554">
        <f>'数据-取费表'!B41</f>
        <v>5.6000000000000001E-2</v>
      </c>
      <c r="G52" s="2555"/>
      <c r="H52" s="2544"/>
      <c r="I52" s="1807"/>
      <c r="J52" s="2523">
        <v>1</v>
      </c>
      <c r="K52" s="3578" t="s">
        <v>1354</v>
      </c>
      <c r="L52" s="3578"/>
      <c r="M52" s="2525">
        <f ca="1">D48</f>
        <v>29411</v>
      </c>
      <c r="N52" s="2523" t="str">
        <f>E48</f>
        <v>销售额×税（费）率</v>
      </c>
      <c r="O52" s="2526">
        <f>F48</f>
        <v>5.6000000000000001E-2</v>
      </c>
    </row>
    <row r="53" spans="1:35" ht="12" customHeight="1">
      <c r="A53" s="2335" t="s">
        <v>1355</v>
      </c>
      <c r="B53" s="3602" t="s">
        <v>2290</v>
      </c>
      <c r="C53" s="3603"/>
      <c r="D53" s="1087">
        <f ca="1">ROUND(D45*'数据-取费表'!B41/(1+'数据-取费表'!C42),0)</f>
        <v>29411</v>
      </c>
      <c r="E53" s="2334" t="s">
        <v>1353</v>
      </c>
      <c r="F53" s="2554">
        <f>'数据-取费表'!B41</f>
        <v>5.6000000000000001E-2</v>
      </c>
      <c r="G53" s="2555"/>
      <c r="H53" s="2544"/>
      <c r="I53" s="1807"/>
      <c r="J53" s="2523">
        <v>2</v>
      </c>
      <c r="K53" s="3578" t="s">
        <v>1356</v>
      </c>
      <c r="L53" s="3578"/>
      <c r="M53" s="2525">
        <f t="shared" ref="M53:O54" ca="1" si="0">D55</f>
        <v>276</v>
      </c>
      <c r="N53" s="2523" t="str">
        <f t="shared" si="0"/>
        <v>销售额×税（费）率</v>
      </c>
      <c r="O53" s="2526">
        <f t="shared" si="0"/>
        <v>5.0000000000000001E-4</v>
      </c>
    </row>
    <row r="54" spans="1:35" ht="12" customHeight="1">
      <c r="A54" s="2335" t="s">
        <v>1357</v>
      </c>
      <c r="B54" s="3602" t="s">
        <v>2291</v>
      </c>
      <c r="C54" s="3603"/>
      <c r="D54" s="1087">
        <f ca="1">C68</f>
        <v>29411</v>
      </c>
      <c r="E54" s="327" t="s">
        <v>1358</v>
      </c>
      <c r="F54" s="2554">
        <f>'数据-取费表'!B41</f>
        <v>5.6000000000000001E-2</v>
      </c>
      <c r="G54" s="2555"/>
      <c r="H54" s="2556"/>
      <c r="I54" s="1807"/>
      <c r="J54" s="2523">
        <v>3</v>
      </c>
      <c r="K54" s="3578" t="s">
        <v>1359</v>
      </c>
      <c r="L54" s="3578"/>
      <c r="M54" s="2525">
        <f t="shared" ca="1" si="0"/>
        <v>0</v>
      </c>
      <c r="N54" s="2523" t="str">
        <f t="shared" si="0"/>
        <v>增值额×税（费）率</v>
      </c>
      <c r="O54" s="2527" t="str">
        <f t="shared" si="0"/>
        <v>——</v>
      </c>
    </row>
    <row r="55" spans="1:35" ht="24" customHeight="1">
      <c r="A55" s="3638" t="s">
        <v>1360</v>
      </c>
      <c r="B55" s="3616"/>
      <c r="C55" s="3616"/>
      <c r="D55" s="2324">
        <f ca="1">IF(H55="个人住宅",0,ROUND(D45*I55,0))</f>
        <v>276</v>
      </c>
      <c r="E55" s="2334" t="s">
        <v>1361</v>
      </c>
      <c r="F55" s="2554">
        <f>IF(H55="正常",I55,"免征")</f>
        <v>5.0000000000000001E-4</v>
      </c>
      <c r="G55" s="2555"/>
      <c r="H55" s="2550" t="s">
        <v>3434</v>
      </c>
      <c r="I55" s="165">
        <f>'数据-取费表'!B49</f>
        <v>5.0000000000000001E-4</v>
      </c>
      <c r="J55" s="2523" t="str">
        <f>IF(H59="非个人房产","",4)</f>
        <v/>
      </c>
      <c r="K55" s="3578" t="str">
        <f>IF(H59="非个人房产","——","个人所得税")</f>
        <v>——</v>
      </c>
      <c r="L55" s="3578"/>
      <c r="M55" s="2528" t="str">
        <f>D59</f>
        <v>——</v>
      </c>
      <c r="N55" s="2040" t="str">
        <f>E59</f>
        <v>——</v>
      </c>
      <c r="O55" s="2529" t="str">
        <f>F59</f>
        <v>——</v>
      </c>
    </row>
    <row r="56" spans="1:35" ht="24.75">
      <c r="A56" s="3638" t="s">
        <v>1362</v>
      </c>
      <c r="B56" s="3616"/>
      <c r="C56" s="3616"/>
      <c r="D56" s="2324">
        <f ca="1">IF(H56="个人住宅",D57,D58)</f>
        <v>0</v>
      </c>
      <c r="E56" s="2334" t="s">
        <v>1363</v>
      </c>
      <c r="F56" s="2554" t="str">
        <f>IF(H56="正常",F58,"免征")</f>
        <v>——</v>
      </c>
      <c r="G56" s="2557" t="s">
        <v>1364</v>
      </c>
      <c r="H56" s="2558" t="s">
        <v>3434</v>
      </c>
      <c r="I56" s="1808"/>
      <c r="J56" s="2523" t="str">
        <f>IF(项目基本情况!K6="上海银行",IF(J55="",4,J55+1),"")</f>
        <v/>
      </c>
      <c r="K56" s="3559" t="str">
        <f>IF(项目基本情况!K6="上海银行","其他处置费用","")</f>
        <v/>
      </c>
      <c r="L56" s="3560"/>
      <c r="M56" s="2525" t="str">
        <f>IF(项目基本情况!K6="上海银行",M69,"")</f>
        <v/>
      </c>
      <c r="N56" s="3559" t="str">
        <f>IF(项目基本情况!K6="上海银行","包含处置中涉及的律师、诉讼、拍卖、评估等费用","")</f>
        <v/>
      </c>
      <c r="O56" s="3562"/>
    </row>
    <row r="57" spans="1:35" ht="12.75">
      <c r="A57" s="2335" t="s">
        <v>1340</v>
      </c>
      <c r="B57" s="3602" t="s">
        <v>1365</v>
      </c>
      <c r="C57" s="3603"/>
      <c r="D57" s="1590">
        <v>0</v>
      </c>
      <c r="E57" s="324" t="s">
        <v>1342</v>
      </c>
      <c r="F57" s="302"/>
      <c r="G57" s="2555"/>
      <c r="H57" s="2559"/>
      <c r="I57" s="1808"/>
      <c r="J57" s="3578">
        <f>IF(AND(J55="",J56=""),4,IF(项目基本情况!K6="上海银行",结果表!J56+1,结果表!J55+1))</f>
        <v>4</v>
      </c>
      <c r="K57" s="3578" t="s">
        <v>1366</v>
      </c>
      <c r="L57" s="2530" t="s">
        <v>1367</v>
      </c>
      <c r="M57" s="2531"/>
      <c r="N57" s="2532">
        <f ca="1">SUMIF(M52:M56,"&lt;9e307")</f>
        <v>29687</v>
      </c>
      <c r="O57" s="2533"/>
      <c r="P57" s="2690">
        <f ca="1">N57/M49</f>
        <v>5.3833557889163108E-2</v>
      </c>
    </row>
    <row r="58" spans="1:35" ht="24.75">
      <c r="A58" s="2335" t="s">
        <v>1351</v>
      </c>
      <c r="B58" s="3602" t="s">
        <v>1368</v>
      </c>
      <c r="C58" s="3601"/>
      <c r="D58" s="2324">
        <f ca="1">IF(H58="转让取得",C81,C97)</f>
        <v>0</v>
      </c>
      <c r="E58" s="2334" t="s">
        <v>1363</v>
      </c>
      <c r="F58" s="302" t="s">
        <v>28</v>
      </c>
      <c r="G58" s="2555"/>
      <c r="H58" s="2558" t="s">
        <v>3435</v>
      </c>
      <c r="I58" s="1808"/>
      <c r="J58" s="3578"/>
      <c r="K58" s="3578"/>
      <c r="L58" s="2530" t="s">
        <v>1369</v>
      </c>
      <c r="M58" s="2534"/>
      <c r="N58" s="2535" t="str">
        <f ca="1">NUMBERSTRING(INT(N57*10000),2)&amp;"元整"</f>
        <v>贰亿玖仟陆佰捌拾柒万元整</v>
      </c>
      <c r="O58" s="2536"/>
    </row>
    <row r="59" spans="1:35" ht="24.75" thickBot="1">
      <c r="A59" s="3582" t="s">
        <v>1370</v>
      </c>
      <c r="B59" s="3583"/>
      <c r="C59" s="3583"/>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1364</v>
      </c>
      <c r="H59" s="2314" t="s">
        <v>3436</v>
      </c>
      <c r="I59" s="2313" t="s">
        <v>2136</v>
      </c>
      <c r="J59" s="3580">
        <f>J57+1</f>
        <v>5</v>
      </c>
      <c r="K59" s="3578" t="s">
        <v>1371</v>
      </c>
      <c r="L59" s="2523" t="s">
        <v>1367</v>
      </c>
      <c r="M59" s="2537"/>
      <c r="N59" s="2538">
        <f ca="1">M49-N57</f>
        <v>521772</v>
      </c>
      <c r="O59" s="2539"/>
    </row>
    <row r="60" spans="1:35" ht="12" customHeight="1">
      <c r="A60" s="1809"/>
      <c r="B60" s="1747"/>
      <c r="C60" s="1747"/>
      <c r="D60" s="1747"/>
      <c r="E60" s="1578"/>
      <c r="F60" s="1808"/>
      <c r="G60" s="1808"/>
      <c r="H60" s="1810"/>
      <c r="I60" s="129"/>
      <c r="J60" s="3581"/>
      <c r="K60" s="3578"/>
      <c r="L60" s="2530" t="s">
        <v>1369</v>
      </c>
      <c r="M60" s="2534"/>
      <c r="N60" s="2535" t="str">
        <f ca="1">NUMBERSTRING(INT(N59*10000),2)&amp;"元整"</f>
        <v>伍拾贰亿壹仟柒佰柒拾贰万元整</v>
      </c>
      <c r="O60" s="2536"/>
    </row>
    <row r="61" spans="1:35" ht="13.5" thickBot="1">
      <c r="A61" s="3637" t="s">
        <v>1372</v>
      </c>
      <c r="B61" s="3637"/>
      <c r="C61" s="3637"/>
      <c r="D61" s="3637"/>
      <c r="E61" s="3637"/>
      <c r="F61" s="1808"/>
      <c r="G61" s="1808"/>
      <c r="H61" s="1810"/>
      <c r="I61" s="129"/>
      <c r="J61" s="2523">
        <f>J59+1</f>
        <v>6</v>
      </c>
      <c r="K61" s="3578" t="s">
        <v>1373</v>
      </c>
      <c r="L61" s="3578"/>
      <c r="M61" s="2540"/>
      <c r="N61" s="2541">
        <f ca="1">ROUND(N59*10000/'数据-汇总表'!E3,0)</f>
        <v>25423</v>
      </c>
      <c r="O61" s="2542"/>
    </row>
    <row r="62" spans="1:35" ht="12.75">
      <c r="A62" s="3597" t="s">
        <v>1374</v>
      </c>
      <c r="B62" s="3598"/>
      <c r="C62" s="2021"/>
      <c r="D62" s="2021" t="s">
        <v>1375</v>
      </c>
      <c r="E62" s="166" t="s">
        <v>1376</v>
      </c>
      <c r="F62" s="1808"/>
      <c r="G62" s="1808"/>
      <c r="H62" s="1810"/>
      <c r="I62" s="129"/>
    </row>
    <row r="63" spans="1:35" ht="12.75">
      <c r="A63" s="173" t="s">
        <v>330</v>
      </c>
      <c r="B63" s="167" t="s">
        <v>1377</v>
      </c>
      <c r="C63" s="2564">
        <f ca="1">ROUND((C64+C65)/(1+'数据-取费表'!C42),0)</f>
        <v>525199</v>
      </c>
      <c r="D63" s="167"/>
      <c r="E63" s="168"/>
      <c r="F63" s="1808"/>
      <c r="G63" s="1808"/>
      <c r="H63" s="1810"/>
      <c r="I63" s="129"/>
      <c r="J63" s="3561" t="s">
        <v>1378</v>
      </c>
      <c r="K63" s="1332" t="s">
        <v>1379</v>
      </c>
      <c r="L63" s="1332">
        <f ca="1">IF(M49&gt;10000,M49*0.5%,IF(AND(M49&gt;1000,M49&lt;=10000),M49*1%,IF(AND(M49&gt;100,M49&lt;=1000),M49*3%,IF(AND(M49&gt;10,M49&lt;=100),M49*5%,M49*8%))))</f>
        <v>2757.2950000000001</v>
      </c>
      <c r="M63" s="302">
        <f ca="1">ROUND(L63,1)</f>
        <v>2757.3</v>
      </c>
      <c r="N63" s="2543"/>
      <c r="Z63" s="1752"/>
      <c r="AI63" s="1753"/>
    </row>
    <row r="64" spans="1:35" ht="14.25" customHeight="1">
      <c r="A64" s="169" t="s">
        <v>325</v>
      </c>
      <c r="B64" s="170" t="s">
        <v>1380</v>
      </c>
      <c r="C64" s="2565">
        <f ca="1">D45</f>
        <v>551459</v>
      </c>
      <c r="D64" s="170" t="s">
        <v>26</v>
      </c>
      <c r="E64" s="172"/>
      <c r="F64" s="1808"/>
      <c r="G64" s="1808"/>
      <c r="H64" s="1810"/>
      <c r="I64" s="129"/>
      <c r="J64" s="3561"/>
      <c r="K64" s="1332" t="s">
        <v>1381</v>
      </c>
      <c r="L64" s="1332">
        <f ca="1">IF(M49&gt;2000,M49*0.5%,IF(AND(M49&gt;1000,M49&lt;=2000),M49*0.6%,IF(AND(M49&gt;500,M49&lt;=1000),M49*0.7%,IF(AND(M49&gt;200,M49&lt;=500),M49*0.8%,IF(AND(M49&gt;100,M49&lt;=200),M49*0.9%,IF(AND(M49&gt;50,M49&lt;=100),M49*1%,IF(AND(M49&gt;20,M49&lt;=50),M49*1.5%,IF(AND(M49&gt;10,M49&lt;=20),M49*2%,IF(AND(M49&gt;1,M49&lt;=10),M49*2.5%)))))))))</f>
        <v>2757.2950000000001</v>
      </c>
      <c r="M64" s="302">
        <f t="shared" ref="M64:M65" ca="1" si="1">ROUND(L64,1)</f>
        <v>2757.3</v>
      </c>
      <c r="N64" s="2544" t="s">
        <v>1382</v>
      </c>
      <c r="Z64" s="1752"/>
      <c r="AI64" s="1753"/>
    </row>
    <row r="65" spans="1:35" ht="14.25" customHeight="1">
      <c r="A65" s="169" t="s">
        <v>326</v>
      </c>
      <c r="B65" s="170" t="s">
        <v>1383</v>
      </c>
      <c r="C65" s="2566"/>
      <c r="D65" s="170"/>
      <c r="E65" s="172"/>
      <c r="F65" s="1808"/>
      <c r="G65" s="1808"/>
      <c r="H65" s="1810"/>
      <c r="I65" s="129"/>
      <c r="J65" s="3561"/>
      <c r="K65" s="1332" t="s">
        <v>1384</v>
      </c>
      <c r="L65" s="1332">
        <f ca="1">IF(M49&gt;1000,M49*0.1%,IF(AND(M49&gt;500,M49&lt;=1000),M49*0.5%,IF(AND(M49&gt;50,M49&lt;=500),M49*1%,IF(AND(M49&gt;1,M49&lt;=50),M49*1.5%))))</f>
        <v>551.45900000000006</v>
      </c>
      <c r="M65" s="302">
        <f t="shared" ca="1" si="1"/>
        <v>551.5</v>
      </c>
      <c r="N65" s="2544" t="s">
        <v>1382</v>
      </c>
      <c r="Z65" s="1752"/>
      <c r="AI65" s="1753"/>
    </row>
    <row r="66" spans="1:35" ht="14.25" customHeight="1">
      <c r="A66" s="173" t="s">
        <v>327</v>
      </c>
      <c r="B66" s="174" t="s">
        <v>1385</v>
      </c>
      <c r="C66" s="2567"/>
      <c r="D66" s="174" t="s">
        <v>26</v>
      </c>
      <c r="E66" s="1338" t="s">
        <v>671</v>
      </c>
      <c r="F66" s="1808"/>
      <c r="G66" s="1808"/>
      <c r="H66" s="1810"/>
      <c r="I66" s="129"/>
      <c r="J66" s="3561"/>
      <c r="K66" s="1332" t="s">
        <v>1386</v>
      </c>
      <c r="L66" s="1332">
        <f ca="1">M49*0.5%</f>
        <v>2757.2950000000001</v>
      </c>
      <c r="M66" s="302">
        <f ca="1">IF(L66&gt;0.5,0.5,ROUND(L66,0))</f>
        <v>0.5</v>
      </c>
      <c r="N66" s="2544" t="s">
        <v>1387</v>
      </c>
      <c r="Z66" s="1752"/>
      <c r="AI66" s="1753"/>
    </row>
    <row r="67" spans="1:35" ht="14.25" customHeight="1">
      <c r="A67" s="173" t="s">
        <v>328</v>
      </c>
      <c r="B67" s="174" t="s">
        <v>1388</v>
      </c>
      <c r="C67" s="2568">
        <f ca="1">C63-C66</f>
        <v>525199</v>
      </c>
      <c r="D67" s="170" t="s">
        <v>26</v>
      </c>
      <c r="E67" s="172"/>
      <c r="F67" s="1808"/>
      <c r="G67" s="1808"/>
      <c r="H67" s="1810"/>
      <c r="I67" s="129"/>
      <c r="J67" s="3561"/>
      <c r="K67" s="1332" t="s">
        <v>1389</v>
      </c>
      <c r="L67" s="1332">
        <f ca="1">IF(M49&gt;=10000,(8.25+(M49-10000)*0.01%),IF(AND(M49&gt;=8000,M49&lt;10000),(7.85+(M49-8000)*0.02%),IF(AND(M49&gt;=5000,M49&lt;8000),(6.65+(M49-5000)*0.04%),IF(AND(M49&gt;=2000,M49&lt;5000),(4.25+(PM49-2000)*0.08%),IF(AND(M49&gt;=1000,M49&lt;2000),(2.75+(M49-1000)*0.15%),IF(AND(M49&gt;=100,M49&lt;1000),(0.5+(M49-100)*0.25%),IF(AND(M49&gt;0,M49&lt;100),M49*0.5%)))))))</f>
        <v>62.395900000000005</v>
      </c>
      <c r="M67" s="302">
        <f ca="1">ROUND(L67*0.9,1)</f>
        <v>56.2</v>
      </c>
      <c r="N67" s="2543"/>
      <c r="Z67" s="1752"/>
      <c r="AI67" s="1753"/>
    </row>
    <row r="68" spans="1:35" ht="14.25" customHeight="1" thickBot="1">
      <c r="A68" s="176" t="s">
        <v>329</v>
      </c>
      <c r="B68" s="177" t="s">
        <v>1390</v>
      </c>
      <c r="C68" s="2569">
        <f ca="1">IF(C67&lt;=0,0,ROUND(C67*D68,0))</f>
        <v>29411</v>
      </c>
      <c r="D68" s="2570">
        <f>'数据-取费表'!B41</f>
        <v>5.6000000000000001E-2</v>
      </c>
      <c r="E68" s="178"/>
      <c r="F68" s="1808"/>
      <c r="G68" s="1808"/>
      <c r="H68" s="1810"/>
      <c r="I68" s="129"/>
      <c r="J68" s="3561"/>
      <c r="K68" s="1332" t="s">
        <v>1391</v>
      </c>
      <c r="L68" s="1332">
        <f ca="1">IF(M49&gt;10000,M49*0.5%,IF(AND(M49&gt;5000,M49&lt;=10000),M49*1%,IF(AND(M49&gt;1000,M49&lt;=5000),M49*2%,IF(AND(M49&gt;200,M49&lt;=1000),M49*3%,M49*5%))))</f>
        <v>2757.2950000000001</v>
      </c>
      <c r="M68" s="302">
        <f ca="1">ROUND(L68,1)</f>
        <v>2757.3</v>
      </c>
      <c r="N68" s="2543"/>
      <c r="Z68" s="1752"/>
      <c r="AI68" s="1753"/>
    </row>
    <row r="69" spans="1:35" s="1772" customFormat="1" ht="16.5" customHeight="1">
      <c r="A69" s="1811"/>
      <c r="B69" s="1812"/>
      <c r="C69" s="1813"/>
      <c r="D69" s="1814"/>
      <c r="E69" s="1815"/>
      <c r="F69" s="1578"/>
      <c r="G69" s="1578"/>
      <c r="H69" s="1577"/>
      <c r="I69" s="1747"/>
      <c r="J69" s="3561"/>
      <c r="K69" s="1332" t="s">
        <v>1392</v>
      </c>
      <c r="L69" s="1332"/>
      <c r="M69" s="302">
        <f ca="1">ROUND(SUM(M63:M68),0)</f>
        <v>8880</v>
      </c>
      <c r="N69" s="2545">
        <f ca="1">M69/M49</f>
        <v>1.6102738372208995E-2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1393</v>
      </c>
      <c r="B70" s="3606"/>
      <c r="C70" s="3606"/>
      <c r="D70" s="3606"/>
      <c r="E70" s="3606"/>
      <c r="F70" s="3606"/>
      <c r="G70" s="3606"/>
      <c r="H70" s="360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7" t="s">
        <v>1374</v>
      </c>
      <c r="B71" s="3598"/>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8">
        <f ca="1">ROUND(D45/(1+'数据-取费表'!C42),0)</f>
        <v>525199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8">
        <f ca="1">C74+C78</f>
        <v>3151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602" t="s">
        <v>1401</v>
      </c>
      <c r="F76" s="3601"/>
      <c r="G76" s="3601"/>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3151</v>
      </c>
      <c r="D78" s="2577">
        <f>'数据-取费表'!B43</f>
        <v>6.000000000000001E-3</v>
      </c>
      <c r="E78" s="3594" t="s">
        <v>1405</v>
      </c>
      <c r="F78" s="3595"/>
      <c r="G78" s="3595"/>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8">
        <f ca="1">C72-C73</f>
        <v>522048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165.67692795937796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9">
        <f ca="1">ROUND(IF(C79&lt;=0,0,IF(C80&gt;=200%,C79*60%-C73*35%,IF(C80&gt;=100%,C79*50%-C73*15%,IF(C80&gt;=50%,C79*40%-C73*5%,IF(C80&lt;50%,C79*30%,0))))),0)</f>
        <v>312126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1409</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7" t="s">
        <v>1374</v>
      </c>
      <c r="B84" s="3598"/>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8">
        <f ca="1">ROUND(D45/(1+'数据-取费表'!C42),0)</f>
        <v>525199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8">
        <f ca="1">IF(H88="仅含出让金",C87+C90+C91+C92+C93+C94,C87+C91+C92+C93+C94)</f>
        <v>733012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6">
        <f>C88+C89</f>
        <v>447237</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2">
        <v>434000</v>
      </c>
      <c r="D88" s="2577"/>
      <c r="E88" s="193" t="s">
        <v>1412</v>
      </c>
      <c r="F88" s="2327"/>
      <c r="G88" s="194" t="s">
        <v>1413</v>
      </c>
      <c r="H88" s="1824" t="s">
        <v>3416</v>
      </c>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6">
        <f>ROUND(C88*D89,0)</f>
        <v>13237</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2"/>
      <c r="D90" s="2577"/>
      <c r="E90" s="193" t="str">
        <f>IF(H88="-","土地取得成本中已包含该笔费用"," ")</f>
        <v xml:space="preserve"> </v>
      </c>
      <c r="F90" s="2327"/>
      <c r="G90" s="3563" t="s">
        <v>2128</v>
      </c>
      <c r="H90" s="356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 ca="1">IF(H91="——",成本法!C33,I91)</f>
        <v>114195</v>
      </c>
      <c r="D91" s="2577"/>
      <c r="E91" s="3594" t="s">
        <v>1418</v>
      </c>
      <c r="F91" s="3595"/>
      <c r="G91" s="3595"/>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 ca="1">ROUND((C87+C90+C91)*D92,0)</f>
        <v>56143</v>
      </c>
      <c r="D92" s="2583">
        <v>0.1</v>
      </c>
      <c r="E92" s="3594" t="s">
        <v>1421</v>
      </c>
      <c r="F92" s="3595"/>
      <c r="G92" s="3595"/>
      <c r="H92" s="359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3151</v>
      </c>
      <c r="D93" s="2577">
        <f>'数据-取费表'!B43</f>
        <v>6.000000000000001E-3</v>
      </c>
      <c r="E93" s="3594" t="s">
        <v>1405</v>
      </c>
      <c r="F93" s="3595"/>
      <c r="G93" s="3595"/>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 ca="1">ROUND((C87+C90+C91)*D94,0)</f>
        <v>112286</v>
      </c>
      <c r="D94" s="2577">
        <v>0.2</v>
      </c>
      <c r="E94" s="3639" t="s">
        <v>1425</v>
      </c>
      <c r="F94" s="3640"/>
      <c r="G94" s="3640"/>
      <c r="H94" s="36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8">
        <f ca="1">ROUND(C85-C86,0)</f>
        <v>-207813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4" t="s">
        <v>1427</v>
      </c>
      <c r="B100" s="3545"/>
      <c r="C100" s="3545"/>
      <c r="D100" s="3579"/>
      <c r="E100" s="3545" t="s">
        <v>1428</v>
      </c>
      <c r="F100" s="3545"/>
      <c r="G100" s="3545"/>
      <c r="H100" s="3579"/>
      <c r="I100" s="129"/>
    </row>
    <row r="101" spans="1:35" ht="18.75" customHeight="1">
      <c r="A101" s="3587" t="s">
        <v>1429</v>
      </c>
      <c r="B101" s="3588"/>
      <c r="C101" s="2585" t="str">
        <f>C4</f>
        <v>成本法</v>
      </c>
      <c r="D101" s="2586" t="str">
        <f>D4</f>
        <v>假设开发法</v>
      </c>
      <c r="E101" s="3557" t="s">
        <v>1430</v>
      </c>
      <c r="F101" s="3558"/>
      <c r="G101" s="1827" t="s">
        <v>1431</v>
      </c>
      <c r="H101" s="2595">
        <f ca="1">H118</f>
        <v>551459</v>
      </c>
      <c r="I101" s="129"/>
    </row>
    <row r="102" spans="1:35" ht="18.75" customHeight="1">
      <c r="A102" s="3589" t="s">
        <v>1432</v>
      </c>
      <c r="B102" s="2584" t="s">
        <v>1431</v>
      </c>
      <c r="C102" s="2585">
        <f ca="1">IF(D32="楼面单价",ROUND(C19,0),C19)</f>
        <v>584296</v>
      </c>
      <c r="D102" s="2586">
        <f ca="1">IF(D32="楼面单价",ROUND(D19,0),D19)</f>
        <v>518621</v>
      </c>
      <c r="E102" s="3557"/>
      <c r="F102" s="3558"/>
      <c r="G102" s="1827" t="s">
        <v>1433</v>
      </c>
      <c r="H102" s="2555">
        <f ca="1">I118</f>
        <v>26869</v>
      </c>
      <c r="I102" s="129"/>
    </row>
    <row r="103" spans="1:35" ht="42.75" customHeight="1">
      <c r="A103" s="3589"/>
      <c r="B103" s="2584" t="s">
        <v>1433</v>
      </c>
      <c r="C103" s="2587">
        <f ca="1">C20</f>
        <v>28469</v>
      </c>
      <c r="D103" s="2588">
        <f ca="1">D20</f>
        <v>25269</v>
      </c>
      <c r="E103" s="3550" t="s">
        <v>1434</v>
      </c>
      <c r="F103" s="3551"/>
      <c r="G103" s="1828" t="s">
        <v>1435</v>
      </c>
      <c r="H103" s="2595">
        <f>IF(D36="正常操作",H104+H105+H106,H105+H106)</f>
        <v>0</v>
      </c>
      <c r="I103" s="129"/>
    </row>
    <row r="104" spans="1:35" ht="18.75" customHeight="1">
      <c r="A104" s="3589" t="s">
        <v>1436</v>
      </c>
      <c r="B104" s="2589" t="s">
        <v>1431</v>
      </c>
      <c r="C104" s="2590">
        <f ca="1">H118</f>
        <v>551459</v>
      </c>
      <c r="D104" s="2591"/>
      <c r="E104" s="1674" t="s">
        <v>1437</v>
      </c>
      <c r="F104" s="1666"/>
      <c r="G104" s="1828" t="s">
        <v>1435</v>
      </c>
      <c r="H104" s="2596">
        <f>IF(D36="同一抵押权人同一抵押物续贷",C36&amp;"（续贷，未扣减，详见特别提示）",C36)</f>
        <v>0</v>
      </c>
      <c r="I104" s="129"/>
    </row>
    <row r="105" spans="1:35" ht="18.75" customHeight="1" thickBot="1">
      <c r="A105" s="3599"/>
      <c r="B105" s="2592" t="s">
        <v>1433</v>
      </c>
      <c r="C105" s="2593">
        <f ca="1">I118</f>
        <v>26869</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590" t="str">
        <f>IF(项目基本情况!E8="已注销","——","3.房地产抵押价值")</f>
        <v>3.房地产抵押价值</v>
      </c>
      <c r="F107" s="3558"/>
      <c r="G107" s="1827" t="s">
        <v>1431</v>
      </c>
      <c r="H107" s="2595">
        <f ca="1">IF(E107="——","——",H101-H103)</f>
        <v>551459</v>
      </c>
      <c r="I107" s="129"/>
    </row>
    <row r="108" spans="1:35" ht="18.75" customHeight="1">
      <c r="A108" s="129"/>
      <c r="B108" s="129"/>
      <c r="C108" s="129"/>
      <c r="D108" s="129"/>
      <c r="E108" s="3590"/>
      <c r="F108" s="3558"/>
      <c r="G108" s="1827" t="s">
        <v>1433</v>
      </c>
      <c r="H108" s="2555">
        <f ca="1">IF(H107=H101,H102,ROUND(H107*10000/'数据-汇总表'!E3,0))</f>
        <v>26869</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7" t="s">
        <v>1431</v>
      </c>
      <c r="H109" s="2598" t="str">
        <f>IF(E109="——","——",H101-H105-H106)</f>
        <v>——</v>
      </c>
      <c r="I109" s="129"/>
    </row>
    <row r="110" spans="1:35" ht="18.75" customHeight="1">
      <c r="A110" s="129"/>
      <c r="B110" s="129"/>
      <c r="C110" s="129"/>
      <c r="D110" s="129"/>
      <c r="E110" s="3590"/>
      <c r="F110" s="3558"/>
      <c r="G110" s="1827" t="s">
        <v>1433</v>
      </c>
      <c r="H110" s="2555"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4.抵押净值</v>
      </c>
      <c r="F111" s="3577"/>
      <c r="G111" s="1827" t="s">
        <v>1431</v>
      </c>
      <c r="H111" s="2595">
        <f ca="1">IF(E111="——","——",N59)</f>
        <v>521772</v>
      </c>
      <c r="I111" s="129"/>
    </row>
    <row r="112" spans="1:35" ht="18.75" customHeight="1" thickBot="1">
      <c r="A112" s="129"/>
      <c r="B112" s="129"/>
      <c r="C112" s="129"/>
      <c r="D112" s="129"/>
      <c r="E112" s="3592"/>
      <c r="F112" s="3593"/>
      <c r="G112" s="1830" t="s">
        <v>1433</v>
      </c>
      <c r="H112" s="2599">
        <f ca="1">IF(E111="——","——",N61)</f>
        <v>25423</v>
      </c>
      <c r="I112" s="129"/>
    </row>
    <row r="113" spans="1:27" ht="18.75" customHeight="1">
      <c r="A113" s="129"/>
      <c r="B113" s="129"/>
      <c r="C113" s="129"/>
      <c r="D113" s="129"/>
      <c r="E113" s="3600" t="s">
        <v>1439</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08" t="s">
        <v>1441</v>
      </c>
      <c r="B115" s="3609"/>
      <c r="C115" s="3609"/>
      <c r="D115" s="3609"/>
      <c r="E115" s="3609"/>
      <c r="F115" s="3609"/>
      <c r="G115" s="3609"/>
      <c r="H115" s="3609"/>
      <c r="I115" s="3610"/>
    </row>
    <row r="116" spans="1:27" ht="27" customHeight="1">
      <c r="A116" s="3565" t="s">
        <v>1442</v>
      </c>
      <c r="B116" s="3569" t="s">
        <v>1443</v>
      </c>
      <c r="C116" s="3569" t="s">
        <v>1444</v>
      </c>
      <c r="D116" s="3575" t="s">
        <v>1445</v>
      </c>
      <c r="E116" s="3576"/>
      <c r="F116" s="3607" t="s">
        <v>1446</v>
      </c>
      <c r="G116" s="3607"/>
      <c r="H116" s="3565" t="s">
        <v>1447</v>
      </c>
      <c r="I116" s="3565"/>
    </row>
    <row r="117" spans="1:27" ht="18.75" customHeight="1">
      <c r="A117" s="3565"/>
      <c r="B117" s="3570"/>
      <c r="C117" s="3570"/>
      <c r="D117" s="2329" t="s">
        <v>1448</v>
      </c>
      <c r="E117" s="2329" t="s">
        <v>1449</v>
      </c>
      <c r="F117" s="2329" t="s">
        <v>1448</v>
      </c>
      <c r="G117" s="2329" t="s">
        <v>1450</v>
      </c>
      <c r="H117" s="2329" t="s">
        <v>1448</v>
      </c>
      <c r="I117" s="2329" t="s">
        <v>1450</v>
      </c>
    </row>
    <row r="118" spans="1:27" ht="24.75" customHeight="1">
      <c r="A118" s="2600" t="str">
        <f>项目基本情况!S2</f>
        <v>北京市出让国有建设用地使用权及在建建筑物房地产</v>
      </c>
      <c r="B118" s="2329">
        <f>M18</f>
        <v>205240.05</v>
      </c>
      <c r="C118" s="2329">
        <f>M19</f>
        <v>25131.21</v>
      </c>
      <c r="D118" s="2329">
        <f ca="1">ROUND(IF(D32="总价",C34,E118*B118/10000),0)</f>
        <v>409734</v>
      </c>
      <c r="E118" s="2329">
        <f ca="1">ROUND(IF(C33="自定义",IF(D32="楼面单价",C34,D118*10000/B118),I118-G118),0)</f>
        <v>19964</v>
      </c>
      <c r="F118" s="2329">
        <f ca="1">ROUND(IF(D32="总价",C35,G118*B118/10000),0)</f>
        <v>141725</v>
      </c>
      <c r="G118" s="2329">
        <f ca="1">ROUND(IF(D32="楼面单价",C35,F118*10000/B118),0)</f>
        <v>6905</v>
      </c>
      <c r="H118" s="2329">
        <f ca="1">ROUND(IF(D32="总价",C32,I118*B118/10000),0)</f>
        <v>551459</v>
      </c>
      <c r="I118" s="2329">
        <f ca="1">ROUND(IF(D32="楼面单价",C32,H118*10000/B118),0)</f>
        <v>26869</v>
      </c>
    </row>
    <row r="119" spans="1:27" ht="18.75" customHeight="1">
      <c r="A119" s="3565" t="s">
        <v>1451</v>
      </c>
      <c r="B119" s="3565"/>
      <c r="C119" s="3565"/>
      <c r="D119" s="3571" t="str">
        <f ca="1">NUMBERSTRING(INT(D118*10000),2)&amp;"元整"</f>
        <v>肆拾亿玖仟柒佰叁拾肆万元整</v>
      </c>
      <c r="E119" s="3572"/>
      <c r="F119" s="3571" t="str">
        <f ca="1">NUMBERSTRING(INT(F118*10000),2)&amp;"元整"</f>
        <v>壹拾肆亿壹仟柒佰贰拾伍万元整</v>
      </c>
      <c r="G119" s="3572"/>
      <c r="H119" s="3571" t="str">
        <f ca="1">NUMBERSTRING(INT(H118*10000),2)&amp;"元整"</f>
        <v>伍拾伍亿壹仟肆佰伍拾玖万元整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1" t="s">
        <v>1451</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f ca="1">H107</f>
        <v>551459</v>
      </c>
      <c r="E122" s="3567"/>
      <c r="F122" s="3567"/>
      <c r="G122" s="3567"/>
      <c r="H122" s="3567"/>
      <c r="I122" s="3568"/>
      <c r="AA122" s="725"/>
    </row>
    <row r="123" spans="1:27" ht="18.75" customHeight="1">
      <c r="A123" s="3565" t="s">
        <v>1451</v>
      </c>
      <c r="B123" s="3565"/>
      <c r="C123" s="3565"/>
      <c r="D123" s="3571" t="str">
        <f ca="1">NUMBERSTRING(INT(D122*10000),2)&amp;"元整"</f>
        <v>伍拾伍亿壹仟肆佰伍拾玖万元整</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1451</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抵押净值</v>
      </c>
      <c r="B126" s="3577"/>
      <c r="C126" s="3577"/>
      <c r="D126" s="3566">
        <f ca="1">H111</f>
        <v>521772</v>
      </c>
      <c r="E126" s="3567"/>
      <c r="F126" s="3567"/>
      <c r="G126" s="3567"/>
      <c r="H126" s="3567"/>
      <c r="I126" s="3568"/>
      <c r="AA126" s="725"/>
    </row>
    <row r="127" spans="1:27" ht="18.75" customHeight="1">
      <c r="A127" s="3565" t="s">
        <v>1451</v>
      </c>
      <c r="B127" s="3565"/>
      <c r="C127" s="3565"/>
      <c r="D127" s="3571" t="str">
        <f ca="1">NUMBERSTRING(INT(D126*10000),2)&amp;"元整"</f>
        <v>伍拾贰亿壹仟柒佰柒拾贰万元整</v>
      </c>
      <c r="E127" s="3573"/>
      <c r="F127" s="3573"/>
      <c r="G127" s="3573"/>
      <c r="H127" s="3573"/>
      <c r="I127" s="3572"/>
      <c r="AA127" s="725"/>
    </row>
    <row r="128" spans="1:27" ht="21.75" customHeight="1">
      <c r="A128" s="3574" t="s">
        <v>1452</v>
      </c>
      <c r="B128" s="3574"/>
      <c r="C128" s="3574"/>
      <c r="D128" s="3574"/>
      <c r="E128" s="3574"/>
      <c r="F128" s="3574"/>
      <c r="G128" s="3574"/>
      <c r="H128" s="3574"/>
      <c r="I128" s="357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22" sqref="D2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10</v>
      </c>
    </row>
    <row r="2" spans="1:9" s="200" customFormat="1" ht="18" customHeight="1">
      <c r="A2" s="201" t="s">
        <v>1461</v>
      </c>
      <c r="B2" s="202">
        <f ca="1">IF(D2="——",C52,C52-E2)</f>
        <v>584296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28469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323891.59999999998</v>
      </c>
      <c r="D5" s="211" t="s">
        <v>1468</v>
      </c>
      <c r="E5" s="212" t="s">
        <v>1469</v>
      </c>
      <c r="F5" s="212" t="s">
        <v>1470</v>
      </c>
      <c r="G5" s="213"/>
    </row>
    <row r="6" spans="1:9" s="214" customFormat="1" ht="13.5" customHeight="1">
      <c r="A6" s="778" t="s">
        <v>1471</v>
      </c>
      <c r="B6" s="215" t="s">
        <v>1472</v>
      </c>
      <c r="C6" s="216">
        <f>20000*'数据-汇总表'!F27/10000</f>
        <v>310321.59999999998</v>
      </c>
      <c r="D6" s="217"/>
      <c r="E6" s="218"/>
      <c r="F6" s="218"/>
      <c r="G6" s="219"/>
    </row>
    <row r="7" spans="1:9" s="214" customFormat="1" ht="13.5" customHeight="1">
      <c r="A7" s="778" t="s">
        <v>1473</v>
      </c>
      <c r="B7" s="215" t="s">
        <v>1474</v>
      </c>
      <c r="C7" s="220">
        <f>ROUND(C6*F7,0)</f>
        <v>9465</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4105</v>
      </c>
      <c r="D8" s="222"/>
      <c r="E8" s="220"/>
      <c r="F8" s="221"/>
      <c r="G8" s="1856" t="s">
        <v>3417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3418</v>
      </c>
      <c r="H9" s="1137"/>
      <c r="I9" s="1858" t="s">
        <v>1478</v>
      </c>
    </row>
    <row r="10" spans="1:9" s="214" customFormat="1" ht="13.5" customHeight="1">
      <c r="A10" s="779" t="s">
        <v>356</v>
      </c>
      <c r="B10" s="224" t="s">
        <v>1479</v>
      </c>
      <c r="C10" s="225">
        <f ca="1">ROUND(D10*E10/10000,0)</f>
        <v>4105</v>
      </c>
      <c r="D10" s="845">
        <f ca="1">IF(B1="",'数据-汇总表'!E6,IF(INDIRECT("'数据-取费表'!c"&amp;$G$1)="住宅",INDIRECT("'数据-取费表'!s"&amp;$G$1),INDIRECT("'数据-取费表'!k"&amp;$G$1)+INDIRECT("'数据-取费表'!s"&amp;$G$1)))</f>
        <v>205240.05</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205240.05</v>
      </c>
      <c r="E19" s="211">
        <f>'数据-取费表'!B31</f>
        <v>200</v>
      </c>
      <c r="F19" s="231"/>
      <c r="G19" s="1856" t="s">
        <v>3419</v>
      </c>
    </row>
    <row r="20" spans="1:7" s="214" customFormat="1" ht="13.5" customHeight="1">
      <c r="A20" s="255" t="s">
        <v>1492</v>
      </c>
      <c r="B20" s="210" t="s">
        <v>1493</v>
      </c>
      <c r="C20" s="232">
        <f ca="1">ROUND((C5+C19)*F20,0)</f>
        <v>6478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33526</v>
      </c>
      <c r="D22" s="235">
        <f ca="1">C26</f>
        <v>1E-3</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33202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324</v>
      </c>
      <c r="D25" s="238"/>
      <c r="E25" s="241"/>
      <c r="F25" s="239"/>
      <c r="G25" s="242" t="s">
        <v>1509</v>
      </c>
    </row>
    <row r="26" spans="1:7" s="214" customFormat="1">
      <c r="A26" s="780" t="s">
        <v>350</v>
      </c>
      <c r="B26" s="215" t="s">
        <v>1510</v>
      </c>
      <c r="C26" s="238">
        <f ca="1">ROUND(IF('数据-取费表'!B22&lt;=1,F21*F22*'数据-取费表'!B23/2,F21*(POWER((1+F22),'数据-取费表'!B23/2)-1)),4)</f>
        <v>1E-3</v>
      </c>
      <c r="D26" s="238"/>
      <c r="E26" s="241"/>
      <c r="F26" s="239"/>
      <c r="G26" s="243"/>
    </row>
    <row r="27" spans="1:7" s="214" customFormat="1" ht="24.75">
      <c r="A27" s="255" t="s">
        <v>1511</v>
      </c>
      <c r="B27" s="244" t="s">
        <v>1512</v>
      </c>
      <c r="C27" s="245">
        <f ca="1">C28</f>
        <v>37001</v>
      </c>
      <c r="D27" s="235">
        <f ca="1">C29</f>
        <v>2.2000000000000001E-3</v>
      </c>
      <c r="E27" s="236" t="s">
        <v>1513</v>
      </c>
      <c r="F27" s="246">
        <f ca="1">IF(B1="",'数据-取费表'!Q16,INDIRECT("'数据-取费表'!q"&amp;$G$1))</f>
        <v>0.14000000000000001</v>
      </c>
      <c r="G27" s="247" t="s">
        <v>1514</v>
      </c>
    </row>
    <row r="28" spans="1:7" s="214" customFormat="1" ht="13.5" customHeight="1">
      <c r="A28" s="780" t="s">
        <v>346</v>
      </c>
      <c r="B28" s="248" t="s">
        <v>1515</v>
      </c>
      <c r="C28" s="249">
        <f ca="1">ROUND((C5+C19+C20)*F27*'数据-取费表'!B21/'数据-取费表'!B20,0)</f>
        <v>37001</v>
      </c>
      <c r="D28" s="235"/>
      <c r="E28" s="236"/>
      <c r="F28" s="246"/>
      <c r="G28" s="247"/>
    </row>
    <row r="29" spans="1:7" s="214" customFormat="1" ht="13.5" customHeight="1">
      <c r="A29" s="780" t="s">
        <v>347</v>
      </c>
      <c r="B29" s="248" t="s">
        <v>1516</v>
      </c>
      <c r="C29" s="238">
        <f ca="1">ROUND(C21*F27*'数据-取费表'!B21/'数据-取费表'!B20,4)</f>
        <v>2.2000000000000001E-3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434106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114195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104142</v>
      </c>
      <c r="D34" s="217"/>
      <c r="E34" s="220"/>
      <c r="F34" s="257">
        <f ca="1">IF('数据-取费表'!B24=0,1,IF(B1="",'数据-取费表'!N16,INDIRECT("'数据-取费表'!n"&amp;$G$1)))</f>
        <v>0.8</v>
      </c>
      <c r="G34" s="219" t="s">
        <v>1525</v>
      </c>
    </row>
    <row r="35" spans="1:7" ht="13.5" customHeight="1">
      <c r="A35" s="780" t="s">
        <v>351</v>
      </c>
      <c r="B35" s="215" t="s">
        <v>1526</v>
      </c>
      <c r="C35" s="220">
        <f ca="1">ROUND(C34*F35,0)</f>
        <v>5207</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3284</v>
      </c>
      <c r="D37" s="217">
        <f ca="1">D19</f>
        <v>205240.05</v>
      </c>
      <c r="E37" s="249">
        <f>'数据-取费表'!B35</f>
        <v>200</v>
      </c>
      <c r="F37" s="259"/>
      <c r="G37" s="261" t="s">
        <v>1531</v>
      </c>
    </row>
    <row r="38" spans="1:7" ht="13.5" customHeight="1">
      <c r="A38" s="780" t="s">
        <v>354</v>
      </c>
      <c r="B38" s="215" t="s">
        <v>1532</v>
      </c>
      <c r="C38" s="220">
        <f ca="1">ROUND(C34*F38,0)</f>
        <v>1562</v>
      </c>
      <c r="D38" s="220"/>
      <c r="E38" s="220"/>
      <c r="F38" s="259">
        <f>'数据-取费表'!B36</f>
        <v>1.4999999999999999E-2</v>
      </c>
      <c r="G38" s="219" t="s">
        <v>1527</v>
      </c>
    </row>
    <row r="39" spans="1:7" s="214" customFormat="1" ht="13.5" customHeight="1">
      <c r="A39" s="255" t="s">
        <v>1533</v>
      </c>
      <c r="B39" s="210" t="s">
        <v>1534</v>
      </c>
      <c r="C39" s="232">
        <f ca="1">ROUND(C33*F20,0)</f>
        <v>2284</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5824</v>
      </c>
      <c r="D41" s="235">
        <f ca="1">C44</f>
        <v>1E-3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5710</v>
      </c>
      <c r="D42" s="238"/>
      <c r="E42" s="238"/>
      <c r="F42" s="239"/>
      <c r="G42" s="3644" t="s">
        <v>1543</v>
      </c>
    </row>
    <row r="43" spans="1:7" ht="13.5" customHeight="1">
      <c r="A43" s="780" t="s">
        <v>347</v>
      </c>
      <c r="B43" s="215" t="s">
        <v>1544</v>
      </c>
      <c r="C43" s="238">
        <f ca="1">ROUND(IF('数据-取费表'!B22&lt;=1,C39*F22*'数据-取费表'!B21/2,C39*(POWER((1+F22),'数据-取费表'!B21/2)-1)),0)</f>
        <v>114</v>
      </c>
      <c r="D43" s="238"/>
      <c r="E43" s="238"/>
      <c r="F43" s="239"/>
      <c r="G43" s="3645"/>
    </row>
    <row r="44" spans="1:7" ht="13.5" customHeight="1">
      <c r="A44" s="780" t="s">
        <v>348</v>
      </c>
      <c r="B44" s="215" t="s">
        <v>1545</v>
      </c>
      <c r="C44" s="238">
        <f ca="1">ROUND(IF('数据-取费表'!B22&lt;=1,C40*F22*'数据-取费表'!B21/2,C40*(POWER((1+F22),'数据-取费表'!B21/2)-1)),4)</f>
        <v>1E-3</v>
      </c>
      <c r="D44" s="238"/>
      <c r="E44" s="238"/>
      <c r="F44" s="239"/>
      <c r="G44" s="3646"/>
    </row>
    <row r="45" spans="1:7" s="214" customFormat="1" ht="13.5" customHeight="1">
      <c r="A45" s="255" t="s">
        <v>1546</v>
      </c>
      <c r="B45" s="244" t="s">
        <v>1512</v>
      </c>
      <c r="C45" s="245">
        <f ca="1">C46</f>
        <v>16307</v>
      </c>
      <c r="D45" s="235">
        <f ca="1">C47</f>
        <v>2.8E-3</v>
      </c>
      <c r="E45" s="236" t="s">
        <v>1538</v>
      </c>
      <c r="F45" s="246">
        <f ca="1">F27</f>
        <v>0.14000000000000001</v>
      </c>
      <c r="G45" s="247" t="s">
        <v>1547</v>
      </c>
    </row>
    <row r="46" spans="1:7" s="214" customFormat="1" ht="13.5" customHeight="1">
      <c r="A46" s="780" t="s">
        <v>346</v>
      </c>
      <c r="B46" s="248" t="s">
        <v>1548</v>
      </c>
      <c r="C46" s="249">
        <f ca="1">ROUND((C33+C39)*F27,0)</f>
        <v>16307</v>
      </c>
      <c r="D46" s="263"/>
      <c r="E46" s="236"/>
      <c r="F46" s="246"/>
      <c r="G46" s="247"/>
    </row>
    <row r="47" spans="1:7" s="214" customFormat="1" ht="13.5" customHeight="1">
      <c r="A47" s="780" t="s">
        <v>347</v>
      </c>
      <c r="B47" s="248" t="s">
        <v>1549</v>
      </c>
      <c r="C47" s="238">
        <f ca="1">ROUND(C40*F27,4)</f>
        <v>2.8E-3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150190</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150190</v>
      </c>
      <c r="D51" s="232"/>
      <c r="E51" s="232"/>
      <c r="F51" s="264"/>
      <c r="G51" s="234" t="s">
        <v>1559</v>
      </c>
    </row>
    <row r="52" spans="1:7" s="208" customFormat="1" ht="16.5" thickBot="1">
      <c r="A52" s="265" t="s">
        <v>1560</v>
      </c>
      <c r="B52" s="266"/>
      <c r="C52" s="267">
        <f ca="1">C31+C51</f>
        <v>584296</v>
      </c>
      <c r="D52" s="266"/>
      <c r="E52" s="266"/>
      <c r="F52" s="266"/>
      <c r="G52" s="268"/>
    </row>
    <row r="55" spans="1:7" ht="15">
      <c r="B55" s="270" t="s">
        <v>1561</v>
      </c>
      <c r="C55" s="271"/>
    </row>
    <row r="56" spans="1:7">
      <c r="B56" s="273" t="s">
        <v>802</v>
      </c>
      <c r="C56" s="275">
        <f ca="1">1-C57</f>
        <v>0.74299999999999999</v>
      </c>
    </row>
    <row r="57" spans="1:7">
      <c r="B57" s="273" t="s">
        <v>803</v>
      </c>
      <c r="C57" s="274">
        <f ca="1">ROUND(C51/C52,3)</f>
        <v>0.25700000000000001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北京市出让国有建设用地使用权及在建建筑物房地产抵押价值预评估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10</v>
      </c>
      <c r="H1" s="1061" t="str">
        <f>IF(ISERROR(FIND("住宅",B1)),"非住宅","住宅")</f>
        <v>非住宅</v>
      </c>
    </row>
    <row r="2" spans="1:8" s="200" customFormat="1" ht="18" customHeight="1">
      <c r="A2" s="201" t="s">
        <v>1461</v>
      </c>
      <c r="B2" s="3424">
        <f ca="1">ROUND(IF(D2="——",C52/10000,C52/10000-E2),4)</f>
        <v>201345.28690000001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9810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41048010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41048010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41048010</v>
      </c>
      <c r="D10" s="845">
        <f ca="1">IF(B1="",'数据-汇总表'!E6,IF(INDIRECT("'数据-取费表'!c"&amp;$G$1)="住宅",INDIRECT("'数据-取费表'!s"&amp;$G$1),INDIRECT("'数据-取费表'!k"&amp;$G$1)+INDIRECT("'数据-取费表'!s"&amp;$G$1)))</f>
        <v>205240.05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41048010</v>
      </c>
      <c r="D19" s="849">
        <f ca="1">D9+D10</f>
        <v>205240.05</v>
      </c>
      <c r="E19" s="211">
        <f>'数据-取费表'!B31</f>
        <v>200</v>
      </c>
      <c r="F19" s="231"/>
      <c r="G19" s="1856"/>
    </row>
    <row r="20" spans="1:7" s="214" customFormat="1" ht="13.5" customHeight="1">
      <c r="A20" s="255" t="s">
        <v>1573</v>
      </c>
      <c r="B20" s="210" t="s">
        <v>1574</v>
      </c>
      <c r="C20" s="232">
        <f ca="1">ROUND((C5+C19)*F20,0)</f>
        <v>1641920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10754255</v>
      </c>
      <c r="D22" s="235">
        <f ca="1">C26</f>
        <v>1.2999999999999999E-3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5325496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5325496</v>
      </c>
      <c r="D24" s="238"/>
      <c r="E24" s="238"/>
      <c r="F24" s="239"/>
      <c r="G24" s="240" t="s">
        <v>1585</v>
      </c>
    </row>
    <row r="25" spans="1:7" s="214" customFormat="1" ht="24">
      <c r="A25" s="780" t="s">
        <v>1475</v>
      </c>
      <c r="B25" s="215" t="s">
        <v>1586</v>
      </c>
      <c r="C25" s="1128">
        <f ca="1">ROUND(IF('数据-取费表'!B22&lt;=1,C20*F22*'数据-取费表'!B22/2,C20*(POWER((1+F22),'数据-取费表'!B22/2)-1)),0)</f>
        <v>103263</v>
      </c>
      <c r="D25" s="238"/>
      <c r="E25" s="241"/>
      <c r="F25" s="239"/>
      <c r="G25" s="242" t="s">
        <v>1587</v>
      </c>
    </row>
    <row r="26" spans="1:7" s="214" customFormat="1">
      <c r="A26" s="780" t="s">
        <v>350</v>
      </c>
      <c r="B26" s="215" t="s">
        <v>1510</v>
      </c>
      <c r="C26" s="238">
        <f ca="1">ROUND(IF('数据-取费表'!B22&lt;=1,F21*F22*'数据-取费表'!B22/2,F21*(POWER((1+F22),'数据-取费表'!B22/2)-1)),4)</f>
        <v>1.2999999999999999E-3</v>
      </c>
      <c r="D26" s="238"/>
      <c r="E26" s="241"/>
      <c r="F26" s="239"/>
      <c r="G26" s="243"/>
    </row>
    <row r="27" spans="1:7" s="214" customFormat="1" ht="24.75">
      <c r="A27" s="255" t="s">
        <v>1511</v>
      </c>
      <c r="B27" s="244" t="s">
        <v>1512</v>
      </c>
      <c r="C27" s="245">
        <f ca="1">C28</f>
        <v>11723312</v>
      </c>
      <c r="D27" s="235">
        <f ca="1">C29</f>
        <v>2.8E-3</v>
      </c>
      <c r="E27" s="236" t="s">
        <v>1513</v>
      </c>
      <c r="F27" s="246">
        <f ca="1">IF(B1="",'数据-取费表'!Q16,INDIRECT("'数据-取费表'!q"&amp;$G$1))</f>
        <v>0.14000000000000001</v>
      </c>
      <c r="G27" s="247" t="s">
        <v>1514</v>
      </c>
    </row>
    <row r="28" spans="1:7" s="214" customFormat="1" ht="13.5" customHeight="1">
      <c r="A28" s="780" t="s">
        <v>346</v>
      </c>
      <c r="B28" s="248" t="s">
        <v>1515</v>
      </c>
      <c r="C28" s="249">
        <f ca="1">ROUND((C5+C19+C20)*F27,0)</f>
        <v>11723312</v>
      </c>
      <c r="D28" s="235"/>
      <c r="E28" s="236"/>
      <c r="F28" s="246"/>
      <c r="G28" s="247"/>
    </row>
    <row r="29" spans="1:7" s="214" customFormat="1" ht="13.5" customHeight="1">
      <c r="A29" s="780" t="s">
        <v>347</v>
      </c>
      <c r="B29" s="248" t="s">
        <v>1516</v>
      </c>
      <c r="C29" s="238">
        <f ca="1">ROUND(C21*F27,4)</f>
        <v>2.8E-3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115126281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1427439706</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1301776240</v>
      </c>
      <c r="D34" s="217"/>
      <c r="E34" s="220"/>
      <c r="F34" s="257"/>
      <c r="G34" s="219"/>
    </row>
    <row r="35" spans="1:7" ht="13.5" customHeight="1">
      <c r="A35" s="780" t="s">
        <v>351</v>
      </c>
      <c r="B35" s="215" t="s">
        <v>1526</v>
      </c>
      <c r="C35" s="220">
        <f ca="1">ROUND(C34*F35,0)</f>
        <v>65088812</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41048010</v>
      </c>
      <c r="D37" s="217">
        <f ca="1">D19</f>
        <v>205240.05</v>
      </c>
      <c r="E37" s="249">
        <f>'数据-取费表'!B35</f>
        <v>200</v>
      </c>
      <c r="F37" s="259"/>
      <c r="G37" s="261"/>
    </row>
    <row r="38" spans="1:7" ht="13.5" customHeight="1">
      <c r="A38" s="780" t="s">
        <v>354</v>
      </c>
      <c r="B38" s="215" t="s">
        <v>1532</v>
      </c>
      <c r="C38" s="220">
        <f ca="1">ROUND(C34*F38,0)</f>
        <v>19526644</v>
      </c>
      <c r="D38" s="220"/>
      <c r="E38" s="220"/>
      <c r="F38" s="259">
        <f>'数据-取费表'!B36</f>
        <v>1.4999999999999999E-2</v>
      </c>
      <c r="G38" s="219" t="s">
        <v>1527</v>
      </c>
    </row>
    <row r="39" spans="1:7" s="214" customFormat="1" ht="13.5" customHeight="1">
      <c r="A39" s="255" t="s">
        <v>1533</v>
      </c>
      <c r="B39" s="210" t="s">
        <v>1534</v>
      </c>
      <c r="C39" s="232">
        <f ca="1">ROUND(C33*F20,0)</f>
        <v>28548794</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91569220</v>
      </c>
      <c r="D41" s="235">
        <f ca="1">C44</f>
        <v>1.2999999999999999E-3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89773745</v>
      </c>
      <c r="D42" s="238"/>
      <c r="E42" s="238"/>
      <c r="F42" s="239"/>
      <c r="G42" s="3644" t="s">
        <v>1590</v>
      </c>
    </row>
    <row r="43" spans="1:7" ht="13.5" customHeight="1">
      <c r="A43" s="780" t="s">
        <v>347</v>
      </c>
      <c r="B43" s="215" t="s">
        <v>1544</v>
      </c>
      <c r="C43" s="238">
        <f ca="1">ROUND(IF('数据-取费表'!B22&lt;=1,C39*F22*'数据-取费表'!B20/2,C39*(POWER((1+F22),'数据-取费表'!B20/2)-1)),0)</f>
        <v>1795475</v>
      </c>
      <c r="D43" s="238"/>
      <c r="E43" s="238"/>
      <c r="F43" s="239"/>
      <c r="G43" s="3645"/>
    </row>
    <row r="44" spans="1:7" ht="13.5" customHeight="1">
      <c r="A44" s="780" t="s">
        <v>348</v>
      </c>
      <c r="B44" s="215" t="s">
        <v>1545</v>
      </c>
      <c r="C44" s="238">
        <f ca="1">ROUND(IF('数据-取费表'!B22&lt;=1,C40*F22*'数据-取费表'!B20/2,C40*(POWER((1+F22),'数据-取费表'!B20/2)-1)),4)</f>
        <v>1.2999999999999999E-3</v>
      </c>
      <c r="D44" s="238"/>
      <c r="E44" s="238"/>
      <c r="F44" s="239"/>
      <c r="G44" s="3646"/>
    </row>
    <row r="45" spans="1:7" s="214" customFormat="1" ht="13.5" customHeight="1">
      <c r="A45" s="255" t="s">
        <v>1546</v>
      </c>
      <c r="B45" s="244" t="s">
        <v>1512</v>
      </c>
      <c r="C45" s="245">
        <f ca="1">C46</f>
        <v>203838390</v>
      </c>
      <c r="D45" s="235">
        <f ca="1">C47</f>
        <v>2.8E-3</v>
      </c>
      <c r="E45" s="236" t="s">
        <v>1538</v>
      </c>
      <c r="F45" s="246">
        <f ca="1">F27</f>
        <v>0.14000000000000001</v>
      </c>
      <c r="G45" s="247" t="s">
        <v>1547</v>
      </c>
    </row>
    <row r="46" spans="1:7" s="214" customFormat="1" ht="13.5" customHeight="1">
      <c r="A46" s="780" t="s">
        <v>346</v>
      </c>
      <c r="B46" s="248" t="s">
        <v>1548</v>
      </c>
      <c r="C46" s="249">
        <f ca="1">ROUND((C33+C39)*F27,0)</f>
        <v>203838390</v>
      </c>
      <c r="D46" s="263"/>
      <c r="E46" s="236"/>
      <c r="F46" s="246"/>
      <c r="G46" s="247"/>
    </row>
    <row r="47" spans="1:7" s="214" customFormat="1" ht="13.5" customHeight="1">
      <c r="A47" s="780" t="s">
        <v>347</v>
      </c>
      <c r="B47" s="248" t="s">
        <v>1549</v>
      </c>
      <c r="C47" s="238">
        <f ca="1">ROUND(C40*F27,4)</f>
        <v>2.8E-3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1898326588</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1898326588</v>
      </c>
      <c r="D51" s="232"/>
      <c r="E51" s="232"/>
      <c r="F51" s="264"/>
      <c r="G51" s="234" t="s">
        <v>1559</v>
      </c>
    </row>
    <row r="52" spans="1:7" s="208" customFormat="1" ht="16.5" thickBot="1">
      <c r="A52" s="265" t="s">
        <v>1560</v>
      </c>
      <c r="B52" s="266"/>
      <c r="C52" s="267">
        <f ca="1">C31+C51</f>
        <v>2013452869</v>
      </c>
      <c r="D52" s="266"/>
      <c r="E52" s="266"/>
      <c r="F52" s="266"/>
      <c r="G52" s="268"/>
    </row>
    <row r="55" spans="1:7" ht="15">
      <c r="B55" s="270" t="s">
        <v>1561</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8" sqref="G6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181924.33000000002</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267009</v>
      </c>
      <c r="C2" s="1999" t="s">
        <v>1934</v>
      </c>
      <c r="D2" s="2000" t="s">
        <v>1935</v>
      </c>
      <c r="E2" s="3422" t="s">
        <v>21</v>
      </c>
      <c r="F2" s="2000" t="s">
        <v>1936</v>
      </c>
      <c r="G2" s="2001" t="str">
        <f>IF(E2="商业",项目基本情况!B37,IF(E2="办公",项目基本情况!C37,IF(E2="住宅",项目基本情况!D37,IF(E2="工业",项目基本情况!E37,项目基本情况!F37))))</f>
        <v>三级</v>
      </c>
      <c r="H2" s="2000" t="s">
        <v>1937</v>
      </c>
      <c r="I2" s="2001" t="str">
        <f>IF(E2="商业",项目基本情况!B38,IF(E2="办公",项目基本情况!C38,IF(E2="住宅",项目基本情况!D38,IF(E2="工业",项目基本情况!E38,项目基本情况!F38))))</f>
        <v>Ⅲ—08</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27855</v>
      </c>
      <c r="U2" s="1213"/>
      <c r="V2" s="3361">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14677</v>
      </c>
      <c r="C3" s="1999" t="s">
        <v>1940</v>
      </c>
      <c r="D3" s="2000" t="s">
        <v>1941</v>
      </c>
      <c r="E3" s="3420" t="s">
        <v>3398</v>
      </c>
      <c r="F3" s="2004" t="s">
        <v>3399</v>
      </c>
      <c r="G3" s="752">
        <f>IF(F3="宗地容积率",'数据-汇总表'!I4,IF(F3="估价对象容积率",'数据-汇总表'!I6,'数据-汇总表'!I7))</f>
        <v>5.89</v>
      </c>
      <c r="H3" s="170" t="s">
        <v>1942</v>
      </c>
      <c r="I3" s="775"/>
      <c r="J3" s="2002" t="s">
        <v>1943</v>
      </c>
      <c r="K3" s="1119"/>
      <c r="L3" s="2003" t="s">
        <v>1944</v>
      </c>
      <c r="M3" s="864">
        <f>SUMPRODUCT((区片价!B30:B54=I2)*(区片价!C3:G3=E2)*(区片价!C30:G54))</f>
        <v>22240</v>
      </c>
      <c r="N3" s="866">
        <f>SUMPRODUCT((因素修正幅度!B30:B54=I2)*(因素修正幅度!C3:G3=E2)*(因素修正幅度!C30:G54))</f>
        <v>9.5000000000000001E-2</v>
      </c>
      <c r="O3" s="1119"/>
      <c r="P3" s="1119"/>
      <c r="Q3" s="1119"/>
      <c r="R3" s="1212">
        <v>2</v>
      </c>
      <c r="S3" s="3361">
        <f>ROUND(SUMPRODUCT((B106:B110=R3)*(C105:N105=G2)*(C106:N110)),4)</f>
        <v>1.1838</v>
      </c>
      <c r="T3" s="3361">
        <f t="shared" si="0"/>
        <v>21955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54"/>
      <c r="B4" s="3655"/>
      <c r="C4" s="3655"/>
      <c r="D4" s="3656"/>
      <c r="E4" s="3656"/>
      <c r="F4" s="3656"/>
      <c r="G4" s="3656"/>
      <c r="H4" s="3656"/>
      <c r="I4" s="3656"/>
      <c r="J4" s="365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18556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17772</v>
      </c>
      <c r="D5" s="1339">
        <f>ROUND(C6*C17+C20,0)</f>
        <v>17772</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16365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22240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15727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三级</v>
      </c>
      <c r="Y7" s="1214" t="s">
        <v>1955</v>
      </c>
      <c r="Z7" s="1215">
        <f>G3</f>
        <v>5.89</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1" t="s">
        <v>1959</v>
      </c>
      <c r="X8" s="365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5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0.8</v>
      </c>
      <c r="D17" s="3322" t="s">
        <v>3251</v>
      </c>
      <c r="E17" s="3331">
        <f>ROUND(G18/I18,2)</f>
        <v>1</v>
      </c>
      <c r="F17" s="3322" t="s">
        <v>3254</v>
      </c>
      <c r="G17" s="3331">
        <f>ROUND(E19/G19,2)</f>
        <v>1</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v>50</v>
      </c>
      <c r="F18" s="3324" t="s">
        <v>3255</v>
      </c>
      <c r="G18" s="3328">
        <f>ROUND(1-(1/(POWER(1+G24,E18))),4)</f>
        <v>0.93120000000000003</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f>'数据-汇总表'!E3</f>
        <v>205240.05</v>
      </c>
      <c r="F19" s="3339" t="s">
        <v>3256</v>
      </c>
      <c r="G19" s="3338">
        <f>'数据-汇总表'!E3</f>
        <v>205240.05</v>
      </c>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8" t="s">
        <v>3258</v>
      </c>
      <c r="B20" s="167" t="s">
        <v>1993</v>
      </c>
      <c r="C20" s="3325">
        <f>ROUND(IF(F21="与级别开发程度一致",0,(G21-E21)/C21),0)</f>
        <v>-20</v>
      </c>
      <c r="D20" s="3341" t="s">
        <v>1997</v>
      </c>
      <c r="E20" s="3342"/>
      <c r="F20" s="3664" t="s">
        <v>1994</v>
      </c>
      <c r="G20" s="3665"/>
      <c r="H20" s="3326" t="s">
        <v>3400</v>
      </c>
      <c r="I20" s="3326" t="s">
        <v>3401</v>
      </c>
      <c r="J20" s="3327" t="s">
        <v>3402</v>
      </c>
      <c r="K20" s="2047" t="s">
        <v>3403</v>
      </c>
      <c r="L20" s="2047" t="s">
        <v>3404</v>
      </c>
      <c r="M20" s="2047" t="s">
        <v>3405</v>
      </c>
      <c r="N20" s="2047" t="s">
        <v>3406</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9"/>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3407</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2001</v>
      </c>
      <c r="E23" s="761">
        <v>44197</v>
      </c>
      <c r="F23" s="2054" t="s">
        <v>2002</v>
      </c>
      <c r="G23" s="762">
        <f>'数据-取费表'!B2</f>
        <v>45037</v>
      </c>
      <c r="H23" s="3343" t="s">
        <v>3260</v>
      </c>
      <c r="I23" s="3344" t="str">
        <f>IF(H23="季度增幅（自定义）",SUMIF(N25:N28,E2,O25:O28),"")</f>
        <v/>
      </c>
      <c r="J23" s="3446" t="s">
        <v>3259</v>
      </c>
      <c r="K23" s="1125"/>
      <c r="L23" s="2055" t="s">
        <v>2003</v>
      </c>
      <c r="M23" s="1328">
        <f>ROUND(SUMIF(地价!B2:G2,E2,地价!B16:G16),0)</f>
        <v>350</v>
      </c>
      <c r="N23" s="2056" t="s">
        <v>2004</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0.97299999999999998</v>
      </c>
      <c r="D24" s="2060" t="s">
        <v>2006</v>
      </c>
      <c r="E24" s="1335">
        <f>存贷款利率!E22/100</f>
        <v>4.3499999999999997E-2</v>
      </c>
      <c r="F24" s="2060" t="s">
        <v>1998</v>
      </c>
      <c r="G24" s="768">
        <f>SUMIF(M30:Q30,E2,M33:Q33)</f>
        <v>5.5E-2</v>
      </c>
      <c r="H24" s="2060" t="s">
        <v>2007</v>
      </c>
      <c r="I24" s="769">
        <f>SUMIF('数据-取费表'!C6:C15,E2,'数据-取费表'!F6:F15)/COUNTIF('数据-取费表'!C6:C15,E2)</f>
        <v>44.18</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0.87270000000000003</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3261</v>
      </c>
      <c r="D26" s="1352">
        <f>IF(E26=G26,F26,IF(G3&lt;10,ROUND(F26+(H26-F26)*(G3-E26)/(G26-E26),4),"——"))</f>
        <v>0.87270000000000003</v>
      </c>
      <c r="E26" s="752">
        <f>ROUNDDOWN(G3,1)</f>
        <v>5.8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0.87460000000000004</v>
      </c>
      <c r="G26" s="752">
        <f>ROUNDUP(G3,1)</f>
        <v>5.8999999999999995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0.87250000000000005</v>
      </c>
      <c r="I26" s="3345" t="s">
        <v>3262</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1.0511999999999999</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267009</v>
      </c>
      <c r="D30" s="2083"/>
      <c r="E30" s="2046"/>
      <c r="F30" s="2084"/>
      <c r="G30" s="2046"/>
      <c r="H30" s="2046"/>
      <c r="I30" s="2046"/>
      <c r="J30" s="2085"/>
      <c r="K30" s="1119"/>
      <c r="L30" s="3351" t="s">
        <v>1935</v>
      </c>
      <c r="M30" s="3352" t="s">
        <v>1989</v>
      </c>
      <c r="N30" s="3352" t="s">
        <v>1990</v>
      </c>
      <c r="O30" s="3352" t="s">
        <v>1991</v>
      </c>
      <c r="P30" s="3352" t="s">
        <v>1992</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1702</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16186</v>
      </c>
      <c r="D33" s="2098">
        <f>'数据-汇总表'!F31</f>
        <v>160759.01999999999</v>
      </c>
      <c r="E33" s="773">
        <f>ROUND(C33*D33/10000,0)</f>
        <v>260205</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4047</v>
      </c>
      <c r="D34" s="2103"/>
      <c r="E34" s="773">
        <f>ROUND(IF(B25="楼层修正",SUM(V2:V16)*M40,C34*D34/10000),0)</f>
        <v>0</v>
      </c>
      <c r="F34" s="2104" t="s">
        <v>2031</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2"/>
      <c r="B37" s="2113" t="s">
        <v>2035</v>
      </c>
      <c r="C37" s="175">
        <f>ROUND(D5*C22*C23*C24*C28*F37,0)</f>
        <v>11128</v>
      </c>
      <c r="D37" s="2098"/>
      <c r="E37" s="171">
        <f>ROUND(C37*D37/10000,0)</f>
        <v>0</v>
      </c>
      <c r="F37" s="171">
        <f>SUMIF(修正!A57:A68,G2,修正!B57:B68)</f>
        <v>0.6</v>
      </c>
      <c r="G37" s="171">
        <f>ROUND(IF(E2="工业",C37*$M$42,C37*$M$41),0)</f>
        <v>2782</v>
      </c>
      <c r="H37" s="171">
        <f>D37</f>
        <v>0</v>
      </c>
      <c r="I37" s="171">
        <f>ROUND(G37*H37/10000,0)</f>
        <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3"/>
      <c r="B38" s="2041" t="s">
        <v>2036</v>
      </c>
      <c r="C38" s="175">
        <f>ROUND(D5*C22*C23*C24*C28*F38,0)</f>
        <v>5564</v>
      </c>
      <c r="D38" s="2098"/>
      <c r="E38" s="171">
        <f t="shared" ref="E38:E42" si="4">ROUND(C38*D38/10000,0)</f>
        <v>0</v>
      </c>
      <c r="F38" s="171">
        <f>SUMIF(修正!A57:A68,G2,修正!C57:C68)</f>
        <v>0.3</v>
      </c>
      <c r="G38" s="171">
        <f>ROUND(IF(E2="工业",C38*$M$42,C38*$M$41),0)</f>
        <v>1391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63"/>
      <c r="B39" s="2041" t="s">
        <v>3263</v>
      </c>
      <c r="C39" s="175">
        <f>ROUND(D5*C22*C23*C24*C28*F39,0)</f>
        <v>4637</v>
      </c>
      <c r="D39" s="2098"/>
      <c r="E39" s="171">
        <f t="shared" si="4"/>
        <v>0</v>
      </c>
      <c r="F39" s="171">
        <f>SUMIF(修正!A57:A68,G2,修正!D57:D68)</f>
        <v>0.25</v>
      </c>
      <c r="G39" s="171">
        <f>ROUND(IF(E2="工业",C39*$M$42,C39*$M$41),0)</f>
        <v>1159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4637</v>
      </c>
      <c r="D40" s="2098">
        <f>'数据-汇总表'!G19</f>
        <v>4941.67</v>
      </c>
      <c r="E40" s="171">
        <f t="shared" si="4"/>
        <v>2291</v>
      </c>
      <c r="F40" s="175">
        <f>SUMIF(修正!A57:A68,G2,修正!E57:E68)</f>
        <v>0.25</v>
      </c>
      <c r="G40" s="171">
        <f>ROUND(IF(E2="工业",C40*$M$42,C40*$M$41),0)</f>
        <v>1159</v>
      </c>
      <c r="H40" s="171">
        <f t="shared" si="5"/>
        <v>4941.67</v>
      </c>
      <c r="I40" s="171">
        <f t="shared" si="6"/>
        <v>573</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4637</v>
      </c>
      <c r="D41" s="2098"/>
      <c r="E41" s="171">
        <f t="shared" si="4"/>
        <v>0</v>
      </c>
      <c r="F41" s="175">
        <f>SUMIF(修正!A57:A68,G2,修正!F57:F68)</f>
        <v>0.25</v>
      </c>
      <c r="G41" s="171">
        <f>ROUND(IF(E2="工业",C41*$M$42,C41*$M$41),0)</f>
        <v>1159</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2782</v>
      </c>
      <c r="D42" s="2103">
        <f>'数据-汇总表'!G22</f>
        <v>16223.64</v>
      </c>
      <c r="E42" s="187">
        <f t="shared" si="4"/>
        <v>4513</v>
      </c>
      <c r="F42" s="767">
        <f>SUMIF(修正!A57:A68,G2,修正!G57:G68)</f>
        <v>0.15</v>
      </c>
      <c r="G42" s="187">
        <f>ROUND(IF(E2="工业",C42*$M$42,C42*$M$41),0)</f>
        <v>696</v>
      </c>
      <c r="H42" s="187">
        <f t="shared" si="5"/>
        <v>16223.64</v>
      </c>
      <c r="I42" s="187">
        <f t="shared" si="6"/>
        <v>1129</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0.97299999999999998</v>
      </c>
      <c r="D44" s="171" t="s">
        <v>1998</v>
      </c>
      <c r="E44" s="2153">
        <f>G24</f>
        <v>5.5E-2</v>
      </c>
      <c r="F44" s="171" t="s">
        <v>2007</v>
      </c>
      <c r="G44" s="183">
        <f>项目基本情况!F15</f>
        <v>44.18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1.0511999999999999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t="s">
        <v>3408</v>
      </c>
      <c r="D61" s="1065">
        <f t="shared" ref="D61:D69" si="12">SUMIF($J$60:$N$60,C61,J61:N61)</f>
        <v>1.18E-2</v>
      </c>
      <c r="E61" s="744">
        <f>ROUND(SUM(D61:D69),4)</f>
        <v>5.1200000000000002E-2</v>
      </c>
      <c r="F61" s="1814">
        <f>IF(E2="办公",SUMIF(L1:L12,G2,N1:N12),"——")</f>
        <v>9.5000000000000001E-2</v>
      </c>
      <c r="G61" s="1063">
        <f>H61</f>
        <v>1.18E-2</v>
      </c>
      <c r="H61" s="1066">
        <f t="shared" ref="H61:H69" si="13">IFERROR(ROUNDDOWN($F$61*I61/2,4),"——")</f>
        <v>1.18E-2</v>
      </c>
      <c r="I61" s="3367">
        <v>0.25</v>
      </c>
      <c r="J61" s="1064">
        <f t="shared" ref="J61:J69" si="14">K61+$G61</f>
        <v>2.3599999999999999E-2</v>
      </c>
      <c r="K61" s="1064">
        <f t="shared" ref="K61:K69" si="15">$L61+$G61</f>
        <v>1.18E-2</v>
      </c>
      <c r="L61" s="1064">
        <v>0</v>
      </c>
      <c r="M61" s="1064">
        <f t="shared" ref="M61:N69" si="16">L61-$G61</f>
        <v>-1.18E-2</v>
      </c>
      <c r="N61" s="1064">
        <f t="shared" si="16"/>
        <v>-2.3599999999999999E-2</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t="s">
        <v>3408</v>
      </c>
      <c r="D62" s="1065">
        <f t="shared" si="12"/>
        <v>1.23E-2</v>
      </c>
      <c r="E62" s="745"/>
      <c r="F62" s="1814"/>
      <c r="G62" s="1063">
        <f t="shared" ref="G62:G69" si="17">H62</f>
        <v>1.23E-2</v>
      </c>
      <c r="H62" s="1066">
        <f t="shared" si="13"/>
        <v>1.23E-2</v>
      </c>
      <c r="I62" s="3367">
        <v>0.26</v>
      </c>
      <c r="J62" s="1064">
        <f t="shared" si="14"/>
        <v>2.46E-2</v>
      </c>
      <c r="K62" s="1064">
        <f t="shared" si="15"/>
        <v>1.23E-2</v>
      </c>
      <c r="L62" s="1064">
        <v>0</v>
      </c>
      <c r="M62" s="1064">
        <f t="shared" si="16"/>
        <v>-1.23E-2</v>
      </c>
      <c r="N62" s="1064">
        <f t="shared" si="16"/>
        <v>-2.46E-2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3408</v>
      </c>
      <c r="D63" s="1065">
        <f t="shared" si="12"/>
        <v>5.1999999999999998E-3</v>
      </c>
      <c r="E63" s="745"/>
      <c r="F63" s="1814"/>
      <c r="G63" s="1063">
        <f t="shared" si="17"/>
        <v>5.1999999999999998E-3</v>
      </c>
      <c r="H63" s="1066">
        <f t="shared" si="13"/>
        <v>5.1999999999999998E-3</v>
      </c>
      <c r="I63" s="3367">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2053</v>
      </c>
      <c r="B64" s="2135" t="s">
        <v>2054</v>
      </c>
      <c r="C64" s="2044" t="s">
        <v>3408</v>
      </c>
      <c r="D64" s="1065">
        <f t="shared" si="12"/>
        <v>2.3E-3</v>
      </c>
      <c r="E64" s="745"/>
      <c r="F64" s="1814"/>
      <c r="G64" s="1063">
        <f t="shared" si="17"/>
        <v>2.3E-3</v>
      </c>
      <c r="H64" s="1066">
        <f t="shared" si="13"/>
        <v>2.3E-3</v>
      </c>
      <c r="I64" s="3367">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3408</v>
      </c>
      <c r="D65" s="1065">
        <f t="shared" si="12"/>
        <v>2.3E-3</v>
      </c>
      <c r="E65" s="745"/>
      <c r="F65" s="1814"/>
      <c r="G65" s="1063">
        <f t="shared" si="17"/>
        <v>2.3E-3</v>
      </c>
      <c r="H65" s="1066">
        <f t="shared" si="13"/>
        <v>2.3E-3</v>
      </c>
      <c r="I65" s="3367">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2056</v>
      </c>
      <c r="B66" s="2136" t="s">
        <v>2057</v>
      </c>
      <c r="C66" s="2044" t="s">
        <v>3408</v>
      </c>
      <c r="D66" s="1065">
        <f t="shared" si="12"/>
        <v>2.8E-3</v>
      </c>
      <c r="E66" s="745"/>
      <c r="F66" s="1814"/>
      <c r="G66" s="1063">
        <f t="shared" si="17"/>
        <v>2.8E-3</v>
      </c>
      <c r="H66" s="1066">
        <f t="shared" si="13"/>
        <v>2.8E-3</v>
      </c>
      <c r="I66" s="3367">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t="s">
        <v>3408</v>
      </c>
      <c r="D67" s="1065">
        <f t="shared" si="12"/>
        <v>2.8E-3</v>
      </c>
      <c r="E67" s="745"/>
      <c r="F67" s="1814"/>
      <c r="G67" s="1063">
        <f t="shared" si="17"/>
        <v>2.8E-3</v>
      </c>
      <c r="H67" s="1066">
        <f t="shared" si="13"/>
        <v>2.8E-3</v>
      </c>
      <c r="I67" s="3367">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t="s">
        <v>3409</v>
      </c>
      <c r="D68" s="1065">
        <f t="shared" si="12"/>
        <v>8.3999999999999995E-3</v>
      </c>
      <c r="E68" s="745"/>
      <c r="F68" s="1814"/>
      <c r="G68" s="1063">
        <f t="shared" si="17"/>
        <v>4.1999999999999997E-3</v>
      </c>
      <c r="H68" s="1066">
        <f t="shared" si="13"/>
        <v>4.1999999999999997E-3</v>
      </c>
      <c r="I68" s="3367">
        <v>0.09</v>
      </c>
      <c r="J68" s="1064">
        <f t="shared" si="14"/>
        <v>8.3999999999999995E-3</v>
      </c>
      <c r="K68" s="1064">
        <f t="shared" si="15"/>
        <v>4.1999999999999997E-3</v>
      </c>
      <c r="L68" s="1064">
        <v>0</v>
      </c>
      <c r="M68" s="1064">
        <f t="shared" si="16"/>
        <v>-4.1999999999999997E-3</v>
      </c>
      <c r="N68" s="1064">
        <f t="shared" si="16"/>
        <v>-8.3999999999999995E-3</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t="s">
        <v>3408</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60" t="s">
        <v>3298</v>
      </c>
      <c r="B103" s="3660"/>
      <c r="C103" s="3660"/>
      <c r="D103" s="3660"/>
      <c r="E103" s="3660"/>
      <c r="F103" s="3660"/>
      <c r="G103" s="3660"/>
      <c r="H103" s="3660"/>
      <c r="I103" s="3660"/>
      <c r="J103" s="3660"/>
      <c r="K103" s="3390"/>
      <c r="L103" s="3390"/>
      <c r="M103" s="3390"/>
      <c r="N103" s="3390"/>
    </row>
    <row r="104" spans="1:14">
      <c r="A104" s="3661" t="s">
        <v>3299</v>
      </c>
      <c r="B104" s="3661" t="s">
        <v>3300</v>
      </c>
      <c r="C104" s="3391" t="s">
        <v>3301</v>
      </c>
      <c r="D104" s="3392"/>
      <c r="E104" s="3392"/>
      <c r="F104" s="3392"/>
      <c r="G104" s="3392"/>
      <c r="H104" s="3392"/>
      <c r="I104" s="3392"/>
      <c r="J104" s="3393"/>
      <c r="K104" s="3394"/>
      <c r="L104" s="3394"/>
      <c r="M104" s="3394"/>
      <c r="N104" s="3394"/>
    </row>
    <row r="105" spans="1:14">
      <c r="A105" s="3661"/>
      <c r="B105" s="366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4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8"/>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50" t="s">
        <v>3315</v>
      </c>
      <c r="B113" s="3650"/>
      <c r="C113" s="3650"/>
      <c r="D113" s="3650"/>
      <c r="E113" s="3650"/>
      <c r="F113" s="3650"/>
      <c r="G113" s="3650"/>
      <c r="H113" s="3650"/>
      <c r="I113" s="3650"/>
      <c r="J113" s="36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5.89</v>
      </c>
      <c r="C116" s="3400" t="s">
        <v>3317</v>
      </c>
      <c r="D116" s="3401">
        <f>SUMPRODUCT((A118:A122=F116)*(B117:M117=H116)*B118:M122)</f>
        <v>0.8579</v>
      </c>
      <c r="E116" s="2000" t="s">
        <v>3318</v>
      </c>
      <c r="F116" s="3402" t="str">
        <f>E2</f>
        <v>办公</v>
      </c>
      <c r="G116" s="2000" t="s">
        <v>3319</v>
      </c>
      <c r="H116" s="3402" t="str">
        <f>G2</f>
        <v>三级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0.93200000000000005</v>
      </c>
      <c r="C118" s="3388">
        <f>B118</f>
        <v>0.93200000000000005</v>
      </c>
      <c r="D118" s="3388">
        <f>ROUND(0.949-0.014*B116,4)</f>
        <v>0.86650000000000005</v>
      </c>
      <c r="E118" s="3388">
        <f>D118</f>
        <v>0.86650000000000005</v>
      </c>
      <c r="F118" s="3388">
        <f>E118</f>
        <v>0.86650000000000005</v>
      </c>
      <c r="G118" s="3388">
        <f>F118</f>
        <v>0.86650000000000005</v>
      </c>
      <c r="H118" s="3388">
        <f>G118</f>
        <v>0.86650000000000005</v>
      </c>
      <c r="I118" s="3388">
        <f>ROUND(0.8486-0.018*B116,4)</f>
        <v>0.74260000000000004</v>
      </c>
      <c r="J118" s="3388">
        <f t="shared" ref="J118:M122" si="36">I118</f>
        <v>0.74260000000000004</v>
      </c>
      <c r="K118" s="3388">
        <f t="shared" si="36"/>
        <v>0.74260000000000004</v>
      </c>
      <c r="L118" s="3388">
        <f t="shared" si="36"/>
        <v>0.74260000000000004</v>
      </c>
      <c r="M118" s="3411">
        <f t="shared" si="36"/>
        <v>0.74260000000000004</v>
      </c>
      <c r="N118" s="3398"/>
    </row>
    <row r="119" spans="1:14">
      <c r="A119" s="3410" t="s">
        <v>3333</v>
      </c>
      <c r="B119" s="3388">
        <f>ROUND(0.993-0.0112*B116,4)</f>
        <v>0.92700000000000005</v>
      </c>
      <c r="C119" s="3388">
        <f>B119</f>
        <v>0.92700000000000005</v>
      </c>
      <c r="D119" s="3388">
        <f>ROUND(0.9415-0.0142*B116,4)</f>
        <v>0.8579</v>
      </c>
      <c r="E119" s="3388">
        <f t="shared" ref="E119:H120" si="37">D119</f>
        <v>0.8579</v>
      </c>
      <c r="F119" s="3388">
        <f t="shared" si="37"/>
        <v>0.8579</v>
      </c>
      <c r="G119" s="3388">
        <f t="shared" si="37"/>
        <v>0.8579</v>
      </c>
      <c r="H119" s="3388">
        <f t="shared" si="37"/>
        <v>0.8579</v>
      </c>
      <c r="I119" s="3388">
        <f>ROUND(0.838-0.0182*B116,4)</f>
        <v>0.73080000000000001</v>
      </c>
      <c r="J119" s="3388">
        <f t="shared" si="36"/>
        <v>0.73080000000000001</v>
      </c>
      <c r="K119" s="3388">
        <f t="shared" si="36"/>
        <v>0.73080000000000001</v>
      </c>
      <c r="L119" s="3388">
        <f t="shared" si="36"/>
        <v>0.73080000000000001</v>
      </c>
      <c r="M119" s="3411">
        <f t="shared" si="36"/>
        <v>0.73080000000000001</v>
      </c>
      <c r="N119" s="3398"/>
    </row>
    <row r="120" spans="1:14">
      <c r="A120" s="3410" t="s">
        <v>3334</v>
      </c>
      <c r="B120" s="3388">
        <f>ROUND(0.9448-0.0115*B116,4)</f>
        <v>0.87709999999999999</v>
      </c>
      <c r="C120" s="3388">
        <f>B120</f>
        <v>0.87709999999999999</v>
      </c>
      <c r="D120" s="3388">
        <f>ROUND(0.937-0.0145*B116,4)</f>
        <v>0.85160000000000002</v>
      </c>
      <c r="E120" s="3388">
        <f t="shared" si="37"/>
        <v>0.85160000000000002</v>
      </c>
      <c r="F120" s="3388">
        <f t="shared" si="37"/>
        <v>0.85160000000000002</v>
      </c>
      <c r="G120" s="3388">
        <f t="shared" si="37"/>
        <v>0.85160000000000002</v>
      </c>
      <c r="H120" s="3388">
        <f t="shared" si="37"/>
        <v>0.85160000000000002</v>
      </c>
      <c r="I120" s="3388">
        <f>ROUND(0.7965-0.0185*B116,4)</f>
        <v>0.6875</v>
      </c>
      <c r="J120" s="3388">
        <f t="shared" si="36"/>
        <v>0.6875</v>
      </c>
      <c r="K120" s="3388">
        <f t="shared" si="36"/>
        <v>0.6875</v>
      </c>
      <c r="L120" s="3388">
        <f t="shared" si="36"/>
        <v>0.6875</v>
      </c>
      <c r="M120" s="3411">
        <f t="shared" si="36"/>
        <v>0.6875</v>
      </c>
      <c r="N120" s="3398"/>
    </row>
    <row r="121" spans="1:14" ht="13.5" thickBot="1">
      <c r="A121" s="3412" t="s">
        <v>3335</v>
      </c>
      <c r="B121" s="3413">
        <f>ROUND(0.7836-0.012*B116,4)</f>
        <v>0.71289999999999998</v>
      </c>
      <c r="C121" s="3413">
        <f>B121</f>
        <v>0.71289999999999998</v>
      </c>
      <c r="D121" s="3413">
        <f>ROUND(0.753-0.015*B116,4)</f>
        <v>0.66469999999999996</v>
      </c>
      <c r="E121" s="3413">
        <f>D121</f>
        <v>0.66469999999999996</v>
      </c>
      <c r="F121" s="3413">
        <f>E121</f>
        <v>0.66469999999999996</v>
      </c>
      <c r="G121" s="3413">
        <f>ROUND(0.6612-0.018*B116,4)</f>
        <v>0.55520000000000003</v>
      </c>
      <c r="H121" s="3413">
        <f>G121</f>
        <v>0.55520000000000003</v>
      </c>
      <c r="I121" s="3413">
        <f>ROUND(0.5905-0.019*B116,4)</f>
        <v>0.47860000000000003</v>
      </c>
      <c r="J121" s="3413">
        <f t="shared" si="36"/>
        <v>0.47860000000000003</v>
      </c>
      <c r="K121" s="3413">
        <f t="shared" si="36"/>
        <v>0.47860000000000003</v>
      </c>
      <c r="L121" s="3413">
        <f t="shared" si="36"/>
        <v>0.47860000000000003</v>
      </c>
      <c r="M121" s="3414">
        <f t="shared" si="36"/>
        <v>0.47860000000000003</v>
      </c>
      <c r="N121" s="3398"/>
    </row>
    <row r="122" spans="1:14">
      <c r="A122" s="3415" t="s">
        <v>2614</v>
      </c>
      <c r="B122" s="3388">
        <f>ROUND(0.9404-0.0106*B116,4)</f>
        <v>0.878</v>
      </c>
      <c r="C122" s="3388">
        <f>B122</f>
        <v>0.878</v>
      </c>
      <c r="D122" s="3388">
        <f>ROUND(0.8955-0.0135*B116,4)</f>
        <v>0.81599999999999995</v>
      </c>
      <c r="E122" s="3388">
        <f t="shared" ref="E122:H122" si="38">D122</f>
        <v>0.81599999999999995</v>
      </c>
      <c r="F122" s="3388">
        <f t="shared" si="38"/>
        <v>0.81599999999999995</v>
      </c>
      <c r="G122" s="3388">
        <f t="shared" si="38"/>
        <v>0.81599999999999995</v>
      </c>
      <c r="H122" s="3388">
        <f t="shared" si="38"/>
        <v>0.81599999999999995</v>
      </c>
      <c r="I122" s="3388">
        <f>ROUND(0.7632-0.0166*B116,4)</f>
        <v>0.66539999999999999</v>
      </c>
      <c r="J122" s="3388">
        <f t="shared" si="36"/>
        <v>0.66539999999999999</v>
      </c>
      <c r="K122" s="3388">
        <f t="shared" si="36"/>
        <v>0.66539999999999999</v>
      </c>
      <c r="L122" s="3388">
        <f t="shared" si="36"/>
        <v>0.66539999999999999</v>
      </c>
      <c r="M122" s="3411">
        <f t="shared" si="36"/>
        <v>0.66539999999999999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N23" sqref="N2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6"/>
      <c r="F1" s="2806"/>
      <c r="G1" s="2671"/>
      <c r="H1" s="2806"/>
      <c r="I1" s="2806"/>
      <c r="J1" s="2806"/>
      <c r="K1" s="2807">
        <f>MATCH(C1,'数据-取费表'!A6:A16,0)+5</f>
        <v>10</v>
      </c>
    </row>
    <row r="2" spans="1:33" ht="18" customHeight="1">
      <c r="A2" s="201" t="s">
        <v>1461</v>
      </c>
      <c r="B2" s="204">
        <f ca="1">C32</f>
        <v>518621</v>
      </c>
      <c r="C2" s="276" t="s">
        <v>1594</v>
      </c>
      <c r="D2" s="276"/>
      <c r="E2" s="2806"/>
      <c r="F2" s="2806"/>
      <c r="G2" s="2806"/>
      <c r="H2" s="2806"/>
      <c r="I2" s="2806"/>
      <c r="J2" s="2806"/>
      <c r="K2" s="2806"/>
    </row>
    <row r="3" spans="1:33" ht="18" customHeight="1" thickBot="1">
      <c r="A3" s="203" t="s">
        <v>1463</v>
      </c>
      <c r="B3" s="204">
        <f ca="1">ROUND(B2*10000/IF(C1="",'数据-汇总表'!E3,INDIRECT("'数据-取费表'!K"&amp;$K$1)),0)</f>
        <v>25269</v>
      </c>
      <c r="C3" s="276" t="s">
        <v>1595</v>
      </c>
      <c r="D3" s="276"/>
      <c r="E3" s="2806"/>
      <c r="F3" s="2806"/>
      <c r="G3" s="2806"/>
      <c r="H3" s="2806"/>
      <c r="I3" s="2806"/>
      <c r="J3" s="2806"/>
      <c r="K3" s="2806"/>
    </row>
    <row r="4" spans="1:33" s="785" customFormat="1" ht="16.5" customHeight="1">
      <c r="A4" s="782" t="s">
        <v>1596</v>
      </c>
      <c r="B4" s="783"/>
      <c r="C4" s="824">
        <f ca="1">SUM(C8:K8)</f>
        <v>631942</v>
      </c>
      <c r="D4" s="783"/>
      <c r="E4" s="783"/>
      <c r="F4" s="783"/>
      <c r="G4" s="783"/>
      <c r="H4" s="783"/>
      <c r="I4" s="783"/>
      <c r="J4" s="783"/>
      <c r="K4" s="784"/>
    </row>
    <row r="5" spans="1:33" s="789" customFormat="1" ht="15">
      <c r="A5" s="786" t="s">
        <v>1597</v>
      </c>
      <c r="B5" s="787" t="s">
        <v>1598</v>
      </c>
      <c r="C5" s="1860" t="s">
        <v>21</v>
      </c>
      <c r="D5" s="1860" t="s">
        <v>673</v>
      </c>
      <c r="E5" s="1860" t="s">
        <v>3386</v>
      </c>
      <c r="F5" s="1860" t="s">
        <v>3394</v>
      </c>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收益法!B3</f>
        <v>54444</v>
      </c>
      <c r="D6" s="791">
        <f ca="1">'收益法(商业)'!B3</f>
        <v>54702</v>
      </c>
      <c r="E6" s="791">
        <f ca="1">'收益法(公寓)'!B3</f>
        <v>22657</v>
      </c>
      <c r="F6" s="791">
        <f ca="1">'收益法(车库)'!B3</f>
        <v>4688</v>
      </c>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78192.539999999994</v>
      </c>
      <c r="D7" s="277">
        <f>SUMIF('数据-汇总表'!$C19:$C33,假设开发法!D5,'数据-汇总表'!$E19:$E33)</f>
        <v>4070.27</v>
      </c>
      <c r="E7" s="277">
        <f>SUMIF('数据-汇总表'!$C19:$C33,假设开发法!E5,'数据-汇总表'!$E19:$E33)</f>
        <v>77839.66</v>
      </c>
      <c r="F7" s="277">
        <f>SUMIF('数据-汇总表'!$C19:$C33,假设开发法!F5,'数据-汇总表'!$E19:$E33)</f>
        <v>16223.64</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f ca="1">收益法!B2</f>
        <v>425708</v>
      </c>
      <c r="D8" s="825">
        <f ca="1">'收益法(商业)'!B2</f>
        <v>22265</v>
      </c>
      <c r="E8" s="825">
        <f ca="1">'收益法(公寓)'!B2</f>
        <v>176363</v>
      </c>
      <c r="F8" s="826">
        <f ca="1">'收益法(车库)'!B2</f>
        <v>7606</v>
      </c>
      <c r="G8" s="826"/>
      <c r="H8" s="826"/>
      <c r="I8" s="826"/>
      <c r="J8" s="826"/>
      <c r="K8" s="827"/>
      <c r="L8" s="793">
        <f ca="1">F8/'数据-取费表'!AH9</f>
        <v>16.427645788336932</v>
      </c>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26036</v>
      </c>
      <c r="D11" s="802"/>
      <c r="E11" s="329"/>
      <c r="F11" s="812">
        <f ca="1">1-IF('数据-取费表'!B24=0,1,IF(C1="",'数据-取费表'!N16,INDIRECT("'数据-取费表'!n"&amp;$K$1)))</f>
        <v>0.19999999999999996</v>
      </c>
      <c r="G11" s="5"/>
      <c r="H11" s="797"/>
      <c r="I11" s="797"/>
      <c r="J11" s="797"/>
      <c r="K11" s="798"/>
    </row>
    <row r="12" spans="1:33" s="803" customFormat="1" ht="13.5" customHeight="1">
      <c r="A12" s="800" t="s">
        <v>636</v>
      </c>
      <c r="B12" s="801" t="s">
        <v>1612</v>
      </c>
      <c r="C12" s="21">
        <f ca="1">ROUND(C11*F12,0)</f>
        <v>1302</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821</v>
      </c>
      <c r="D14" s="846">
        <f ca="1">IF(C1="",'数据-汇总表'!E3,INDIRECT("'数据-取费表'!K"&amp;$K$1)+INDIRECT("'数据-取费表'!S"&amp;$K$1))</f>
        <v>205240.05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391</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28550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205240.05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4105</v>
      </c>
      <c r="D20" s="846">
        <f ca="1">IF(C1="",'数据-汇总表'!E6,IF(INDIRECT("'数据-取费表'!c"&amp;$K$1)="住宅",INDIRECT("'数据-取费表'!s"&amp;$K$1),INDIRECT("'数据-取费表'!k"&amp;$K$1)+INDIRECT("'数据-取费表'!s"&amp;$K$1)))</f>
        <v>205240.05</v>
      </c>
      <c r="E20" s="21">
        <f>'数据-取费表'!B28</f>
        <v>200</v>
      </c>
      <c r="F20" s="804"/>
      <c r="G20" s="12"/>
      <c r="H20" s="809"/>
      <c r="I20" s="809"/>
      <c r="J20" s="809"/>
      <c r="K20" s="810"/>
    </row>
    <row r="21" spans="1:33" s="803" customFormat="1" ht="13.5" customHeight="1">
      <c r="A21" s="790" t="s">
        <v>357</v>
      </c>
      <c r="B21" s="813" t="s">
        <v>1627</v>
      </c>
      <c r="C21" s="814">
        <f ca="1">C16+C17+C18</f>
        <v>28550</v>
      </c>
      <c r="D21" s="815"/>
      <c r="E21" s="281"/>
      <c r="F21" s="281"/>
      <c r="G21" s="131" t="s">
        <v>1628</v>
      </c>
      <c r="H21" s="807"/>
      <c r="I21" s="807"/>
      <c r="J21" s="807"/>
      <c r="K21" s="808"/>
    </row>
    <row r="22" spans="1:33" s="803" customFormat="1" ht="13.5" customHeight="1">
      <c r="A22" s="790" t="s">
        <v>1600</v>
      </c>
      <c r="B22" s="813" t="s">
        <v>1629</v>
      </c>
      <c r="C22" s="814">
        <f ca="1">ROUND(C21*F22,0)</f>
        <v>571</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2528</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388</v>
      </c>
      <c r="D25" s="280">
        <f ca="1">C26</f>
        <v>2.5399999999999999E-2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2.5399999999999999E-2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388</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4431</v>
      </c>
      <c r="D28" s="280">
        <f ca="1">C29</f>
        <v>2.8799999999999999E-2</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1642</v>
      </c>
      <c r="C29" s="284">
        <f ca="1">ROUND((1+C24)*F28*'数据-取费表'!B24/'数据-取费表'!B20,4)</f>
        <v>2.8799999999999999E-2</v>
      </c>
      <c r="D29" s="284"/>
      <c r="E29" s="285"/>
      <c r="F29" s="290"/>
      <c r="G29" s="131" t="s">
        <v>1643</v>
      </c>
      <c r="H29" s="807"/>
      <c r="I29" s="807"/>
      <c r="J29" s="807"/>
      <c r="K29" s="808"/>
    </row>
    <row r="30" spans="1:33" s="291" customFormat="1" ht="13.5" customHeight="1">
      <c r="A30" s="800" t="s">
        <v>359</v>
      </c>
      <c r="B30" s="822" t="s">
        <v>1644</v>
      </c>
      <c r="C30" s="292">
        <f ca="1">ROUND((C21+C22+C23)*F28,0)</f>
        <v>4431</v>
      </c>
      <c r="D30" s="284"/>
      <c r="E30" s="285"/>
      <c r="F30" s="290"/>
      <c r="G30" s="131"/>
      <c r="H30" s="807"/>
      <c r="I30" s="807"/>
      <c r="J30" s="807"/>
      <c r="K30" s="808"/>
    </row>
    <row r="31" spans="1:33" s="803" customFormat="1" ht="13.5" customHeight="1" thickBot="1">
      <c r="A31" s="1866" t="s">
        <v>1645</v>
      </c>
      <c r="B31" s="833" t="s">
        <v>1646</v>
      </c>
      <c r="C31" s="834">
        <f ca="1">ROUND(C4*F31/(1+'数据-取费表'!C42),0)</f>
        <v>33704</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518621</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Normal="70" zoomScaleSheetLayoutView="10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3420</v>
      </c>
      <c r="E1" s="1363" t="s">
        <v>678</v>
      </c>
      <c r="F1" s="1062">
        <f ca="1">J53</f>
        <v>43.58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425708</v>
      </c>
      <c r="C2" s="1387" t="s">
        <v>805</v>
      </c>
      <c r="D2" s="1387"/>
      <c r="E2" s="1388"/>
      <c r="F2" s="1389"/>
      <c r="G2" s="2706"/>
      <c r="H2" s="2695"/>
      <c r="I2" s="2695"/>
      <c r="J2" s="2695"/>
      <c r="K2" s="2696"/>
      <c r="L2" s="2695"/>
      <c r="M2" s="2695"/>
    </row>
    <row r="3" spans="1:37" ht="18" customHeight="1" thickBot="1">
      <c r="A3" s="1390" t="s">
        <v>806</v>
      </c>
      <c r="B3" s="1391">
        <f ca="1">IF(ISERROR(B2*10000/F43),0,ROUND(B2*10000/F43,0))</f>
        <v>54444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20575</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20549</v>
      </c>
      <c r="D6" s="155" t="s">
        <v>2108</v>
      </c>
      <c r="E6" s="302" t="s">
        <v>696</v>
      </c>
      <c r="F6" s="303">
        <f ca="1">INDIRECT("'数据-取费表'!u"&amp;$G$1)</f>
        <v>8</v>
      </c>
      <c r="G6" s="1384"/>
      <c r="H6" s="1069" t="s">
        <v>398</v>
      </c>
      <c r="I6" s="3668" t="s">
        <v>694</v>
      </c>
      <c r="J6" s="301">
        <f ca="1">ROUND(M6*M8*M7*(1-M9)/10000,0)</f>
        <v>0</v>
      </c>
      <c r="K6" s="155"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78192.539999999994</v>
      </c>
      <c r="G7" s="1384"/>
      <c r="H7" s="304"/>
      <c r="I7" s="3669"/>
      <c r="J7" s="306"/>
      <c r="K7" s="307"/>
      <c r="L7" s="302" t="s">
        <v>697</v>
      </c>
      <c r="M7" s="303">
        <f ca="1">F7</f>
        <v>78192.539999999994</v>
      </c>
    </row>
    <row r="8" spans="1:37" ht="18" customHeight="1">
      <c r="A8" s="304"/>
      <c r="B8" s="3669"/>
      <c r="C8" s="306"/>
      <c r="D8" s="307"/>
      <c r="E8" s="302" t="s">
        <v>698</v>
      </c>
      <c r="F8" s="303">
        <f ca="1">INDIRECT("'数据-取费表'!ai"&amp;$G$1)</f>
        <v>365</v>
      </c>
      <c r="G8" s="1384"/>
      <c r="H8" s="304"/>
      <c r="I8" s="3669"/>
      <c r="J8" s="306"/>
      <c r="K8" s="307"/>
      <c r="L8" s="302" t="s">
        <v>698</v>
      </c>
      <c r="M8" s="303">
        <f ca="1">INDIRECT("'数据-取费表'!ai"&amp;$G$1)</f>
        <v>365</v>
      </c>
    </row>
    <row r="9" spans="1:37" ht="18" customHeight="1">
      <c r="A9" s="304"/>
      <c r="B9" s="3670"/>
      <c r="C9" s="306"/>
      <c r="D9" s="307"/>
      <c r="E9" s="302" t="s">
        <v>699</v>
      </c>
      <c r="F9" s="312">
        <f ca="1">INDIRECT("'数据-取费表'!w"&amp;$G$1)</f>
        <v>0.1</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26</v>
      </c>
      <c r="D10" s="1366" t="s">
        <v>2116</v>
      </c>
      <c r="E10" s="313" t="s">
        <v>701</v>
      </c>
      <c r="F10" s="1116" t="s">
        <v>3421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83341</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54276</v>
      </c>
      <c r="D14" s="1345" t="s">
        <v>708</v>
      </c>
      <c r="E14" s="1342"/>
      <c r="F14" s="319"/>
      <c r="G14" s="1384"/>
      <c r="H14" s="982" t="s">
        <v>398</v>
      </c>
      <c r="I14" s="302" t="s">
        <v>709</v>
      </c>
      <c r="J14" s="21">
        <f ca="1">C29</f>
        <v>83341</v>
      </c>
      <c r="K14" s="12"/>
      <c r="L14" s="807"/>
      <c r="M14" s="808"/>
    </row>
    <row r="15" spans="1:37" s="1397" customFormat="1" ht="18" customHeight="1" thickBot="1">
      <c r="A15" s="982" t="s">
        <v>399</v>
      </c>
      <c r="B15" s="302" t="s">
        <v>710</v>
      </c>
      <c r="C15" s="21">
        <f ca="1">ROUND(C14*F15,0)</f>
        <v>2714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430</v>
      </c>
      <c r="K16" s="1087" t="s">
        <v>715</v>
      </c>
      <c r="L16" s="1088"/>
      <c r="M16" s="1072"/>
    </row>
    <row r="17" spans="1:37" s="1397" customFormat="1" ht="18" customHeight="1">
      <c r="A17" s="982" t="s">
        <v>681</v>
      </c>
      <c r="B17" s="302" t="s">
        <v>716</v>
      </c>
      <c r="C17" s="21">
        <f ca="1">ROUND(F17*(F43+INDIRECT("'数据-取费表'!S"&amp;$G$1))/10000,0)</f>
        <v>1809</v>
      </c>
      <c r="D17" s="302" t="s">
        <v>717</v>
      </c>
      <c r="E17" s="302" t="s">
        <v>718</v>
      </c>
      <c r="F17" s="23">
        <f>'数据-取费表'!B35</f>
        <v>200</v>
      </c>
      <c r="G17" s="1396"/>
      <c r="H17" s="982" t="s">
        <v>398</v>
      </c>
      <c r="I17" s="302" t="s">
        <v>719</v>
      </c>
      <c r="J17" s="2316">
        <f ca="1">ROUND(IF(AND(项目基本情况!B11="自然人",项目基本情况!B10="北京市"),J6*M17/(1+'数据-取费表'!C42),J18+J19+J20),2)</f>
        <v>13.29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814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59613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1192</v>
      </c>
      <c r="D20" s="323" t="s">
        <v>729</v>
      </c>
      <c r="E20" s="302" t="s">
        <v>712</v>
      </c>
      <c r="F20" s="322">
        <f>'数据-取费表'!B37</f>
        <v>0.02</v>
      </c>
      <c r="G20" s="1396"/>
      <c r="H20" s="982" t="s">
        <v>680</v>
      </c>
      <c r="I20" s="155" t="s">
        <v>730</v>
      </c>
      <c r="J20" s="22">
        <f ca="1">ROUND(M20*M21/10000,2)</f>
        <v>13.29</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11076.630000000001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416.71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3824</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-430</v>
      </c>
      <c r="K25" s="1095" t="s">
        <v>753</v>
      </c>
      <c r="L25" s="1096"/>
      <c r="M25" s="1097"/>
    </row>
    <row r="26" spans="1:37">
      <c r="A26" s="982" t="s">
        <v>397</v>
      </c>
      <c r="B26" s="302" t="s">
        <v>754</v>
      </c>
      <c r="C26" s="21">
        <f ca="1">ROUND((C19+C20)*F26,0)</f>
        <v>12161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83341</v>
      </c>
      <c r="D29" s="1092"/>
      <c r="E29" s="1090"/>
      <c r="F29" s="1093"/>
      <c r="G29" s="1396"/>
      <c r="H29" s="334" t="s">
        <v>396</v>
      </c>
      <c r="I29" s="335" t="s">
        <v>768</v>
      </c>
      <c r="J29" s="336">
        <f ca="1">ROUND(J26/(1+F40)^F41,0)</f>
        <v>0</v>
      </c>
      <c r="K29" s="337" t="s">
        <v>769</v>
      </c>
      <c r="L29" s="338"/>
      <c r="M29" s="339">
        <f ca="1">INDIRECT("'数据-取费表'!k"&amp;$G$1)</f>
        <v>78192.539999999994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4205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3457.7</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1095.95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2348.46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13.29</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11076.630000000001</v>
      </c>
      <c r="G35" s="1384"/>
      <c r="H35" s="2697"/>
      <c r="I35" s="1398"/>
      <c r="J35" s="1399"/>
      <c r="K35" s="2701"/>
      <c r="L35" s="2700"/>
      <c r="M35" s="2700"/>
    </row>
    <row r="36" spans="1:18" ht="18" customHeight="1">
      <c r="A36" s="1102" t="s">
        <v>402</v>
      </c>
      <c r="B36" s="302" t="s">
        <v>738</v>
      </c>
      <c r="C36" s="21">
        <f ca="1">ROUND(C29*F36,2)</f>
        <v>416.71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125.01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205.75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16370</v>
      </c>
      <c r="D39" s="1095" t="s">
        <v>773</v>
      </c>
      <c r="E39" s="1096"/>
      <c r="F39" s="1097"/>
      <c r="G39" s="1384"/>
      <c r="H39" s="2700">
        <f ca="1">C39/C5</f>
        <v>0.79562575941676794</v>
      </c>
      <c r="I39" s="1398"/>
      <c r="J39" s="1399"/>
      <c r="K39" s="2704"/>
      <c r="L39" s="2700"/>
      <c r="M39" s="2700"/>
    </row>
    <row r="40" spans="1:18" ht="18" customHeight="1">
      <c r="A40" s="299" t="s">
        <v>395</v>
      </c>
      <c r="B40" s="300" t="s">
        <v>774</v>
      </c>
      <c r="C40" s="301">
        <f ca="1">ROUND(C39*(1-((1+F42)/(1+F40))^F41)/(F40-F42),0)</f>
        <v>424543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43.58</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54295</v>
      </c>
      <c r="D43" s="337" t="s">
        <v>777</v>
      </c>
      <c r="E43" s="338" t="s">
        <v>778</v>
      </c>
      <c r="F43" s="339">
        <f ca="1">INDIRECT("'数据-取费表'!k"&amp;$G$1)</f>
        <v>78192.539999999994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-433655</v>
      </c>
      <c r="D46" s="1406" t="str">
        <f>C2</f>
        <v>万元</v>
      </c>
      <c r="E46" s="1400"/>
      <c r="F46" s="1400"/>
      <c r="I46" s="1407" t="s">
        <v>810</v>
      </c>
      <c r="J46" s="1408"/>
      <c r="K46" s="1409"/>
      <c r="L46" s="1410">
        <f ca="1">IF(M47="住宅",0,IF(L48&gt;J51,L60,J60))</f>
        <v>1165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50</v>
      </c>
      <c r="M47" s="1380" t="str">
        <f>IF(ISNUMBER(FIND("住宅",C1)),"住宅","非住宅")</f>
        <v>非住宅</v>
      </c>
      <c r="O47" s="1418" t="s">
        <v>403</v>
      </c>
      <c r="P47" s="1419" t="s">
        <v>817</v>
      </c>
      <c r="Q47" s="1420">
        <f ca="1">C40+J29</f>
        <v>424543</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44.18</v>
      </c>
      <c r="O48" s="1418" t="s">
        <v>404</v>
      </c>
      <c r="P48" s="1419" t="s">
        <v>821</v>
      </c>
      <c r="Q48" s="1420">
        <f ca="1">J60</f>
        <v>1165</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2023</v>
      </c>
      <c r="K49" s="1423" t="s">
        <v>824</v>
      </c>
      <c r="L49" s="1427"/>
      <c r="O49" s="1428" t="s">
        <v>405</v>
      </c>
      <c r="P49" s="1419" t="s">
        <v>825</v>
      </c>
      <c r="Q49" s="1420">
        <f ca="1">C29</f>
        <v>83341</v>
      </c>
      <c r="R49" s="1420" t="s">
        <v>818</v>
      </c>
    </row>
    <row r="50" spans="1:18" s="1384" customFormat="1" ht="13.5" thickBot="1">
      <c r="A50" s="976"/>
      <c r="B50" s="979"/>
      <c r="C50" s="1118"/>
      <c r="D50" s="953"/>
      <c r="E50" s="1056" t="s">
        <v>697</v>
      </c>
      <c r="F50" s="1057">
        <f ca="1">F7</f>
        <v>78192.539999999994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191554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43.58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43.58</v>
      </c>
      <c r="K53" s="3666" t="s">
        <v>837</v>
      </c>
      <c r="L53" s="3667"/>
      <c r="O53" s="1418" t="s">
        <v>409</v>
      </c>
      <c r="P53" s="1419" t="s">
        <v>838</v>
      </c>
      <c r="Q53" s="1420">
        <f ca="1">Q47+Q48</f>
        <v>425708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0.26400000000000001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83341</v>
      </c>
      <c r="D56" s="1447"/>
      <c r="E56" s="1448"/>
      <c r="F56" s="1440"/>
      <c r="I56" s="1449" t="s">
        <v>842</v>
      </c>
      <c r="J56" s="1450" t="s">
        <v>3425</v>
      </c>
      <c r="K56" s="1421" t="s">
        <v>843</v>
      </c>
      <c r="L56" s="1424" t="str">
        <f ca="1">IF(L48&lt;J51,"——",L48-J53)</f>
        <v>——</v>
      </c>
      <c r="O56" s="1418" t="s">
        <v>403</v>
      </c>
      <c r="P56" s="1419" t="s">
        <v>817</v>
      </c>
      <c r="Q56" s="1420">
        <f ca="1">C40+J29</f>
        <v>424543</v>
      </c>
      <c r="R56" s="1420" t="s">
        <v>818</v>
      </c>
    </row>
    <row r="57" spans="1:18" s="1384" customFormat="1" ht="24.75" thickBot="1">
      <c r="A57" s="1451"/>
      <c r="B57" s="950" t="s">
        <v>767</v>
      </c>
      <c r="C57" s="238">
        <f ca="1">C29</f>
        <v>83341</v>
      </c>
      <c r="D57" s="1452"/>
      <c r="E57" s="1453"/>
      <c r="F57" s="1454"/>
      <c r="I57" s="1455" t="s">
        <v>844</v>
      </c>
      <c r="J57" s="1456">
        <f ca="1">IF(OR(M47="住宅",J51&lt;L48,J56="是"),"——",J51-L48)</f>
        <v>15.82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555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33336</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1165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13.29</v>
      </c>
      <c r="D62" s="965" t="s">
        <v>786</v>
      </c>
      <c r="E62" s="950" t="s">
        <v>787</v>
      </c>
      <c r="F62" s="325">
        <f t="shared" si="0"/>
        <v>12</v>
      </c>
      <c r="I62" s="1462" t="s">
        <v>858</v>
      </c>
      <c r="J62" s="1463" t="s">
        <v>859</v>
      </c>
      <c r="K62" s="1463" t="s">
        <v>860</v>
      </c>
      <c r="L62" s="1463" t="s">
        <v>861</v>
      </c>
      <c r="M62" s="1464" t="s">
        <v>862</v>
      </c>
      <c r="O62" s="1418" t="s">
        <v>409</v>
      </c>
      <c r="P62" s="1419" t="s">
        <v>863</v>
      </c>
      <c r="Q62" s="1420">
        <f ca="1">Q56+Q57</f>
        <v>424543</v>
      </c>
      <c r="R62" s="1420" t="s">
        <v>410</v>
      </c>
    </row>
    <row r="63" spans="1:18" s="1384" customFormat="1" ht="13.5" thickBot="1">
      <c r="A63" s="326"/>
      <c r="B63" s="956"/>
      <c r="C63" s="26"/>
      <c r="D63" s="966"/>
      <c r="E63" s="950" t="s">
        <v>788</v>
      </c>
      <c r="F63" s="303">
        <f t="shared" ca="1" si="0"/>
        <v>11076.630000000001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416.71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125.01</v>
      </c>
      <c r="D65" s="964" t="s">
        <v>743</v>
      </c>
      <c r="E65" s="950" t="s">
        <v>744</v>
      </c>
      <c r="F65" s="330">
        <f t="shared" ca="1" si="0"/>
        <v>1.5E-3</v>
      </c>
      <c r="I65" s="1462" t="s">
        <v>867</v>
      </c>
      <c r="J65" s="1463">
        <v>40</v>
      </c>
      <c r="K65" s="1463">
        <v>30</v>
      </c>
      <c r="L65" s="1463">
        <v>50</v>
      </c>
      <c r="M65" s="1465">
        <v>0.02</v>
      </c>
      <c r="O65" s="1418" t="s">
        <v>403</v>
      </c>
      <c r="P65" s="1419" t="s">
        <v>868</v>
      </c>
      <c r="Q65" s="1420">
        <f ca="1">C40+J29</f>
        <v>424543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-555</v>
      </c>
      <c r="D67" s="963" t="s">
        <v>753</v>
      </c>
      <c r="E67" s="968"/>
      <c r="F67" s="969"/>
      <c r="O67" s="1428" t="s">
        <v>405</v>
      </c>
      <c r="P67" s="1419" t="s">
        <v>850</v>
      </c>
      <c r="Q67" s="1466">
        <f ca="1">L51</f>
        <v>191554</v>
      </c>
      <c r="R67" s="1420" t="s">
        <v>870</v>
      </c>
    </row>
    <row r="68" spans="1:18" s="1384" customFormat="1" ht="16.5" thickBot="1">
      <c r="A68" s="947" t="s">
        <v>395</v>
      </c>
      <c r="B68" s="948" t="s">
        <v>774</v>
      </c>
      <c r="C68" s="301">
        <f ca="1">ROUND(C67*(1-((1+F70)/(1+F68))^F69)/(F68-F70),0)</f>
        <v>-9112</v>
      </c>
      <c r="D68" s="965" t="s">
        <v>758</v>
      </c>
      <c r="E68" s="950" t="s">
        <v>759</v>
      </c>
      <c r="F68" s="312">
        <f ca="1">F40</f>
        <v>5.5E-2</v>
      </c>
      <c r="O68" s="1428" t="s">
        <v>406</v>
      </c>
      <c r="P68" s="1467" t="s">
        <v>871</v>
      </c>
      <c r="Q68" s="1420">
        <f ca="1">ROUND(Q69-Q70*Q71,0)</f>
        <v>10119</v>
      </c>
      <c r="R68" s="1420" t="s">
        <v>414</v>
      </c>
    </row>
    <row r="69" spans="1:18" s="1384" customFormat="1" ht="13.5" thickBot="1">
      <c r="A69" s="951"/>
      <c r="B69" s="952"/>
      <c r="C69" s="306"/>
      <c r="D69" s="970" t="s">
        <v>762</v>
      </c>
      <c r="E69" s="950" t="s">
        <v>763</v>
      </c>
      <c r="F69" s="333">
        <f ca="1">F41</f>
        <v>43.58</v>
      </c>
      <c r="O69" s="1428" t="s">
        <v>411</v>
      </c>
      <c r="P69" s="1467" t="s">
        <v>872</v>
      </c>
      <c r="Q69" s="1420">
        <f ca="1">C39</f>
        <v>16370</v>
      </c>
      <c r="R69" s="1420" t="s">
        <v>818</v>
      </c>
    </row>
    <row r="70" spans="1:18" s="1384" customFormat="1" ht="13.5" thickBot="1">
      <c r="A70" s="954"/>
      <c r="B70" s="955"/>
      <c r="C70" s="310"/>
      <c r="D70" s="966"/>
      <c r="E70" s="950" t="s">
        <v>766</v>
      </c>
      <c r="F70" s="1054"/>
      <c r="O70" s="1428" t="s">
        <v>412</v>
      </c>
      <c r="P70" s="1467" t="s">
        <v>873</v>
      </c>
      <c r="Q70" s="1420">
        <f ca="1">C13</f>
        <v>83341</v>
      </c>
      <c r="R70" s="1420" t="s">
        <v>818</v>
      </c>
    </row>
    <row r="71" spans="1:18" s="1384" customFormat="1" ht="13.5" thickBot="1">
      <c r="A71" s="971" t="s">
        <v>396</v>
      </c>
      <c r="B71" s="972" t="s">
        <v>776</v>
      </c>
      <c r="C71" s="336">
        <f ca="1">ROUND(C68*10000/F71,0)</f>
        <v>-1165</v>
      </c>
      <c r="D71" s="973" t="s">
        <v>777</v>
      </c>
      <c r="E71" s="974" t="s">
        <v>778</v>
      </c>
      <c r="F71" s="339">
        <f ca="1">F43</f>
        <v>78192.539999999994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6251</v>
      </c>
      <c r="D75" s="1384"/>
      <c r="E75" s="1384"/>
      <c r="F75" s="1384"/>
      <c r="K75" s="1402"/>
      <c r="L75" s="1384"/>
      <c r="O75" s="1418" t="s">
        <v>409</v>
      </c>
      <c r="P75" s="1419" t="s">
        <v>838</v>
      </c>
      <c r="Q75" s="1420">
        <f ca="1">Q65+Q66</f>
        <v>424543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0.61799999999999999</v>
      </c>
    </row>
    <row r="80" spans="1:18">
      <c r="B80" s="340" t="s">
        <v>800</v>
      </c>
      <c r="C80" s="274">
        <f ca="1">ROUND(C75/C39,3)</f>
        <v>0.38200000000000001</v>
      </c>
    </row>
    <row r="81" spans="2:3">
      <c r="B81" s="270" t="s">
        <v>801</v>
      </c>
      <c r="C81" s="238"/>
    </row>
    <row r="82" spans="2:3">
      <c r="B82" s="273" t="s">
        <v>802</v>
      </c>
      <c r="C82" s="275">
        <f ca="1">1-C83</f>
        <v>0.80400000000000005</v>
      </c>
    </row>
    <row r="83" spans="2:3">
      <c r="B83" s="273" t="s">
        <v>803</v>
      </c>
      <c r="C83" s="274">
        <f ca="1">ROUND(C13/C40,3)</f>
        <v>0.19600000000000001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10</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2105</v>
      </c>
      <c r="E6" s="302" t="s">
        <v>696</v>
      </c>
      <c r="F6" s="303">
        <f ca="1">INDIRECT("'数据-取费表'!u"&amp;$G$1)</f>
        <v>0</v>
      </c>
      <c r="G6" s="1384"/>
      <c r="H6" s="1069" t="s">
        <v>398</v>
      </c>
      <c r="I6" s="3668" t="s">
        <v>694</v>
      </c>
      <c r="J6" s="301">
        <f ca="1">ROUND(M6*M8*M7*(1-M9),0)</f>
        <v>0</v>
      </c>
      <c r="K6" s="1376" t="s">
        <v>2106</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3363</v>
      </c>
      <c r="E2" s="3444"/>
      <c r="F2" s="2846"/>
      <c r="G2" s="2847"/>
      <c r="H2" s="2848"/>
      <c r="I2" s="2849"/>
      <c r="J2" s="3671" t="s">
        <v>2319</v>
      </c>
      <c r="K2" s="367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73" t="s">
        <v>2329</v>
      </c>
      <c r="K3" s="367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73" t="s">
        <v>2331</v>
      </c>
      <c r="K4" s="367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5" t="s">
        <v>2335</v>
      </c>
      <c r="B6" s="3676"/>
      <c r="C6" s="3677"/>
      <c r="D6" s="2870"/>
      <c r="E6" s="2871"/>
      <c r="F6" s="2872"/>
      <c r="G6" s="2873"/>
      <c r="H6" s="2848"/>
      <c r="I6" s="2849"/>
      <c r="J6" s="3678">
        <v>1</v>
      </c>
      <c r="K6" s="367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78"/>
      <c r="K7" s="368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82" t="s">
        <v>2349</v>
      </c>
      <c r="C8" s="3683"/>
      <c r="D8" s="2889" t="s">
        <v>2350</v>
      </c>
      <c r="E8" s="2890" t="s">
        <v>2351</v>
      </c>
      <c r="F8" s="2891" t="s">
        <v>2352</v>
      </c>
      <c r="G8" s="2892"/>
      <c r="H8" s="2848"/>
      <c r="I8" s="2849"/>
      <c r="J8" s="3678"/>
      <c r="K8" s="368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82" t="s">
        <v>2355</v>
      </c>
      <c r="C9" s="3683"/>
      <c r="D9" s="2889">
        <f>ROUND(D6*E9,0)</f>
        <v>0</v>
      </c>
      <c r="E9" s="2893"/>
      <c r="F9" s="2894" t="s">
        <v>2356</v>
      </c>
      <c r="G9" s="2873"/>
      <c r="H9" s="2848"/>
      <c r="I9" s="2849"/>
      <c r="J9" s="3678"/>
      <c r="K9" s="3680"/>
      <c r="L9" s="2883" t="s">
        <v>2357</v>
      </c>
      <c r="M9" s="2884"/>
      <c r="N9" s="2860"/>
      <c r="O9" s="2885"/>
      <c r="P9" s="2885"/>
      <c r="Q9" s="2886">
        <v>365</v>
      </c>
      <c r="R9" s="2887">
        <f t="shared" si="0"/>
        <v>0</v>
      </c>
      <c r="S9" s="2841"/>
      <c r="T9" s="2841"/>
      <c r="U9" s="2841"/>
      <c r="V9" s="2849"/>
    </row>
    <row r="10" spans="1:22" s="2853" customFormat="1" ht="13.15" customHeight="1">
      <c r="A10" s="2888">
        <v>2</v>
      </c>
      <c r="B10" s="3682" t="s">
        <v>2358</v>
      </c>
      <c r="C10" s="3683"/>
      <c r="D10" s="2889">
        <f>ROUND(D6*E10,0)</f>
        <v>0</v>
      </c>
      <c r="E10" s="2893"/>
      <c r="F10" s="2894" t="s">
        <v>2359</v>
      </c>
      <c r="G10" s="2873"/>
      <c r="H10" s="2848"/>
      <c r="I10" s="2849"/>
      <c r="J10" s="3678"/>
      <c r="K10" s="3680"/>
      <c r="L10" s="2883" t="s">
        <v>2360</v>
      </c>
      <c r="M10" s="2884"/>
      <c r="N10" s="2860"/>
      <c r="O10" s="2885"/>
      <c r="P10" s="2885"/>
      <c r="Q10" s="2886">
        <v>365</v>
      </c>
      <c r="R10" s="2887">
        <f t="shared" si="0"/>
        <v>0</v>
      </c>
      <c r="S10" s="2841"/>
      <c r="T10" s="2841"/>
      <c r="U10" s="2841"/>
      <c r="V10" s="2849"/>
    </row>
    <row r="11" spans="1:22" s="2853" customFormat="1" ht="13.15" customHeight="1">
      <c r="A11" s="2888">
        <v>3</v>
      </c>
      <c r="B11" s="3682" t="s">
        <v>2361</v>
      </c>
      <c r="C11" s="3683"/>
      <c r="D11" s="2889">
        <f>D12+D14+D15+D16</f>
        <v>0</v>
      </c>
      <c r="E11" s="2895" t="e">
        <f>D11/D6</f>
        <v>#DIV/0!</v>
      </c>
      <c r="F11" s="2891"/>
      <c r="G11" s="2892"/>
      <c r="H11" s="2848"/>
      <c r="I11" s="2849"/>
      <c r="J11" s="3678"/>
      <c r="K11" s="368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84" t="s">
        <v>2364</v>
      </c>
      <c r="C12" s="3685"/>
      <c r="D12" s="2897">
        <f>ROUND(D13*1.2%*(1-30%),0)</f>
        <v>0</v>
      </c>
      <c r="E12" s="2898">
        <v>1.2E-2</v>
      </c>
      <c r="F12" s="2891" t="s">
        <v>2365</v>
      </c>
      <c r="G12" s="2892"/>
      <c r="H12" s="2848"/>
      <c r="I12" s="2849"/>
      <c r="J12" s="3678"/>
      <c r="K12" s="368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78"/>
      <c r="K13" s="368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84" t="s">
        <v>2370</v>
      </c>
      <c r="C14" s="3685"/>
      <c r="D14" s="2897">
        <f>ROUND(E14*B5/10000,0)</f>
        <v>0</v>
      </c>
      <c r="E14" s="2886"/>
      <c r="F14" s="2891" t="s">
        <v>2371</v>
      </c>
      <c r="G14" s="2892"/>
      <c r="H14" s="2848"/>
      <c r="I14" s="2849"/>
      <c r="J14" s="3678"/>
      <c r="K14" s="368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84" t="s">
        <v>2374</v>
      </c>
      <c r="C15" s="3685"/>
      <c r="D15" s="2897">
        <f>ROUND(D6*E15,0)</f>
        <v>0</v>
      </c>
      <c r="E15" s="2898">
        <v>5.5E-2</v>
      </c>
      <c r="F15" s="2891" t="s">
        <v>2375</v>
      </c>
      <c r="G15" s="2873"/>
      <c r="H15" s="2848"/>
      <c r="I15" s="2849"/>
      <c r="J15" s="3678">
        <v>2</v>
      </c>
      <c r="K15" s="367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84" t="s">
        <v>2383</v>
      </c>
      <c r="C16" s="3685"/>
      <c r="D16" s="2908">
        <f>D6*E16</f>
        <v>0</v>
      </c>
      <c r="E16" s="2909"/>
      <c r="F16" s="2894" t="s">
        <v>2384</v>
      </c>
      <c r="G16" s="2873"/>
      <c r="H16" s="2848"/>
      <c r="I16" s="2849"/>
      <c r="J16" s="3678"/>
      <c r="K16" s="368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2386</v>
      </c>
      <c r="C17" s="3687"/>
      <c r="D17" s="2911">
        <f>ROUND(D6*E17,0)</f>
        <v>0</v>
      </c>
      <c r="E17" s="2912"/>
      <c r="F17" s="2913" t="s">
        <v>2387</v>
      </c>
      <c r="G17" s="2873"/>
      <c r="H17" s="2848"/>
      <c r="I17" s="2849"/>
      <c r="J17" s="3678"/>
      <c r="K17" s="368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78"/>
      <c r="K18" s="368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78"/>
      <c r="K19" s="368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78"/>
      <c r="K21" s="368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78"/>
      <c r="K22" s="368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78"/>
      <c r="K23" s="368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78"/>
      <c r="K24" s="368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8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71" t="s">
        <v>2319</v>
      </c>
      <c r="K32" s="367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73" t="s">
        <v>2329</v>
      </c>
      <c r="K33" s="367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73" t="s">
        <v>2331</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78">
        <v>1</v>
      </c>
      <c r="K36" s="367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78"/>
      <c r="K40" s="368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631942</v>
      </c>
      <c r="C2" s="1872" t="s">
        <v>1650</v>
      </c>
      <c r="D2" s="1873" t="s">
        <v>1651</v>
      </c>
      <c r="E2" s="2607">
        <f>SUM(E6:E13)</f>
        <v>203989.41999999998</v>
      </c>
      <c r="F2" s="2707"/>
      <c r="G2" s="1489"/>
      <c r="H2" s="1489"/>
      <c r="I2" s="1489"/>
      <c r="J2" s="1489"/>
      <c r="K2" s="1489"/>
      <c r="L2" s="1489"/>
      <c r="M2" s="1489"/>
      <c r="N2" s="1489"/>
      <c r="O2" s="1489"/>
      <c r="P2" s="1489"/>
      <c r="Q2" s="1489"/>
      <c r="R2" s="1489"/>
      <c r="S2" s="1489"/>
    </row>
    <row r="3" spans="1:22" ht="15.75">
      <c r="A3" s="1870" t="s">
        <v>686</v>
      </c>
      <c r="B3" s="2601">
        <f ca="1">ROUND(B2*10000/E2,0)</f>
        <v>30979</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690" t="s">
        <v>1653</v>
      </c>
      <c r="C5" s="3691"/>
      <c r="D5" s="2708"/>
      <c r="E5" s="1874" t="s">
        <v>1654</v>
      </c>
      <c r="F5" s="1875" t="s">
        <v>1655</v>
      </c>
      <c r="G5" s="1489"/>
      <c r="H5" s="1489"/>
      <c r="I5" s="1489"/>
      <c r="J5" s="1489"/>
      <c r="K5" s="1489"/>
      <c r="L5" s="1489"/>
      <c r="M5" s="1489"/>
      <c r="N5" s="1489"/>
      <c r="O5" s="1489"/>
      <c r="P5" s="1489"/>
      <c r="Q5" s="1489"/>
      <c r="R5" s="1489"/>
      <c r="S5" s="1489"/>
    </row>
    <row r="6" spans="1:22">
      <c r="A6" s="2604" t="str">
        <f>'数据-取费表'!AN6</f>
        <v>收益法</v>
      </c>
      <c r="B6" s="2602">
        <f ca="1">IF(F6="是",'数据-取费表'!AO6,0)</f>
        <v>425708</v>
      </c>
      <c r="C6" s="1872" t="s">
        <v>1650</v>
      </c>
      <c r="D6" s="2709"/>
      <c r="E6" s="2606">
        <f>IF(OR(A6=0,F6="否"),0,'数据-取费表'!K6+'数据-取费表'!S6)</f>
        <v>90459.95</v>
      </c>
      <c r="F6" s="1876" t="s">
        <v>1656</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22265</v>
      </c>
      <c r="C7" s="1872" t="s">
        <v>1650</v>
      </c>
      <c r="D7" s="2709"/>
      <c r="E7" s="2606">
        <f>IF(OR(A7=0,F7="否"),0,'数据-取费表'!K7+'数据-取费表'!S7)</f>
        <v>4708.84</v>
      </c>
      <c r="F7" s="1876" t="s">
        <v>1656</v>
      </c>
      <c r="G7" s="1489"/>
      <c r="H7" s="1489"/>
      <c r="I7" s="1489"/>
      <c r="J7" s="1489"/>
      <c r="K7" s="1489"/>
      <c r="L7" s="1489"/>
      <c r="M7" s="1489"/>
      <c r="N7" s="1489"/>
      <c r="O7" s="1489"/>
      <c r="P7" s="1489"/>
      <c r="Q7" s="1489"/>
      <c r="R7" s="1489"/>
      <c r="S7" s="1489"/>
    </row>
    <row r="8" spans="1:22">
      <c r="A8" s="2604" t="str">
        <f>'数据-取费表'!AN8</f>
        <v>收益法(公寓)</v>
      </c>
      <c r="B8" s="2602">
        <f ca="1">IF(F8="是",'数据-取费表'!AO8,0)</f>
        <v>176363</v>
      </c>
      <c r="C8" s="1872" t="s">
        <v>1650</v>
      </c>
      <c r="D8" s="2709"/>
      <c r="E8" s="2606">
        <f>IF(OR(A8=0,F8="否"),0,'数据-取费表'!K8+'数据-取费表'!S8)</f>
        <v>90051.71</v>
      </c>
      <c r="F8" s="1876" t="s">
        <v>1656</v>
      </c>
      <c r="G8" s="1489"/>
      <c r="H8" s="1489"/>
      <c r="I8" s="1489"/>
      <c r="J8" s="1489"/>
      <c r="K8" s="1489"/>
      <c r="L8" s="1489"/>
      <c r="M8" s="1489"/>
      <c r="N8" s="1489"/>
      <c r="O8" s="1489"/>
      <c r="P8" s="1489"/>
      <c r="Q8" s="1489"/>
      <c r="R8" s="1489"/>
      <c r="S8" s="1489"/>
    </row>
    <row r="9" spans="1:22">
      <c r="A9" s="2604" t="str">
        <f>'数据-取费表'!AN9</f>
        <v>收益法(车库)</v>
      </c>
      <c r="B9" s="2602">
        <f ca="1">IF(F9="是",'数据-取费表'!AO9,0)</f>
        <v>7606</v>
      </c>
      <c r="C9" s="1872" t="s">
        <v>1650</v>
      </c>
      <c r="D9" s="2709"/>
      <c r="E9" s="2606">
        <f>IF(OR(A9=0,F9="否"),0,'数据-取费表'!K9+'数据-取费表'!S9)</f>
        <v>18768.919999999998</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I25" sqref="I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3420</v>
      </c>
      <c r="E1" s="1363" t="s">
        <v>678</v>
      </c>
      <c r="F1" s="1062">
        <f ca="1">J53</f>
        <v>33.57</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22265</v>
      </c>
      <c r="C2" s="1387" t="s">
        <v>805</v>
      </c>
      <c r="D2" s="1387"/>
      <c r="E2" s="1388"/>
      <c r="F2" s="1389"/>
      <c r="G2" s="2706"/>
      <c r="H2" s="2695"/>
      <c r="I2" s="2695"/>
      <c r="J2" s="2695"/>
      <c r="K2" s="2696"/>
      <c r="L2" s="2695"/>
      <c r="M2" s="2695"/>
    </row>
    <row r="3" spans="1:37" ht="18" customHeight="1" thickBot="1">
      <c r="A3" s="1390" t="s">
        <v>806</v>
      </c>
      <c r="B3" s="1391">
        <f ca="1">IF(ISERROR(B2*10000/F43),0,ROUND(B2*10000/F43,0))</f>
        <v>54702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1339</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1337</v>
      </c>
      <c r="D6" s="155" t="s">
        <v>2108</v>
      </c>
      <c r="E6" s="302" t="s">
        <v>696</v>
      </c>
      <c r="F6" s="303">
        <f ca="1">INDIRECT("'数据-取费表'!u"&amp;$G$1)</f>
        <v>10</v>
      </c>
      <c r="G6" s="1384"/>
      <c r="H6" s="1069" t="s">
        <v>398</v>
      </c>
      <c r="I6" s="3668" t="s">
        <v>694</v>
      </c>
      <c r="J6" s="301">
        <f ca="1">ROUND(M6*M8*M7*(1-M9)/10000,0)</f>
        <v>0</v>
      </c>
      <c r="K6" s="155" t="s">
        <v>2107</v>
      </c>
      <c r="L6" s="302" t="s">
        <v>696</v>
      </c>
      <c r="M6" s="303">
        <f ca="1">INDIRECT("'数据-取费表'!z"&amp;$G$1)</f>
        <v>0</v>
      </c>
    </row>
    <row r="7" spans="1:37" ht="18" customHeight="1">
      <c r="A7" s="1073"/>
      <c r="B7" s="3669"/>
      <c r="C7" s="1075"/>
      <c r="D7" s="307"/>
      <c r="E7" s="3453" t="s">
        <v>697</v>
      </c>
      <c r="F7" s="303">
        <f ca="1">IF(INDIRECT("'数据-取费表'!ah"&amp;$G$1)="",INDIRECT("'数据-取费表'!k"&amp;$G$1),INDIRECT("'数据-取费表'!ah"&amp;$G$1))</f>
        <v>4070.27</v>
      </c>
      <c r="G7" s="1384"/>
      <c r="H7" s="304"/>
      <c r="I7" s="3669"/>
      <c r="J7" s="306"/>
      <c r="K7" s="307"/>
      <c r="L7" s="302" t="s">
        <v>697</v>
      </c>
      <c r="M7" s="303">
        <f ca="1">F7</f>
        <v>4070.27</v>
      </c>
    </row>
    <row r="8" spans="1:37" ht="18" customHeight="1">
      <c r="A8" s="304"/>
      <c r="B8" s="3669"/>
      <c r="C8" s="306"/>
      <c r="D8" s="307"/>
      <c r="E8" s="302" t="s">
        <v>698</v>
      </c>
      <c r="F8" s="303">
        <f ca="1">INDIRECT("'数据-取费表'!ai"&amp;$G$1)</f>
        <v>365</v>
      </c>
      <c r="G8" s="1384"/>
      <c r="H8" s="304"/>
      <c r="I8" s="3669"/>
      <c r="J8" s="306"/>
      <c r="K8" s="307"/>
      <c r="L8" s="302" t="s">
        <v>698</v>
      </c>
      <c r="M8" s="303">
        <f ca="1">INDIRECT("'数据-取费表'!ai"&amp;$G$1)</f>
        <v>365</v>
      </c>
    </row>
    <row r="9" spans="1:37" ht="18" customHeight="1">
      <c r="A9" s="304"/>
      <c r="B9" s="3670"/>
      <c r="C9" s="306"/>
      <c r="D9" s="307"/>
      <c r="E9" s="302" t="s">
        <v>699</v>
      </c>
      <c r="F9" s="312">
        <f ca="1">INDIRECT("'数据-取费表'!w"&amp;$G$1)</f>
        <v>0.1</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2115</v>
      </c>
      <c r="E10" s="313" t="s">
        <v>701</v>
      </c>
      <c r="F10" s="1116" t="s">
        <v>3421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4337</v>
      </c>
      <c r="D13" s="3450" t="s">
        <v>705</v>
      </c>
      <c r="E13" s="3450"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2825</v>
      </c>
      <c r="D14" s="3456" t="s">
        <v>708</v>
      </c>
      <c r="E14" s="3455"/>
      <c r="F14" s="319"/>
      <c r="G14" s="1384"/>
      <c r="H14" s="982" t="s">
        <v>398</v>
      </c>
      <c r="I14" s="302" t="s">
        <v>709</v>
      </c>
      <c r="J14" s="21">
        <f ca="1">C29</f>
        <v>4337</v>
      </c>
      <c r="K14" s="3452"/>
      <c r="L14" s="807"/>
      <c r="M14" s="808"/>
    </row>
    <row r="15" spans="1:37" s="1397" customFormat="1" ht="18" customHeight="1" thickBot="1">
      <c r="A15" s="982" t="s">
        <v>399</v>
      </c>
      <c r="B15" s="302" t="s">
        <v>710</v>
      </c>
      <c r="C15" s="21">
        <f ca="1">ROUND(C14*F15,0)</f>
        <v>141</v>
      </c>
      <c r="D15" s="3451" t="s">
        <v>711</v>
      </c>
      <c r="E15" s="345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v>
      </c>
      <c r="K16" s="1087" t="s">
        <v>715</v>
      </c>
      <c r="L16" s="3458"/>
      <c r="M16" s="1072"/>
    </row>
    <row r="17" spans="1:37" s="1397" customFormat="1" ht="18" customHeight="1">
      <c r="A17" s="982" t="s">
        <v>681</v>
      </c>
      <c r="B17" s="302" t="s">
        <v>716</v>
      </c>
      <c r="C17" s="21">
        <f ca="1">ROUND(F17*(F43+INDIRECT("'数据-取费表'!S"&amp;$G$1))/10000,0)</f>
        <v>94</v>
      </c>
      <c r="D17" s="302" t="s">
        <v>717</v>
      </c>
      <c r="E17" s="302" t="s">
        <v>718</v>
      </c>
      <c r="F17" s="23">
        <f>'数据-取费表'!B35</f>
        <v>200</v>
      </c>
      <c r="G17" s="1396"/>
      <c r="H17" s="982" t="s">
        <v>398</v>
      </c>
      <c r="I17" s="302" t="s">
        <v>719</v>
      </c>
      <c r="J17" s="2316">
        <f ca="1">ROUND(IF(AND(项目基本情况!B11="自然人",项目基本情况!B10="北京市"),J6*M17/(1+'数据-取费表'!C42),J18+J19+J20),2)</f>
        <v>0.69</v>
      </c>
      <c r="K17" s="3456" t="s">
        <v>720</v>
      </c>
      <c r="L17" s="345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v>
      </c>
      <c r="D18" s="302" t="s">
        <v>711</v>
      </c>
      <c r="E18" s="302" t="s">
        <v>712</v>
      </c>
      <c r="F18" s="322">
        <f>'数据-取费表'!B36</f>
        <v>1.4999999999999999E-2</v>
      </c>
      <c r="G18" s="1396"/>
      <c r="H18" s="982" t="s">
        <v>397</v>
      </c>
      <c r="I18" s="302" t="s">
        <v>723</v>
      </c>
      <c r="J18" s="21">
        <f ca="1">ROUND(J6*M18/(1+'数据-取费表'!C42),2)</f>
        <v>0</v>
      </c>
      <c r="K18" s="345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3102</v>
      </c>
      <c r="D19" s="131" t="s">
        <v>726</v>
      </c>
      <c r="E19" s="34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62</v>
      </c>
      <c r="D20" s="2428" t="s">
        <v>729</v>
      </c>
      <c r="E20" s="302" t="s">
        <v>712</v>
      </c>
      <c r="F20" s="322">
        <f>'数据-取费表'!B37</f>
        <v>0.02</v>
      </c>
      <c r="G20" s="1396"/>
      <c r="H20" s="982" t="s">
        <v>680</v>
      </c>
      <c r="I20" s="155" t="s">
        <v>730</v>
      </c>
      <c r="J20" s="22">
        <f ca="1">ROUND(M20*M21/10000,2)</f>
        <v>0.69</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576.58999999999992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21.69</v>
      </c>
      <c r="K22" s="345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199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5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-22</v>
      </c>
      <c r="K25" s="1095" t="s">
        <v>753</v>
      </c>
      <c r="L25" s="1096"/>
      <c r="M25" s="1097"/>
    </row>
    <row r="26" spans="1:37">
      <c r="A26" s="982" t="s">
        <v>397</v>
      </c>
      <c r="B26" s="302" t="s">
        <v>754</v>
      </c>
      <c r="C26" s="21">
        <f ca="1">ROUND((C19+C20)*F26,0)</f>
        <v>633</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4337</v>
      </c>
      <c r="D29" s="1092"/>
      <c r="E29" s="1090"/>
      <c r="F29" s="1093"/>
      <c r="G29" s="1396"/>
      <c r="H29" s="334" t="s">
        <v>396</v>
      </c>
      <c r="I29" s="335" t="s">
        <v>768</v>
      </c>
      <c r="J29" s="336">
        <f ca="1">ROUND(J26/(1+F40)^F41,0)</f>
        <v>0</v>
      </c>
      <c r="K29" s="337" t="s">
        <v>769</v>
      </c>
      <c r="L29" s="338"/>
      <c r="M29" s="339">
        <f ca="1">INDIRECT("'数据-取费表'!k"&amp;$G$1)</f>
        <v>4070.27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266</v>
      </c>
      <c r="D30" s="1087" t="s">
        <v>715</v>
      </c>
      <c r="E30" s="345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224.8</v>
      </c>
      <c r="D31" s="3456" t="s">
        <v>720</v>
      </c>
      <c r="E31" s="3457"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71.31</v>
      </c>
      <c r="D32" s="3457"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152.80000000000001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0.69</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576.58999999999992</v>
      </c>
      <c r="G35" s="1384"/>
      <c r="H35" s="2697"/>
      <c r="I35" s="1398"/>
      <c r="J35" s="1399"/>
      <c r="K35" s="2701"/>
      <c r="L35" s="2700"/>
      <c r="M35" s="2700"/>
    </row>
    <row r="36" spans="1:18" ht="18" customHeight="1">
      <c r="A36" s="1102" t="s">
        <v>402</v>
      </c>
      <c r="B36" s="302" t="s">
        <v>738</v>
      </c>
      <c r="C36" s="21">
        <f ca="1">ROUND(C29*F36,2)</f>
        <v>21.69</v>
      </c>
      <c r="D36" s="3457"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6.51</v>
      </c>
      <c r="D37" s="3457"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13.39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752</v>
      </c>
      <c r="C39" s="310">
        <f ca="1">C5-C30</f>
        <v>1073</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22124</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33.57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54355</v>
      </c>
      <c r="D43" s="337" t="s">
        <v>777</v>
      </c>
      <c r="E43" s="338" t="s">
        <v>778</v>
      </c>
      <c r="F43" s="339">
        <f ca="1">INDIRECT("'数据-取费表'!k"&amp;$G$1)</f>
        <v>4070.27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-22539</v>
      </c>
      <c r="D46" s="1406" t="str">
        <f>C2</f>
        <v>万元</v>
      </c>
      <c r="E46" s="1400"/>
      <c r="F46" s="1400"/>
      <c r="I46" s="1407" t="s">
        <v>810</v>
      </c>
      <c r="J46" s="1408"/>
      <c r="K46" s="1409"/>
      <c r="L46" s="1410">
        <f ca="1">IF(M47="住宅",0,IF(L48&gt;J51,L60,J60))</f>
        <v>141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40</v>
      </c>
      <c r="M47" s="1380" t="str">
        <f>IF(ISNUMBER(FIND("住宅",C1)),"住宅","非住宅")</f>
        <v>非住宅</v>
      </c>
      <c r="O47" s="1418" t="s">
        <v>403</v>
      </c>
      <c r="P47" s="1419" t="s">
        <v>817</v>
      </c>
      <c r="Q47" s="1420">
        <f ca="1">C40+J29</f>
        <v>22124</v>
      </c>
      <c r="R47" s="1420" t="s">
        <v>818</v>
      </c>
    </row>
    <row r="48" spans="1:18" s="1384" customFormat="1" ht="28.5" thickBot="1">
      <c r="A48" s="1110" t="s">
        <v>438</v>
      </c>
      <c r="B48" s="300" t="s">
        <v>692</v>
      </c>
      <c r="C48" s="3459">
        <f ca="1">C49+C53+C55</f>
        <v>0</v>
      </c>
      <c r="D48" s="1112"/>
      <c r="E48" s="1113"/>
      <c r="F48" s="962"/>
      <c r="G48" s="722"/>
      <c r="H48" s="723"/>
      <c r="I48" s="1421" t="s">
        <v>819</v>
      </c>
      <c r="J48" s="1422" t="s">
        <v>3424</v>
      </c>
      <c r="K48" s="1423" t="s">
        <v>820</v>
      </c>
      <c r="L48" s="1424">
        <f ca="1">INDIRECT("'数据-取费表'!f"&amp;$G$1)</f>
        <v>34.17</v>
      </c>
      <c r="O48" s="1418" t="s">
        <v>404</v>
      </c>
      <c r="P48" s="1419" t="s">
        <v>821</v>
      </c>
      <c r="Q48" s="1420">
        <f ca="1">J60</f>
        <v>141</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2023</v>
      </c>
      <c r="K49" s="1423" t="s">
        <v>824</v>
      </c>
      <c r="L49" s="1427"/>
      <c r="O49" s="1428" t="s">
        <v>405</v>
      </c>
      <c r="P49" s="1419" t="s">
        <v>825</v>
      </c>
      <c r="Q49" s="1420">
        <f ca="1">C29</f>
        <v>4337</v>
      </c>
      <c r="R49" s="1420" t="s">
        <v>818</v>
      </c>
    </row>
    <row r="50" spans="1:18" s="1384" customFormat="1" ht="13.5" thickBot="1">
      <c r="A50" s="976"/>
      <c r="B50" s="979"/>
      <c r="C50" s="1118"/>
      <c r="D50" s="953"/>
      <c r="E50" s="1056" t="s">
        <v>697</v>
      </c>
      <c r="F50" s="1057">
        <f ca="1">F7</f>
        <v>4070.27</v>
      </c>
      <c r="H50" s="723"/>
      <c r="I50" s="1421" t="s">
        <v>826</v>
      </c>
      <c r="J50" s="1429">
        <f>SUMPRODUCT((I63:I65=J47)*(J62:L62=J48)*(J63:L65))</f>
        <v>60</v>
      </c>
      <c r="K50" s="1423" t="s">
        <v>827</v>
      </c>
      <c r="L50" s="1427"/>
      <c r="M50" s="1430"/>
      <c r="O50" s="1428" t="s">
        <v>406</v>
      </c>
      <c r="P50" s="1419" t="s">
        <v>828</v>
      </c>
      <c r="Q50" s="1431">
        <f ca="1">J58</f>
        <v>0.43099999999999999</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14154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33.57</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33.57</v>
      </c>
      <c r="K53" s="3666" t="s">
        <v>837</v>
      </c>
      <c r="L53" s="3667"/>
      <c r="O53" s="1418" t="s">
        <v>409</v>
      </c>
      <c r="P53" s="1419" t="s">
        <v>838</v>
      </c>
      <c r="Q53" s="1420">
        <f ca="1">Q47+Q48</f>
        <v>22265</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f ca="1">ROUND(IF(J47="钢混",J57/J50,1-(1-2%)*(J50-J57)/J50),3)</f>
        <v>0.43099999999999999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4337</v>
      </c>
      <c r="D56" s="1447"/>
      <c r="E56" s="1448"/>
      <c r="F56" s="1440"/>
      <c r="I56" s="1449" t="s">
        <v>842</v>
      </c>
      <c r="J56" s="1450" t="s">
        <v>3425</v>
      </c>
      <c r="K56" s="1421" t="s">
        <v>843</v>
      </c>
      <c r="L56" s="1424" t="str">
        <f ca="1">IF(L48&lt;J51,"——",L48-J53)</f>
        <v>——</v>
      </c>
      <c r="O56" s="1418" t="s">
        <v>403</v>
      </c>
      <c r="P56" s="1419" t="s">
        <v>817</v>
      </c>
      <c r="Q56" s="1420">
        <f ca="1">C40+J29</f>
        <v>22124</v>
      </c>
      <c r="R56" s="1420" t="s">
        <v>818</v>
      </c>
    </row>
    <row r="57" spans="1:18" s="1384" customFormat="1" ht="24.75" thickBot="1">
      <c r="A57" s="1451"/>
      <c r="B57" s="950" t="s">
        <v>767</v>
      </c>
      <c r="C57" s="238">
        <f ca="1">C29</f>
        <v>4337</v>
      </c>
      <c r="D57" s="1452"/>
      <c r="E57" s="1453"/>
      <c r="F57" s="1454"/>
      <c r="I57" s="1455" t="s">
        <v>844</v>
      </c>
      <c r="J57" s="1456">
        <f ca="1">IF(OR(M47="住宅",J51&lt;L48,J56="是"),"——",J51-L48)</f>
        <v>25.83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v>
      </c>
      <c r="D58" s="960" t="s">
        <v>715</v>
      </c>
      <c r="E58" s="961"/>
      <c r="F58" s="962"/>
      <c r="I58" s="1455" t="s">
        <v>848</v>
      </c>
      <c r="J58" s="1457">
        <f ca="1">IF(J55&lt;0.4,0.4,J55)</f>
        <v>0.43099999999999999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1869</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0.69</v>
      </c>
      <c r="D62" s="965" t="s">
        <v>786</v>
      </c>
      <c r="E62" s="950" t="s">
        <v>732</v>
      </c>
      <c r="F62" s="325">
        <f t="shared" si="0"/>
        <v>12</v>
      </c>
      <c r="I62" s="1462" t="s">
        <v>858</v>
      </c>
      <c r="J62" s="1463" t="s">
        <v>859</v>
      </c>
      <c r="K62" s="1463" t="s">
        <v>860</v>
      </c>
      <c r="L62" s="1463" t="s">
        <v>861</v>
      </c>
      <c r="M62" s="1464" t="s">
        <v>862</v>
      </c>
      <c r="O62" s="1418" t="s">
        <v>409</v>
      </c>
      <c r="P62" s="1419" t="s">
        <v>863</v>
      </c>
      <c r="Q62" s="1420">
        <f ca="1">Q56+Q57</f>
        <v>22124</v>
      </c>
      <c r="R62" s="1420" t="s">
        <v>410</v>
      </c>
    </row>
    <row r="63" spans="1:18" s="1384" customFormat="1" ht="13.5" thickBot="1">
      <c r="A63" s="326"/>
      <c r="B63" s="956"/>
      <c r="C63" s="26"/>
      <c r="D63" s="966"/>
      <c r="E63" s="950" t="s">
        <v>788</v>
      </c>
      <c r="F63" s="303">
        <f t="shared" ca="1" si="0"/>
        <v>576.58999999999992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21.69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6.51</v>
      </c>
      <c r="D65" s="964" t="s">
        <v>743</v>
      </c>
      <c r="E65" s="950" t="s">
        <v>744</v>
      </c>
      <c r="F65" s="330">
        <f t="shared" ca="1" si="0"/>
        <v>1.5E-3</v>
      </c>
      <c r="I65" s="1462" t="s">
        <v>867</v>
      </c>
      <c r="J65" s="1463">
        <v>40</v>
      </c>
      <c r="K65" s="1463">
        <v>30</v>
      </c>
      <c r="L65" s="1463">
        <v>50</v>
      </c>
      <c r="M65" s="1465">
        <v>0.02</v>
      </c>
      <c r="O65" s="1418" t="s">
        <v>403</v>
      </c>
      <c r="P65" s="1419" t="s">
        <v>868</v>
      </c>
      <c r="Q65" s="1420">
        <f ca="1">C40+J29</f>
        <v>22124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-29</v>
      </c>
      <c r="D67" s="963" t="s">
        <v>753</v>
      </c>
      <c r="E67" s="968"/>
      <c r="F67" s="969"/>
      <c r="O67" s="1428" t="s">
        <v>405</v>
      </c>
      <c r="P67" s="1419" t="s">
        <v>850</v>
      </c>
      <c r="Q67" s="1466">
        <f ca="1">L51</f>
        <v>14154</v>
      </c>
      <c r="R67" s="1420" t="s">
        <v>870</v>
      </c>
    </row>
    <row r="68" spans="1:18" s="1384" customFormat="1" ht="16.5" thickBot="1">
      <c r="A68" s="947" t="s">
        <v>395</v>
      </c>
      <c r="B68" s="948" t="s">
        <v>774</v>
      </c>
      <c r="C68" s="301">
        <f ca="1">ROUND(C67*(1-((1+F70)/(1+F68))^F69)/(F68-F70),0)</f>
        <v>-415</v>
      </c>
      <c r="D68" s="965" t="s">
        <v>758</v>
      </c>
      <c r="E68" s="950" t="s">
        <v>759</v>
      </c>
      <c r="F68" s="312">
        <f ca="1">F40</f>
        <v>0.06</v>
      </c>
      <c r="O68" s="1428" t="s">
        <v>406</v>
      </c>
      <c r="P68" s="1467" t="s">
        <v>871</v>
      </c>
      <c r="Q68" s="1420">
        <f ca="1">ROUND(Q69-Q70*Q71,0)</f>
        <v>748</v>
      </c>
      <c r="R68" s="1420" t="s">
        <v>414</v>
      </c>
    </row>
    <row r="69" spans="1:18" s="1384" customFormat="1" ht="13.5" thickBot="1">
      <c r="A69" s="951"/>
      <c r="B69" s="952"/>
      <c r="C69" s="306"/>
      <c r="D69" s="970" t="s">
        <v>762</v>
      </c>
      <c r="E69" s="950" t="s">
        <v>763</v>
      </c>
      <c r="F69" s="333">
        <f ca="1">F41</f>
        <v>33.57</v>
      </c>
      <c r="O69" s="1428" t="s">
        <v>411</v>
      </c>
      <c r="P69" s="1467" t="s">
        <v>872</v>
      </c>
      <c r="Q69" s="1420">
        <f ca="1">C39</f>
        <v>1073</v>
      </c>
      <c r="R69" s="1420" t="s">
        <v>818</v>
      </c>
    </row>
    <row r="70" spans="1:18" s="1384" customFormat="1" ht="13.5" thickBot="1">
      <c r="A70" s="954"/>
      <c r="B70" s="955"/>
      <c r="C70" s="310"/>
      <c r="D70" s="966"/>
      <c r="E70" s="950" t="s">
        <v>766</v>
      </c>
      <c r="F70" s="1054"/>
      <c r="O70" s="1428" t="s">
        <v>412</v>
      </c>
      <c r="P70" s="1467" t="s">
        <v>873</v>
      </c>
      <c r="Q70" s="1420">
        <f ca="1">C13</f>
        <v>4337</v>
      </c>
      <c r="R70" s="1420" t="s">
        <v>818</v>
      </c>
    </row>
    <row r="71" spans="1:18" s="1384" customFormat="1" ht="13.5" thickBot="1">
      <c r="A71" s="971" t="s">
        <v>396</v>
      </c>
      <c r="B71" s="972" t="s">
        <v>776</v>
      </c>
      <c r="C71" s="336">
        <f ca="1">ROUND(C68*10000/F71,0)</f>
        <v>-1020</v>
      </c>
      <c r="D71" s="973" t="s">
        <v>777</v>
      </c>
      <c r="E71" s="974" t="s">
        <v>778</v>
      </c>
      <c r="F71" s="339">
        <f ca="1">F43</f>
        <v>4070.27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325</v>
      </c>
      <c r="D75" s="1384"/>
      <c r="E75" s="1384"/>
      <c r="F75" s="1384"/>
      <c r="K75" s="1402"/>
      <c r="L75" s="1384"/>
      <c r="O75" s="1418" t="s">
        <v>409</v>
      </c>
      <c r="P75" s="1419" t="s">
        <v>838</v>
      </c>
      <c r="Q75" s="1420">
        <f ca="1">Q65+Q66</f>
        <v>22124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0.69700000000000006</v>
      </c>
    </row>
    <row r="80" spans="1:18">
      <c r="B80" s="340" t="s">
        <v>800</v>
      </c>
      <c r="C80" s="274">
        <f ca="1">ROUND(C75/C39,3)</f>
        <v>0.30299999999999999</v>
      </c>
    </row>
    <row r="81" spans="2:3">
      <c r="B81" s="270" t="s">
        <v>801</v>
      </c>
      <c r="C81" s="238"/>
    </row>
    <row r="82" spans="2:3">
      <c r="B82" s="273" t="s">
        <v>802</v>
      </c>
      <c r="C82" s="275">
        <f ca="1">1-C83</f>
        <v>0.80400000000000005</v>
      </c>
    </row>
    <row r="83" spans="2:3">
      <c r="B83" s="273" t="s">
        <v>803</v>
      </c>
      <c r="C83" s="274">
        <f ca="1">ROUND(C13/C40,3)</f>
        <v>0.19600000000000001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3420</v>
      </c>
      <c r="E1" s="1363" t="s">
        <v>678</v>
      </c>
      <c r="F1" s="1062">
        <f ca="1">J53</f>
        <v>33.57</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176363</v>
      </c>
      <c r="C2" s="1387" t="s">
        <v>805</v>
      </c>
      <c r="D2" s="1387"/>
      <c r="E2" s="1388"/>
      <c r="F2" s="1389"/>
      <c r="G2" s="2706"/>
      <c r="H2" s="2695"/>
      <c r="I2" s="2695"/>
      <c r="J2" s="2695"/>
      <c r="K2" s="2696"/>
      <c r="L2" s="2695"/>
      <c r="M2" s="2695"/>
    </row>
    <row r="3" spans="1:37" ht="18" customHeight="1" thickBot="1">
      <c r="A3" s="1390" t="s">
        <v>806</v>
      </c>
      <c r="B3" s="1391">
        <f ca="1">IF(ISERROR(B2*10000/F43),0,ROUND(B2*10000/F43,0))</f>
        <v>22657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10241</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10228</v>
      </c>
      <c r="D6" s="155" t="s">
        <v>2108</v>
      </c>
      <c r="E6" s="302" t="s">
        <v>696</v>
      </c>
      <c r="F6" s="303">
        <f ca="1">INDIRECT("'数据-取费表'!u"&amp;$G$1)</f>
        <v>4</v>
      </c>
      <c r="G6" s="1384"/>
      <c r="H6" s="1069" t="s">
        <v>398</v>
      </c>
      <c r="I6" s="3668" t="s">
        <v>694</v>
      </c>
      <c r="J6" s="301">
        <f ca="1">ROUND(M6*M8*M7*(1-M9)/10000,0)</f>
        <v>0</v>
      </c>
      <c r="K6" s="155" t="s">
        <v>2107</v>
      </c>
      <c r="L6" s="302" t="s">
        <v>696</v>
      </c>
      <c r="M6" s="303">
        <f ca="1">INDIRECT("'数据-取费表'!z"&amp;$G$1)</f>
        <v>0</v>
      </c>
    </row>
    <row r="7" spans="1:37" ht="18" customHeight="1">
      <c r="A7" s="1073"/>
      <c r="B7" s="3669"/>
      <c r="C7" s="1075"/>
      <c r="D7" s="307"/>
      <c r="E7" s="3453" t="s">
        <v>697</v>
      </c>
      <c r="F7" s="303">
        <f ca="1">IF(INDIRECT("'数据-取费表'!ah"&amp;$G$1)="",INDIRECT("'数据-取费表'!k"&amp;$G$1),INDIRECT("'数据-取费表'!ah"&amp;$G$1))</f>
        <v>77839.66</v>
      </c>
      <c r="G7" s="1384"/>
      <c r="H7" s="304"/>
      <c r="I7" s="3669"/>
      <c r="J7" s="306"/>
      <c r="K7" s="307"/>
      <c r="L7" s="302" t="s">
        <v>697</v>
      </c>
      <c r="M7" s="303">
        <f ca="1">F7</f>
        <v>77839.66</v>
      </c>
    </row>
    <row r="8" spans="1:37" ht="18" customHeight="1">
      <c r="A8" s="304"/>
      <c r="B8" s="3669"/>
      <c r="C8" s="306"/>
      <c r="D8" s="307"/>
      <c r="E8" s="302" t="s">
        <v>698</v>
      </c>
      <c r="F8" s="303">
        <f ca="1">INDIRECT("'数据-取费表'!ai"&amp;$G$1)</f>
        <v>365</v>
      </c>
      <c r="G8" s="1384"/>
      <c r="H8" s="304"/>
      <c r="I8" s="3669"/>
      <c r="J8" s="306"/>
      <c r="K8" s="307"/>
      <c r="L8" s="302" t="s">
        <v>698</v>
      </c>
      <c r="M8" s="303">
        <f ca="1">INDIRECT("'数据-取费表'!ai"&amp;$G$1)</f>
        <v>365</v>
      </c>
    </row>
    <row r="9" spans="1:37" ht="18" customHeight="1">
      <c r="A9" s="304"/>
      <c r="B9" s="3670"/>
      <c r="C9" s="306"/>
      <c r="D9" s="307"/>
      <c r="E9" s="302" t="s">
        <v>699</v>
      </c>
      <c r="F9" s="312">
        <f ca="1">INDIRECT("'数据-取费表'!w"&amp;$G$1)</f>
        <v>0.1</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2115</v>
      </c>
      <c r="E10" s="313" t="s">
        <v>701</v>
      </c>
      <c r="F10" s="1116" t="s">
        <v>3421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86880</v>
      </c>
      <c r="D13" s="3450" t="s">
        <v>705</v>
      </c>
      <c r="E13" s="3450"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61815</v>
      </c>
      <c r="D14" s="3456" t="s">
        <v>708</v>
      </c>
      <c r="E14" s="3455"/>
      <c r="F14" s="319"/>
      <c r="G14" s="1384"/>
      <c r="H14" s="982" t="s">
        <v>398</v>
      </c>
      <c r="I14" s="302" t="s">
        <v>709</v>
      </c>
      <c r="J14" s="21">
        <f ca="1">C29</f>
        <v>86880</v>
      </c>
      <c r="K14" s="3452"/>
      <c r="L14" s="807"/>
      <c r="M14" s="808"/>
    </row>
    <row r="15" spans="1:37" s="1397" customFormat="1" ht="18" customHeight="1" thickBot="1">
      <c r="A15" s="982" t="s">
        <v>399</v>
      </c>
      <c r="B15" s="302" t="s">
        <v>710</v>
      </c>
      <c r="C15" s="21">
        <f ca="1">ROUND(C14*F15,0)</f>
        <v>3091</v>
      </c>
      <c r="D15" s="3451" t="s">
        <v>711</v>
      </c>
      <c r="E15" s="345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448</v>
      </c>
      <c r="K16" s="1087" t="s">
        <v>715</v>
      </c>
      <c r="L16" s="3458"/>
      <c r="M16" s="1072"/>
    </row>
    <row r="17" spans="1:37" s="1397" customFormat="1" ht="18" customHeight="1">
      <c r="A17" s="982" t="s">
        <v>681</v>
      </c>
      <c r="B17" s="302" t="s">
        <v>716</v>
      </c>
      <c r="C17" s="21">
        <f ca="1">ROUND(F17*(F43+INDIRECT("'数据-取费表'!S"&amp;$G$1))/10000,0)</f>
        <v>1801</v>
      </c>
      <c r="D17" s="302" t="s">
        <v>717</v>
      </c>
      <c r="E17" s="302" t="s">
        <v>718</v>
      </c>
      <c r="F17" s="23">
        <f>'数据-取费表'!B35</f>
        <v>200</v>
      </c>
      <c r="G17" s="1396"/>
      <c r="H17" s="982" t="s">
        <v>398</v>
      </c>
      <c r="I17" s="302" t="s">
        <v>719</v>
      </c>
      <c r="J17" s="2316">
        <f ca="1">ROUND(IF(AND(项目基本情况!B11="自然人",项目基本情况!B10="北京市"),J6*M17/(1+'数据-取费表'!C42),J18+J19+J20),2)</f>
        <v>13.23</v>
      </c>
      <c r="K17" s="3456" t="s">
        <v>720</v>
      </c>
      <c r="L17" s="345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927</v>
      </c>
      <c r="D18" s="302" t="s">
        <v>711</v>
      </c>
      <c r="E18" s="302" t="s">
        <v>712</v>
      </c>
      <c r="F18" s="322">
        <f>'数据-取费表'!B36</f>
        <v>1.4999999999999999E-2</v>
      </c>
      <c r="G18" s="1396"/>
      <c r="H18" s="982" t="s">
        <v>397</v>
      </c>
      <c r="I18" s="302" t="s">
        <v>723</v>
      </c>
      <c r="J18" s="21">
        <f ca="1">ROUND(J6*M18/(1+'数据-取费表'!C42),2)</f>
        <v>0</v>
      </c>
      <c r="K18" s="345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67634</v>
      </c>
      <c r="D19" s="131" t="s">
        <v>726</v>
      </c>
      <c r="E19" s="34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1353</v>
      </c>
      <c r="D20" s="2428" t="s">
        <v>729</v>
      </c>
      <c r="E20" s="302" t="s">
        <v>712</v>
      </c>
      <c r="F20" s="322">
        <f>'数据-取费表'!B37</f>
        <v>0.02</v>
      </c>
      <c r="G20" s="1396"/>
      <c r="H20" s="982" t="s">
        <v>680</v>
      </c>
      <c r="I20" s="155" t="s">
        <v>730</v>
      </c>
      <c r="J20" s="22">
        <f ca="1">ROUND(M20*M21/10000,2)</f>
        <v>13.23</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11026.64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434.4</v>
      </c>
      <c r="K22" s="345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4339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5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-448</v>
      </c>
      <c r="K25" s="1095" t="s">
        <v>753</v>
      </c>
      <c r="L25" s="1096"/>
      <c r="M25" s="1097"/>
    </row>
    <row r="26" spans="1:37">
      <c r="A26" s="982" t="s">
        <v>397</v>
      </c>
      <c r="B26" s="302" t="s">
        <v>754</v>
      </c>
      <c r="C26" s="21">
        <f ca="1">ROUND((C19+C20)*F26,0)</f>
        <v>6899</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86880</v>
      </c>
      <c r="D29" s="1092"/>
      <c r="E29" s="1090"/>
      <c r="F29" s="1093"/>
      <c r="G29" s="1396"/>
      <c r="H29" s="334" t="s">
        <v>396</v>
      </c>
      <c r="I29" s="335" t="s">
        <v>768</v>
      </c>
      <c r="J29" s="336">
        <f ca="1">ROUND(J26/(1+F40)^F41,0)</f>
        <v>0</v>
      </c>
      <c r="K29" s="337" t="s">
        <v>769</v>
      </c>
      <c r="L29" s="338"/>
      <c r="M29" s="339">
        <f ca="1">INDIRECT("'数据-取费表'!k"&amp;$G$1)</f>
        <v>77839.66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2395</v>
      </c>
      <c r="D30" s="1087" t="s">
        <v>715</v>
      </c>
      <c r="E30" s="345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1727.63</v>
      </c>
      <c r="D31" s="3456" t="s">
        <v>720</v>
      </c>
      <c r="E31" s="3457"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545.49</v>
      </c>
      <c r="D32" s="3457"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1168.9100000000001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13.23</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11026.64</v>
      </c>
      <c r="G35" s="1384"/>
      <c r="H35" s="2697"/>
      <c r="I35" s="1398"/>
      <c r="J35" s="1399"/>
      <c r="K35" s="2701"/>
      <c r="L35" s="2700"/>
      <c r="M35" s="2700"/>
    </row>
    <row r="36" spans="1:18" ht="18" customHeight="1">
      <c r="A36" s="1102" t="s">
        <v>402</v>
      </c>
      <c r="B36" s="302" t="s">
        <v>738</v>
      </c>
      <c r="C36" s="21">
        <f ca="1">ROUND(C29*F36,2)</f>
        <v>434.4</v>
      </c>
      <c r="D36" s="3457"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130.32</v>
      </c>
      <c r="D37" s="3457"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102.41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752</v>
      </c>
      <c r="C39" s="310">
        <f ca="1">C5-C30</f>
        <v>7846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173536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33.57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22294</v>
      </c>
      <c r="D43" s="337" t="s">
        <v>777</v>
      </c>
      <c r="E43" s="338" t="s">
        <v>778</v>
      </c>
      <c r="F43" s="339">
        <f ca="1">INDIRECT("'数据-取费表'!k"&amp;$G$1)</f>
        <v>77839.66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-182303</v>
      </c>
      <c r="D46" s="1406" t="str">
        <f>C2</f>
        <v>万元</v>
      </c>
      <c r="E46" s="1400"/>
      <c r="F46" s="1400"/>
      <c r="I46" s="1407" t="s">
        <v>810</v>
      </c>
      <c r="J46" s="1408"/>
      <c r="K46" s="1409"/>
      <c r="L46" s="1410">
        <f ca="1">IF(M47="住宅",0,IF(L48&gt;J51,L60,J60))</f>
        <v>2827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40</v>
      </c>
      <c r="M47" s="1380" t="str">
        <f>IF(ISNUMBER(FIND("住宅",C1)),"住宅","非住宅")</f>
        <v>非住宅</v>
      </c>
      <c r="O47" s="1418" t="s">
        <v>403</v>
      </c>
      <c r="P47" s="1419" t="s">
        <v>817</v>
      </c>
      <c r="Q47" s="1420">
        <f ca="1">C40+J29</f>
        <v>173536</v>
      </c>
      <c r="R47" s="1420" t="s">
        <v>818</v>
      </c>
    </row>
    <row r="48" spans="1:18" s="1384" customFormat="1" ht="28.5" thickBot="1">
      <c r="A48" s="1110" t="s">
        <v>438</v>
      </c>
      <c r="B48" s="300" t="s">
        <v>692</v>
      </c>
      <c r="C48" s="3459">
        <f ca="1">C49+C53+C55</f>
        <v>0</v>
      </c>
      <c r="D48" s="1112"/>
      <c r="E48" s="1113"/>
      <c r="F48" s="962"/>
      <c r="G48" s="722"/>
      <c r="H48" s="723"/>
      <c r="I48" s="1421" t="s">
        <v>819</v>
      </c>
      <c r="J48" s="1422" t="s">
        <v>3424</v>
      </c>
      <c r="K48" s="1423" t="s">
        <v>820</v>
      </c>
      <c r="L48" s="1424">
        <f ca="1">INDIRECT("'数据-取费表'!f"&amp;$G$1)</f>
        <v>34.17</v>
      </c>
      <c r="O48" s="1418" t="s">
        <v>404</v>
      </c>
      <c r="P48" s="1419" t="s">
        <v>821</v>
      </c>
      <c r="Q48" s="1420">
        <f ca="1">J60</f>
        <v>2827</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2023</v>
      </c>
      <c r="K49" s="1423" t="s">
        <v>824</v>
      </c>
      <c r="L49" s="1427"/>
      <c r="O49" s="1428" t="s">
        <v>405</v>
      </c>
      <c r="P49" s="1419" t="s">
        <v>825</v>
      </c>
      <c r="Q49" s="1420">
        <f ca="1">C29</f>
        <v>86880</v>
      </c>
      <c r="R49" s="1420" t="s">
        <v>818</v>
      </c>
    </row>
    <row r="50" spans="1:18" s="1384" customFormat="1" ht="13.5" thickBot="1">
      <c r="A50" s="976"/>
      <c r="B50" s="979"/>
      <c r="C50" s="1118"/>
      <c r="D50" s="953"/>
      <c r="E50" s="1056" t="s">
        <v>697</v>
      </c>
      <c r="F50" s="1057">
        <f ca="1">F7</f>
        <v>77839.66</v>
      </c>
      <c r="H50" s="723"/>
      <c r="I50" s="1421" t="s">
        <v>826</v>
      </c>
      <c r="J50" s="1429">
        <f>SUMPRODUCT((I63:I65=J47)*(J62:L62=J48)*(J63:L65))</f>
        <v>60</v>
      </c>
      <c r="K50" s="1423" t="s">
        <v>827</v>
      </c>
      <c r="L50" s="1427"/>
      <c r="M50" s="1430"/>
      <c r="O50" s="1428" t="s">
        <v>406</v>
      </c>
      <c r="P50" s="1419" t="s">
        <v>828</v>
      </c>
      <c r="Q50" s="1431">
        <f ca="1">J58</f>
        <v>0.43099999999999999</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25176</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33.57</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33.57</v>
      </c>
      <c r="K53" s="3666" t="s">
        <v>837</v>
      </c>
      <c r="L53" s="3667"/>
      <c r="O53" s="1418" t="s">
        <v>409</v>
      </c>
      <c r="P53" s="1419" t="s">
        <v>838</v>
      </c>
      <c r="Q53" s="1420">
        <f ca="1">Q47+Q48</f>
        <v>176363</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f ca="1">ROUND(IF(J47="钢混",J57/J50,1-(1-2%)*(J50-J57)/J50),3)</f>
        <v>0.43099999999999999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86880</v>
      </c>
      <c r="D56" s="1447"/>
      <c r="E56" s="1448"/>
      <c r="F56" s="1440"/>
      <c r="I56" s="1449" t="s">
        <v>842</v>
      </c>
      <c r="J56" s="1450" t="s">
        <v>3425</v>
      </c>
      <c r="K56" s="1421" t="s">
        <v>843</v>
      </c>
      <c r="L56" s="1424" t="str">
        <f ca="1">IF(L48&lt;J51,"——",L48-J53)</f>
        <v>——</v>
      </c>
      <c r="O56" s="1418" t="s">
        <v>403</v>
      </c>
      <c r="P56" s="1419" t="s">
        <v>817</v>
      </c>
      <c r="Q56" s="1420">
        <f ca="1">C40+J29</f>
        <v>173536</v>
      </c>
      <c r="R56" s="1420" t="s">
        <v>818</v>
      </c>
    </row>
    <row r="57" spans="1:18" s="1384" customFormat="1" ht="24.75" thickBot="1">
      <c r="A57" s="1451"/>
      <c r="B57" s="950" t="s">
        <v>767</v>
      </c>
      <c r="C57" s="238">
        <f ca="1">C29</f>
        <v>86880</v>
      </c>
      <c r="D57" s="1452"/>
      <c r="E57" s="1453"/>
      <c r="F57" s="1454"/>
      <c r="I57" s="1455" t="s">
        <v>844</v>
      </c>
      <c r="J57" s="1456">
        <f ca="1">IF(OR(M47="住宅",J51&lt;L48,J56="是"),"——",J51-L48)</f>
        <v>25.83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578</v>
      </c>
      <c r="D58" s="960" t="s">
        <v>715</v>
      </c>
      <c r="E58" s="961"/>
      <c r="F58" s="962"/>
      <c r="I58" s="1455" t="s">
        <v>848</v>
      </c>
      <c r="J58" s="1457">
        <f ca="1">IF(J55&lt;0.4,0.4,J55)</f>
        <v>0.43099999999999999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37445</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2827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13.23</v>
      </c>
      <c r="D62" s="965" t="s">
        <v>786</v>
      </c>
      <c r="E62" s="950" t="s">
        <v>732</v>
      </c>
      <c r="F62" s="325">
        <f t="shared" si="0"/>
        <v>12</v>
      </c>
      <c r="I62" s="1462" t="s">
        <v>858</v>
      </c>
      <c r="J62" s="1463" t="s">
        <v>859</v>
      </c>
      <c r="K62" s="1463" t="s">
        <v>860</v>
      </c>
      <c r="L62" s="1463" t="s">
        <v>861</v>
      </c>
      <c r="M62" s="1464" t="s">
        <v>862</v>
      </c>
      <c r="O62" s="1418" t="s">
        <v>409</v>
      </c>
      <c r="P62" s="1419" t="s">
        <v>863</v>
      </c>
      <c r="Q62" s="1420">
        <f ca="1">Q56+Q57</f>
        <v>173536</v>
      </c>
      <c r="R62" s="1420" t="s">
        <v>410</v>
      </c>
    </row>
    <row r="63" spans="1:18" s="1384" customFormat="1" ht="13.5" thickBot="1">
      <c r="A63" s="326"/>
      <c r="B63" s="956"/>
      <c r="C63" s="26"/>
      <c r="D63" s="966"/>
      <c r="E63" s="950" t="s">
        <v>788</v>
      </c>
      <c r="F63" s="303">
        <f t="shared" ca="1" si="0"/>
        <v>11026.64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434.4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130.32</v>
      </c>
      <c r="D65" s="964" t="s">
        <v>743</v>
      </c>
      <c r="E65" s="950" t="s">
        <v>744</v>
      </c>
      <c r="F65" s="330">
        <f t="shared" ca="1" si="0"/>
        <v>1.5E-3</v>
      </c>
      <c r="I65" s="1462" t="s">
        <v>867</v>
      </c>
      <c r="J65" s="1463">
        <v>40</v>
      </c>
      <c r="K65" s="1463">
        <v>30</v>
      </c>
      <c r="L65" s="1463">
        <v>50</v>
      </c>
      <c r="M65" s="1465">
        <v>0.02</v>
      </c>
      <c r="O65" s="1418" t="s">
        <v>403</v>
      </c>
      <c r="P65" s="1419" t="s">
        <v>868</v>
      </c>
      <c r="Q65" s="1420">
        <f ca="1">C40+J29</f>
        <v>173536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-578</v>
      </c>
      <c r="D67" s="963" t="s">
        <v>753</v>
      </c>
      <c r="E67" s="968"/>
      <c r="F67" s="969"/>
      <c r="O67" s="1428" t="s">
        <v>405</v>
      </c>
      <c r="P67" s="1419" t="s">
        <v>850</v>
      </c>
      <c r="Q67" s="1466">
        <f ca="1">L51</f>
        <v>25176</v>
      </c>
      <c r="R67" s="1420" t="s">
        <v>870</v>
      </c>
    </row>
    <row r="68" spans="1:18" s="1384" customFormat="1" ht="16.5" thickBot="1">
      <c r="A68" s="947" t="s">
        <v>395</v>
      </c>
      <c r="B68" s="948" t="s">
        <v>774</v>
      </c>
      <c r="C68" s="301">
        <f ca="1">ROUND(C67*(1-((1+F70)/(1+F68))^F69)/(F68-F70),0)</f>
        <v>-8767</v>
      </c>
      <c r="D68" s="965" t="s">
        <v>758</v>
      </c>
      <c r="E68" s="950" t="s">
        <v>759</v>
      </c>
      <c r="F68" s="312">
        <f ca="1">F40</f>
        <v>5.5E-2</v>
      </c>
      <c r="O68" s="1428" t="s">
        <v>406</v>
      </c>
      <c r="P68" s="1467" t="s">
        <v>871</v>
      </c>
      <c r="Q68" s="1420">
        <f ca="1">ROUND(Q69-Q70*Q71,0)</f>
        <v>1330</v>
      </c>
      <c r="R68" s="1420" t="s">
        <v>414</v>
      </c>
    </row>
    <row r="69" spans="1:18" s="1384" customFormat="1" ht="13.5" thickBot="1">
      <c r="A69" s="951"/>
      <c r="B69" s="952"/>
      <c r="C69" s="306"/>
      <c r="D69" s="970" t="s">
        <v>762</v>
      </c>
      <c r="E69" s="950" t="s">
        <v>763</v>
      </c>
      <c r="F69" s="333">
        <f ca="1">F41</f>
        <v>33.57</v>
      </c>
      <c r="O69" s="1428" t="s">
        <v>411</v>
      </c>
      <c r="P69" s="1467" t="s">
        <v>872</v>
      </c>
      <c r="Q69" s="1420">
        <f ca="1">C39</f>
        <v>7846</v>
      </c>
      <c r="R69" s="1420" t="s">
        <v>818</v>
      </c>
    </row>
    <row r="70" spans="1:18" s="1384" customFormat="1" ht="13.5" thickBot="1">
      <c r="A70" s="954"/>
      <c r="B70" s="955"/>
      <c r="C70" s="310"/>
      <c r="D70" s="966"/>
      <c r="E70" s="950" t="s">
        <v>766</v>
      </c>
      <c r="F70" s="1054"/>
      <c r="O70" s="1428" t="s">
        <v>412</v>
      </c>
      <c r="P70" s="1467" t="s">
        <v>873</v>
      </c>
      <c r="Q70" s="1420">
        <f ca="1">C13</f>
        <v>86880</v>
      </c>
      <c r="R70" s="1420" t="s">
        <v>818</v>
      </c>
    </row>
    <row r="71" spans="1:18" s="1384" customFormat="1" ht="13.5" thickBot="1">
      <c r="A71" s="971" t="s">
        <v>396</v>
      </c>
      <c r="B71" s="972" t="s">
        <v>776</v>
      </c>
      <c r="C71" s="336">
        <f ca="1">ROUND(C68*10000/F71,0)</f>
        <v>-1126</v>
      </c>
      <c r="D71" s="973" t="s">
        <v>777</v>
      </c>
      <c r="E71" s="974" t="s">
        <v>778</v>
      </c>
      <c r="F71" s="339">
        <f ca="1">F43</f>
        <v>77839.66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6516</v>
      </c>
      <c r="D75" s="1384"/>
      <c r="E75" s="1384"/>
      <c r="F75" s="1384"/>
      <c r="K75" s="1402"/>
      <c r="L75" s="1384"/>
      <c r="O75" s="1418" t="s">
        <v>409</v>
      </c>
      <c r="P75" s="1419" t="s">
        <v>838</v>
      </c>
      <c r="Q75" s="1420">
        <f ca="1">Q65+Q66</f>
        <v>173536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0.17000000000000004</v>
      </c>
    </row>
    <row r="80" spans="1:18">
      <c r="B80" s="340" t="s">
        <v>800</v>
      </c>
      <c r="C80" s="274">
        <f ca="1">ROUND(C75/C39,3)</f>
        <v>0.83</v>
      </c>
    </row>
    <row r="81" spans="2:3">
      <c r="B81" s="270" t="s">
        <v>801</v>
      </c>
      <c r="C81" s="238"/>
    </row>
    <row r="82" spans="2:3">
      <c r="B82" s="273" t="s">
        <v>802</v>
      </c>
      <c r="C82" s="275">
        <f ca="1">1-C83</f>
        <v>0.499</v>
      </c>
    </row>
    <row r="83" spans="2:3">
      <c r="B83" s="273" t="s">
        <v>803</v>
      </c>
      <c r="C83" s="274">
        <f ca="1">ROUND(C13/C40,3)</f>
        <v>0.501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C44" sqref="C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3394</v>
      </c>
      <c r="D1" s="1362" t="s">
        <v>3420</v>
      </c>
      <c r="E1" s="1363" t="s">
        <v>678</v>
      </c>
      <c r="F1" s="1062">
        <f ca="1">J53</f>
        <v>43.58</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7606</v>
      </c>
      <c r="C2" s="1387" t="s">
        <v>805</v>
      </c>
      <c r="D2" s="1387"/>
      <c r="E2" s="1388"/>
      <c r="F2" s="1389"/>
      <c r="G2" s="2706"/>
      <c r="H2" s="2695"/>
      <c r="I2" s="2695"/>
      <c r="J2" s="2695"/>
      <c r="K2" s="2696"/>
      <c r="L2" s="2695"/>
      <c r="M2" s="2695"/>
    </row>
    <row r="3" spans="1:37" ht="18" customHeight="1" thickBot="1">
      <c r="A3" s="1390" t="s">
        <v>806</v>
      </c>
      <c r="B3" s="1391">
        <f ca="1">IF(ISERROR(B2*10000/F43),0,ROUND(B2*10000/F43,0))</f>
        <v>4688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500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500</v>
      </c>
      <c r="D6" s="155" t="s">
        <v>2108</v>
      </c>
      <c r="E6" s="302" t="s">
        <v>696</v>
      </c>
      <c r="F6" s="303">
        <f ca="1">INDIRECT("'数据-取费表'!u"&amp;$G$1)</f>
        <v>1000</v>
      </c>
      <c r="G6" s="1384"/>
      <c r="H6" s="1069" t="s">
        <v>398</v>
      </c>
      <c r="I6" s="3668" t="s">
        <v>694</v>
      </c>
      <c r="J6" s="301">
        <f ca="1">ROUND(M6*M8*M7*(1-M9)/10000,0)</f>
        <v>0</v>
      </c>
      <c r="K6" s="155" t="s">
        <v>2107</v>
      </c>
      <c r="L6" s="302" t="s">
        <v>696</v>
      </c>
      <c r="M6" s="303">
        <f ca="1">INDIRECT("'数据-取费表'!z"&amp;$G$1)</f>
        <v>0</v>
      </c>
    </row>
    <row r="7" spans="1:37" ht="18" customHeight="1">
      <c r="A7" s="1073"/>
      <c r="B7" s="3669"/>
      <c r="C7" s="1075"/>
      <c r="D7" s="307"/>
      <c r="E7" s="3453" t="s">
        <v>697</v>
      </c>
      <c r="F7" s="303">
        <f ca="1">IF(INDIRECT("'数据-取费表'!ah"&amp;$G$1)="",INDIRECT("'数据-取费表'!k"&amp;$G$1),INDIRECT("'数据-取费表'!ah"&amp;$G$1))</f>
        <v>463</v>
      </c>
      <c r="G7" s="1384"/>
      <c r="H7" s="304"/>
      <c r="I7" s="3669"/>
      <c r="J7" s="306"/>
      <c r="K7" s="307"/>
      <c r="L7" s="302" t="s">
        <v>697</v>
      </c>
      <c r="M7" s="303">
        <f ca="1">F7</f>
        <v>463</v>
      </c>
    </row>
    <row r="8" spans="1:37" ht="18" customHeight="1">
      <c r="A8" s="304"/>
      <c r="B8" s="3669"/>
      <c r="C8" s="306"/>
      <c r="D8" s="307"/>
      <c r="E8" s="302" t="s">
        <v>698</v>
      </c>
      <c r="F8" s="303">
        <f ca="1">INDIRECT("'数据-取费表'!ai"&amp;$G$1)</f>
        <v>12</v>
      </c>
      <c r="G8" s="1384"/>
      <c r="H8" s="304"/>
      <c r="I8" s="3669"/>
      <c r="J8" s="306"/>
      <c r="K8" s="307"/>
      <c r="L8" s="302" t="s">
        <v>698</v>
      </c>
      <c r="M8" s="303">
        <f ca="1">INDIRECT("'数据-取费表'!ai"&amp;$G$1)</f>
        <v>12</v>
      </c>
    </row>
    <row r="9" spans="1:37" ht="18" customHeight="1">
      <c r="A9" s="304"/>
      <c r="B9" s="3670"/>
      <c r="C9" s="306"/>
      <c r="D9" s="307"/>
      <c r="E9" s="302" t="s">
        <v>699</v>
      </c>
      <c r="F9" s="312">
        <f ca="1">INDIRECT("'数据-取费表'!w"&amp;$G$1)</f>
        <v>0.1</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3430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15188</v>
      </c>
      <c r="D13" s="3450" t="s">
        <v>705</v>
      </c>
      <c r="E13" s="3450"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11261</v>
      </c>
      <c r="D14" s="3456" t="s">
        <v>708</v>
      </c>
      <c r="E14" s="3455"/>
      <c r="F14" s="319"/>
      <c r="G14" s="1384"/>
      <c r="H14" s="982" t="s">
        <v>398</v>
      </c>
      <c r="I14" s="302" t="s">
        <v>709</v>
      </c>
      <c r="J14" s="21">
        <f ca="1">C29</f>
        <v>15188</v>
      </c>
      <c r="K14" s="3452"/>
      <c r="L14" s="807"/>
      <c r="M14" s="808"/>
    </row>
    <row r="15" spans="1:37" s="1397" customFormat="1" ht="18" customHeight="1" thickBot="1">
      <c r="A15" s="982" t="s">
        <v>399</v>
      </c>
      <c r="B15" s="302" t="s">
        <v>710</v>
      </c>
      <c r="C15" s="21">
        <f ca="1">ROUND(C14*F15,0)</f>
        <v>563</v>
      </c>
      <c r="D15" s="3451" t="s">
        <v>711</v>
      </c>
      <c r="E15" s="345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79</v>
      </c>
      <c r="K16" s="1087" t="s">
        <v>715</v>
      </c>
      <c r="L16" s="3458"/>
      <c r="M16" s="1072"/>
    </row>
    <row r="17" spans="1:37" s="1397" customFormat="1" ht="18" customHeight="1">
      <c r="A17" s="982" t="s">
        <v>681</v>
      </c>
      <c r="B17" s="302" t="s">
        <v>716</v>
      </c>
      <c r="C17" s="21">
        <f ca="1">ROUND(F17*(F43+INDIRECT("'数据-取费表'!S"&amp;$G$1))/10000,0)</f>
        <v>375</v>
      </c>
      <c r="D17" s="302" t="s">
        <v>717</v>
      </c>
      <c r="E17" s="302" t="s">
        <v>718</v>
      </c>
      <c r="F17" s="23">
        <f>'数据-取费表'!B35</f>
        <v>200</v>
      </c>
      <c r="G17" s="1396"/>
      <c r="H17" s="982" t="s">
        <v>398</v>
      </c>
      <c r="I17" s="302" t="s">
        <v>719</v>
      </c>
      <c r="J17" s="2316">
        <f ca="1">ROUND(IF(AND(项目基本情况!B11="自然人",项目基本情况!B10="北京市"),J6*M17/(1+'数据-取费表'!C42),J18+J19+J20),2)</f>
        <v>2.76</v>
      </c>
      <c r="K17" s="3456" t="s">
        <v>720</v>
      </c>
      <c r="L17" s="345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169</v>
      </c>
      <c r="D18" s="302" t="s">
        <v>711</v>
      </c>
      <c r="E18" s="302" t="s">
        <v>712</v>
      </c>
      <c r="F18" s="322">
        <f>'数据-取费表'!B36</f>
        <v>1.4999999999999999E-2</v>
      </c>
      <c r="G18" s="1396"/>
      <c r="H18" s="982" t="s">
        <v>397</v>
      </c>
      <c r="I18" s="302" t="s">
        <v>723</v>
      </c>
      <c r="J18" s="21">
        <f ca="1">ROUND(J6*M18/(1+'数据-取费表'!C42),2)</f>
        <v>0</v>
      </c>
      <c r="K18" s="345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12368</v>
      </c>
      <c r="D19" s="131" t="s">
        <v>726</v>
      </c>
      <c r="E19" s="34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247</v>
      </c>
      <c r="D20" s="2428" t="s">
        <v>729</v>
      </c>
      <c r="E20" s="302" t="s">
        <v>712</v>
      </c>
      <c r="F20" s="322">
        <f>'数据-取费表'!B37</f>
        <v>0.02</v>
      </c>
      <c r="G20" s="1396"/>
      <c r="H20" s="982" t="s">
        <v>680</v>
      </c>
      <c r="I20" s="155" t="s">
        <v>730</v>
      </c>
      <c r="J20" s="22">
        <f ca="1">ROUND(M20*M21/10000,2)</f>
        <v>2.76</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2298.21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75.94</v>
      </c>
      <c r="K22" s="345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794</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5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-79</v>
      </c>
      <c r="K25" s="1095" t="s">
        <v>753</v>
      </c>
      <c r="L25" s="1096"/>
      <c r="M25" s="1097"/>
    </row>
    <row r="26" spans="1:37">
      <c r="A26" s="982" t="s">
        <v>397</v>
      </c>
      <c r="B26" s="302" t="s">
        <v>754</v>
      </c>
      <c r="C26" s="21">
        <f ca="1">ROUND((C19+C20)*F26,0)</f>
        <v>631</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15188</v>
      </c>
      <c r="D29" s="1092"/>
      <c r="E29" s="1090"/>
      <c r="F29" s="1093"/>
      <c r="G29" s="1396"/>
      <c r="H29" s="334" t="s">
        <v>396</v>
      </c>
      <c r="I29" s="335" t="s">
        <v>768</v>
      </c>
      <c r="J29" s="336">
        <f ca="1">ROUND(J26/(1+F40)^F41,0)</f>
        <v>0</v>
      </c>
      <c r="K29" s="337" t="s">
        <v>769</v>
      </c>
      <c r="L29" s="338"/>
      <c r="M29" s="339">
        <f ca="1">INDIRECT("'数据-取费表'!k"&amp;$G$1)</f>
        <v>16223.64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190</v>
      </c>
      <c r="D30" s="1087" t="s">
        <v>715</v>
      </c>
      <c r="E30" s="345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86.57</v>
      </c>
      <c r="D31" s="3456" t="s">
        <v>720</v>
      </c>
      <c r="E31" s="3457"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26.67</v>
      </c>
      <c r="D32" s="3457"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57.14</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2.76</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2298.21</v>
      </c>
      <c r="G35" s="1384"/>
      <c r="H35" s="2697"/>
      <c r="I35" s="1398"/>
      <c r="J35" s="1399"/>
      <c r="K35" s="2701"/>
      <c r="L35" s="2700"/>
      <c r="M35" s="2700"/>
    </row>
    <row r="36" spans="1:18" ht="18" customHeight="1">
      <c r="A36" s="1102" t="s">
        <v>402</v>
      </c>
      <c r="B36" s="302" t="s">
        <v>738</v>
      </c>
      <c r="C36" s="21">
        <f ca="1">ROUND(C29*F36,2)</f>
        <v>75.94</v>
      </c>
      <c r="D36" s="3457"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22.78</v>
      </c>
      <c r="D37" s="3457"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752</v>
      </c>
      <c r="C39" s="310">
        <f ca="1">C5-C30</f>
        <v>310</v>
      </c>
      <c r="D39" s="1095" t="s">
        <v>773</v>
      </c>
      <c r="E39" s="1096"/>
      <c r="F39" s="1097"/>
      <c r="G39" s="1384"/>
      <c r="H39" s="2700"/>
      <c r="I39" s="1398"/>
      <c r="J39" s="1399"/>
      <c r="K39" s="2704"/>
      <c r="L39" s="2700"/>
      <c r="M39" s="2700"/>
    </row>
    <row r="40" spans="1:18" ht="18" customHeight="1">
      <c r="A40" s="299" t="s">
        <v>395</v>
      </c>
      <c r="B40" s="300" t="s">
        <v>774</v>
      </c>
      <c r="C40" s="301">
        <f ca="1">ROUND(C39*(1-((1+F42)/(1+F40))^F41)/(F40-F42),0)</f>
        <v>7394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43.58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4558</v>
      </c>
      <c r="D43" s="337" t="s">
        <v>777</v>
      </c>
      <c r="E43" s="338" t="s">
        <v>778</v>
      </c>
      <c r="F43" s="339">
        <f ca="1">INDIRECT("'数据-取费表'!k"&amp;$G$1)</f>
        <v>16223.64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-9069</v>
      </c>
      <c r="D46" s="1406" t="str">
        <f>C2</f>
        <v>万元</v>
      </c>
      <c r="E46" s="1400"/>
      <c r="F46" s="1400"/>
      <c r="I46" s="1407" t="s">
        <v>810</v>
      </c>
      <c r="J46" s="1408"/>
      <c r="K46" s="1409"/>
      <c r="L46" s="1410">
        <f ca="1">IF(M47="住宅",0,IF(L48&gt;J51,L60,J60))</f>
        <v>212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50</v>
      </c>
      <c r="M47" s="1380" t="str">
        <f>IF(ISNUMBER(FIND("住宅",C1)),"住宅","非住宅")</f>
        <v>非住宅</v>
      </c>
      <c r="O47" s="1418" t="s">
        <v>403</v>
      </c>
      <c r="P47" s="1419" t="s">
        <v>817</v>
      </c>
      <c r="Q47" s="1420">
        <f ca="1">C40+J29</f>
        <v>7394</v>
      </c>
      <c r="R47" s="1420" t="s">
        <v>818</v>
      </c>
    </row>
    <row r="48" spans="1:18" s="1384" customFormat="1" ht="28.5" thickBot="1">
      <c r="A48" s="1110" t="s">
        <v>438</v>
      </c>
      <c r="B48" s="300" t="s">
        <v>692</v>
      </c>
      <c r="C48" s="3459">
        <f ca="1">C49+C53+C55</f>
        <v>0</v>
      </c>
      <c r="D48" s="1112"/>
      <c r="E48" s="1113"/>
      <c r="F48" s="962"/>
      <c r="G48" s="722"/>
      <c r="H48" s="723"/>
      <c r="I48" s="1421" t="s">
        <v>819</v>
      </c>
      <c r="J48" s="1422" t="s">
        <v>3424</v>
      </c>
      <c r="K48" s="1423" t="s">
        <v>820</v>
      </c>
      <c r="L48" s="1424">
        <f ca="1">INDIRECT("'数据-取费表'!f"&amp;$G$1)</f>
        <v>44.18</v>
      </c>
      <c r="O48" s="1418" t="s">
        <v>404</v>
      </c>
      <c r="P48" s="1419" t="s">
        <v>821</v>
      </c>
      <c r="Q48" s="1420">
        <f ca="1">J60</f>
        <v>212</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2023</v>
      </c>
      <c r="K49" s="1423" t="s">
        <v>824</v>
      </c>
      <c r="L49" s="1427"/>
      <c r="O49" s="1428" t="s">
        <v>405</v>
      </c>
      <c r="P49" s="1419" t="s">
        <v>825</v>
      </c>
      <c r="Q49" s="1420">
        <f ca="1">C29</f>
        <v>15188</v>
      </c>
      <c r="R49" s="1420" t="s">
        <v>818</v>
      </c>
    </row>
    <row r="50" spans="1:18" s="1384" customFormat="1" ht="13.5" thickBot="1">
      <c r="A50" s="976"/>
      <c r="B50" s="979"/>
      <c r="C50" s="1118"/>
      <c r="D50" s="953"/>
      <c r="E50" s="1056" t="s">
        <v>697</v>
      </c>
      <c r="F50" s="1057">
        <f ca="1">F7</f>
        <v>463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-15694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43.58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43.58</v>
      </c>
      <c r="K53" s="3666" t="s">
        <v>837</v>
      </c>
      <c r="L53" s="3667"/>
      <c r="O53" s="1418" t="s">
        <v>409</v>
      </c>
      <c r="P53" s="1419" t="s">
        <v>838</v>
      </c>
      <c r="Q53" s="1420">
        <f ca="1">Q47+Q48</f>
        <v>7606</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f ca="1">ROUND(IF(J47="钢混",J57/J50,1-(1-2%)*(J50-J57)/J50),3)</f>
        <v>0.26400000000000001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15188</v>
      </c>
      <c r="D56" s="1447"/>
      <c r="E56" s="1448"/>
      <c r="F56" s="1440"/>
      <c r="I56" s="1449" t="s">
        <v>842</v>
      </c>
      <c r="J56" s="1450" t="s">
        <v>3425</v>
      </c>
      <c r="K56" s="1421" t="s">
        <v>843</v>
      </c>
      <c r="L56" s="1424" t="str">
        <f ca="1">IF(L48&lt;J51,"——",L48-J53)</f>
        <v>——</v>
      </c>
      <c r="O56" s="1418" t="s">
        <v>403</v>
      </c>
      <c r="P56" s="1419" t="s">
        <v>817</v>
      </c>
      <c r="Q56" s="1420">
        <f ca="1">C40+J29</f>
        <v>7394</v>
      </c>
      <c r="R56" s="1420" t="s">
        <v>818</v>
      </c>
    </row>
    <row r="57" spans="1:18" s="1384" customFormat="1" ht="24.75" thickBot="1">
      <c r="A57" s="1451"/>
      <c r="B57" s="950" t="s">
        <v>767</v>
      </c>
      <c r="C57" s="238">
        <f ca="1">C29</f>
        <v>15188</v>
      </c>
      <c r="D57" s="1452"/>
      <c r="E57" s="1453"/>
      <c r="F57" s="1454"/>
      <c r="I57" s="1455" t="s">
        <v>844</v>
      </c>
      <c r="J57" s="1456">
        <f ca="1">IF(OR(M47="住宅",J51&lt;L48,J56="是"),"——",J51-L48)</f>
        <v>15.82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6075</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212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2.76</v>
      </c>
      <c r="D62" s="965" t="s">
        <v>786</v>
      </c>
      <c r="E62" s="950" t="s">
        <v>732</v>
      </c>
      <c r="F62" s="325">
        <f t="shared" si="0"/>
        <v>12</v>
      </c>
      <c r="I62" s="1462" t="s">
        <v>858</v>
      </c>
      <c r="J62" s="1463" t="s">
        <v>859</v>
      </c>
      <c r="K62" s="1463" t="s">
        <v>860</v>
      </c>
      <c r="L62" s="1463" t="s">
        <v>861</v>
      </c>
      <c r="M62" s="1464" t="s">
        <v>862</v>
      </c>
      <c r="O62" s="1418" t="s">
        <v>409</v>
      </c>
      <c r="P62" s="1419" t="s">
        <v>863</v>
      </c>
      <c r="Q62" s="1420">
        <f ca="1">Q56+Q57</f>
        <v>7394</v>
      </c>
      <c r="R62" s="1420" t="s">
        <v>410</v>
      </c>
    </row>
    <row r="63" spans="1:18" s="1384" customFormat="1" ht="13.5" thickBot="1">
      <c r="A63" s="326"/>
      <c r="B63" s="956"/>
      <c r="C63" s="26"/>
      <c r="D63" s="966"/>
      <c r="E63" s="950" t="s">
        <v>788</v>
      </c>
      <c r="F63" s="303">
        <f t="shared" ca="1" si="0"/>
        <v>2298.21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75.94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22.78</v>
      </c>
      <c r="D65" s="964" t="s">
        <v>743</v>
      </c>
      <c r="E65" s="950" t="s">
        <v>744</v>
      </c>
      <c r="F65" s="330">
        <f t="shared" ca="1" si="0"/>
        <v>1.5E-3</v>
      </c>
      <c r="I65" s="1462" t="s">
        <v>867</v>
      </c>
      <c r="J65" s="1463">
        <v>40</v>
      </c>
      <c r="K65" s="1463">
        <v>30</v>
      </c>
      <c r="L65" s="1463">
        <v>50</v>
      </c>
      <c r="M65" s="1465">
        <v>0.02</v>
      </c>
      <c r="O65" s="1418" t="s">
        <v>403</v>
      </c>
      <c r="P65" s="1419" t="s">
        <v>868</v>
      </c>
      <c r="Q65" s="1420">
        <f ca="1">C40+J29</f>
        <v>7394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-102</v>
      </c>
      <c r="D67" s="963" t="s">
        <v>753</v>
      </c>
      <c r="E67" s="968"/>
      <c r="F67" s="969"/>
      <c r="O67" s="1428" t="s">
        <v>405</v>
      </c>
      <c r="P67" s="1419" t="s">
        <v>850</v>
      </c>
      <c r="Q67" s="1466">
        <f ca="1">L51</f>
        <v>-15694</v>
      </c>
      <c r="R67" s="1420" t="s">
        <v>870</v>
      </c>
    </row>
    <row r="68" spans="1:18" s="1384" customFormat="1" ht="16.5" thickBot="1">
      <c r="A68" s="947" t="s">
        <v>395</v>
      </c>
      <c r="B68" s="948" t="s">
        <v>774</v>
      </c>
      <c r="C68" s="301">
        <f ca="1">ROUND(C67*(1-((1+F70)/(1+F68))^F69)/(F68-F70),0)</f>
        <v>-1675</v>
      </c>
      <c r="D68" s="965" t="s">
        <v>758</v>
      </c>
      <c r="E68" s="950" t="s">
        <v>759</v>
      </c>
      <c r="F68" s="312">
        <f ca="1">F40</f>
        <v>5.5E-2</v>
      </c>
      <c r="O68" s="1428" t="s">
        <v>406</v>
      </c>
      <c r="P68" s="1467" t="s">
        <v>871</v>
      </c>
      <c r="Q68" s="1420">
        <f ca="1">ROUND(Q69-Q70*Q71,0)</f>
        <v>-829</v>
      </c>
      <c r="R68" s="1420" t="s">
        <v>414</v>
      </c>
    </row>
    <row r="69" spans="1:18" s="1384" customFormat="1" ht="13.5" thickBot="1">
      <c r="A69" s="951"/>
      <c r="B69" s="952"/>
      <c r="C69" s="306"/>
      <c r="D69" s="970" t="s">
        <v>762</v>
      </c>
      <c r="E69" s="950" t="s">
        <v>763</v>
      </c>
      <c r="F69" s="333">
        <f ca="1">F41</f>
        <v>43.58</v>
      </c>
      <c r="O69" s="1428" t="s">
        <v>411</v>
      </c>
      <c r="P69" s="1467" t="s">
        <v>872</v>
      </c>
      <c r="Q69" s="1420">
        <f ca="1">C39</f>
        <v>310</v>
      </c>
      <c r="R69" s="1420" t="s">
        <v>818</v>
      </c>
    </row>
    <row r="70" spans="1:18" s="1384" customFormat="1" ht="13.5" thickBot="1">
      <c r="A70" s="954"/>
      <c r="B70" s="955"/>
      <c r="C70" s="310"/>
      <c r="D70" s="966"/>
      <c r="E70" s="950" t="s">
        <v>766</v>
      </c>
      <c r="F70" s="1054"/>
      <c r="O70" s="1428" t="s">
        <v>412</v>
      </c>
      <c r="P70" s="1467" t="s">
        <v>873</v>
      </c>
      <c r="Q70" s="1420">
        <f ca="1">C13</f>
        <v>15188</v>
      </c>
      <c r="R70" s="1420" t="s">
        <v>818</v>
      </c>
    </row>
    <row r="71" spans="1:18" s="1384" customFormat="1" ht="13.5" thickBot="1">
      <c r="A71" s="971" t="s">
        <v>396</v>
      </c>
      <c r="B71" s="972" t="s">
        <v>776</v>
      </c>
      <c r="C71" s="336">
        <f ca="1">ROUND(C68*10000/F71,0)</f>
        <v>-1032</v>
      </c>
      <c r="D71" s="973" t="s">
        <v>777</v>
      </c>
      <c r="E71" s="974" t="s">
        <v>778</v>
      </c>
      <c r="F71" s="339">
        <f ca="1">F43</f>
        <v>16223.64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1139</v>
      </c>
      <c r="D75" s="1384"/>
      <c r="E75" s="1384"/>
      <c r="F75" s="1384"/>
      <c r="K75" s="1402"/>
      <c r="L75" s="1384"/>
      <c r="O75" s="1418" t="s">
        <v>409</v>
      </c>
      <c r="P75" s="1419" t="s">
        <v>838</v>
      </c>
      <c r="Q75" s="1420">
        <f ca="1">Q65+Q66</f>
        <v>7394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-2.6739999999999999</v>
      </c>
    </row>
    <row r="80" spans="1:18">
      <c r="B80" s="340" t="s">
        <v>800</v>
      </c>
      <c r="C80" s="274">
        <f ca="1">ROUND(C75/C39,3)</f>
        <v>3.6739999999999999</v>
      </c>
    </row>
    <row r="81" spans="2:3">
      <c r="B81" s="270" t="s">
        <v>801</v>
      </c>
      <c r="C81" s="238"/>
    </row>
    <row r="82" spans="2:3">
      <c r="B82" s="273" t="s">
        <v>802</v>
      </c>
      <c r="C82" s="275">
        <f ca="1">1-C83</f>
        <v>-1.0539999999999998</v>
      </c>
    </row>
    <row r="83" spans="2:3">
      <c r="B83" s="273" t="s">
        <v>803</v>
      </c>
      <c r="C83" s="274">
        <f ca="1">ROUND(C13/C40,3)</f>
        <v>2.0539999999999998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受贵公司委托，我公司对北京市出让国有建设用地使用权及在建建筑物房地产抵押价值进行了预评估。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估价对象为北京市出让国有建设用地使用权及在建建筑物房地产，为所有。根据《国有土地使用证》[]，估价对象（分摊）出让国有建设用地使用权面积为25131.21平方米，建筑面积为205240.05平方米。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25131.21平方米，规划建筑面积为205240.05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6"/>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205240.05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710" t="s">
        <v>1666</v>
      </c>
      <c r="D4" s="3711"/>
      <c r="E4" s="3712" t="s">
        <v>1667</v>
      </c>
      <c r="F4" s="3713"/>
      <c r="G4" s="3710" t="s">
        <v>1668</v>
      </c>
      <c r="H4" s="3711"/>
      <c r="I4" s="3710" t="s">
        <v>1669</v>
      </c>
      <c r="J4" s="3711"/>
      <c r="K4" s="1889" t="s">
        <v>1670</v>
      </c>
      <c r="L4" s="2715"/>
      <c r="M4" s="2716"/>
      <c r="N4" s="2716"/>
      <c r="O4" s="2716"/>
      <c r="P4" s="3714" t="s">
        <v>1671</v>
      </c>
      <c r="Q4" s="3715"/>
      <c r="R4" s="3697" t="s">
        <v>1667</v>
      </c>
      <c r="S4" s="3698"/>
      <c r="T4" s="3697" t="s">
        <v>1668</v>
      </c>
      <c r="U4" s="3698"/>
      <c r="V4" s="3722" t="s">
        <v>1669</v>
      </c>
      <c r="W4" s="3722"/>
      <c r="X4" s="1355"/>
      <c r="Y4" s="3697" t="s">
        <v>1671</v>
      </c>
      <c r="Z4" s="3698"/>
      <c r="AA4" s="3692" t="s">
        <v>1667</v>
      </c>
      <c r="AB4" s="3692" t="s">
        <v>1668</v>
      </c>
      <c r="AC4" s="3692" t="s">
        <v>1669</v>
      </c>
    </row>
    <row r="5" spans="1:29" ht="15">
      <c r="A5" s="358"/>
      <c r="B5" s="359"/>
      <c r="C5" s="3703" t="s">
        <v>1672</v>
      </c>
      <c r="D5" s="3704"/>
      <c r="E5" s="3701" t="s">
        <v>1673</v>
      </c>
      <c r="F5" s="3702"/>
      <c r="G5" s="3703" t="s">
        <v>1674</v>
      </c>
      <c r="H5" s="3704"/>
      <c r="I5" s="3703" t="s">
        <v>1675</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1676</v>
      </c>
      <c r="D6" s="3706"/>
      <c r="E6" s="3707" t="s">
        <v>1676</v>
      </c>
      <c r="F6" s="3708"/>
      <c r="G6" s="3705" t="s">
        <v>1676</v>
      </c>
      <c r="H6" s="3706"/>
      <c r="I6" s="3705" t="s">
        <v>1676</v>
      </c>
      <c r="J6" s="3706"/>
      <c r="K6" s="1890" t="s">
        <v>1677</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1678</v>
      </c>
      <c r="B7" s="363"/>
      <c r="C7" s="364">
        <f>'数据-取费表'!B2</f>
        <v>45037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1679</v>
      </c>
      <c r="Q7" s="3723"/>
      <c r="R7" s="701" t="s">
        <v>20</v>
      </c>
      <c r="S7" s="702">
        <f t="shared" ref="S7:S15" si="0">F7</f>
        <v>0</v>
      </c>
      <c r="T7" s="701" t="s">
        <v>20</v>
      </c>
      <c r="U7" s="702">
        <f t="shared" ref="U7:U15" si="1">H7</f>
        <v>0</v>
      </c>
      <c r="V7" s="701" t="s">
        <v>20</v>
      </c>
      <c r="W7" s="702">
        <f t="shared" ref="W7:W15" si="2">J7</f>
        <v>0</v>
      </c>
      <c r="X7" s="703"/>
      <c r="Y7" s="3695" t="s">
        <v>1679</v>
      </c>
      <c r="Z7" s="3696"/>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1682</v>
      </c>
      <c r="Q8" s="3696"/>
      <c r="R8" s="701" t="s">
        <v>20</v>
      </c>
      <c r="S8" s="702">
        <f t="shared" si="0"/>
        <v>100</v>
      </c>
      <c r="T8" s="701" t="s">
        <v>20</v>
      </c>
      <c r="U8" s="702">
        <f t="shared" si="1"/>
        <v>100</v>
      </c>
      <c r="V8" s="701" t="s">
        <v>20</v>
      </c>
      <c r="W8" s="702">
        <f t="shared" si="2"/>
        <v>100</v>
      </c>
      <c r="X8" s="703"/>
      <c r="Y8" s="3695" t="s">
        <v>1682</v>
      </c>
      <c r="Z8" s="3696"/>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1690</v>
      </c>
      <c r="Q15" s="1352" t="str">
        <f t="shared" si="6"/>
        <v>居住社区成熟度</v>
      </c>
      <c r="R15" s="705" t="s">
        <v>18</v>
      </c>
      <c r="S15" s="706">
        <f t="shared" si="0"/>
        <v>100</v>
      </c>
      <c r="T15" s="705" t="s">
        <v>18</v>
      </c>
      <c r="U15" s="706">
        <f t="shared" si="1"/>
        <v>100</v>
      </c>
      <c r="V15" s="705" t="s">
        <v>18</v>
      </c>
      <c r="W15" s="706">
        <f t="shared" si="2"/>
        <v>100</v>
      </c>
      <c r="X15" s="1355"/>
      <c r="Y15" s="372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1695</v>
      </c>
      <c r="Q32" s="1352" t="str">
        <f t="shared" si="11"/>
        <v>建筑类型</v>
      </c>
      <c r="R32" s="705" t="s">
        <v>18</v>
      </c>
      <c r="S32" s="706">
        <f t="shared" si="12"/>
        <v>100</v>
      </c>
      <c r="T32" s="705" t="s">
        <v>18</v>
      </c>
      <c r="U32" s="706">
        <f t="shared" si="13"/>
        <v>100</v>
      </c>
      <c r="V32" s="705" t="s">
        <v>18</v>
      </c>
      <c r="W32" s="706">
        <f t="shared" si="14"/>
        <v>100</v>
      </c>
      <c r="X32" s="1355"/>
      <c r="Y32" s="373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1695</v>
      </c>
      <c r="Q38" s="1352" t="str">
        <f t="shared" si="11"/>
        <v>物业管理</v>
      </c>
      <c r="R38" s="705" t="s">
        <v>18</v>
      </c>
      <c r="S38" s="706">
        <f t="shared" si="12"/>
        <v>100</v>
      </c>
      <c r="T38" s="705" t="s">
        <v>18</v>
      </c>
      <c r="U38" s="706">
        <f t="shared" si="13"/>
        <v>100</v>
      </c>
      <c r="V38" s="705" t="s">
        <v>18</v>
      </c>
      <c r="W38" s="706">
        <f t="shared" si="14"/>
        <v>100</v>
      </c>
      <c r="X38" s="1355"/>
      <c r="Y38" s="3734"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205240.05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710" t="s">
        <v>1769</v>
      </c>
      <c r="D4" s="3711"/>
      <c r="E4" s="3712" t="s">
        <v>1770</v>
      </c>
      <c r="F4" s="3713"/>
      <c r="G4" s="3710" t="s">
        <v>1771</v>
      </c>
      <c r="H4" s="3711"/>
      <c r="I4" s="3710" t="s">
        <v>1772</v>
      </c>
      <c r="J4" s="3711"/>
      <c r="K4" s="559" t="s">
        <v>1773</v>
      </c>
      <c r="L4" s="2715"/>
      <c r="M4" s="2716"/>
      <c r="N4" s="2716"/>
      <c r="O4" s="2716"/>
      <c r="P4" s="3714" t="s">
        <v>1774</v>
      </c>
      <c r="Q4" s="3715"/>
      <c r="R4" s="3697" t="s">
        <v>1770</v>
      </c>
      <c r="S4" s="3698"/>
      <c r="T4" s="3697" t="s">
        <v>1771</v>
      </c>
      <c r="U4" s="3698"/>
      <c r="V4" s="3722" t="s">
        <v>1772</v>
      </c>
      <c r="W4" s="3722"/>
      <c r="X4" s="1355"/>
      <c r="Y4" s="3697" t="s">
        <v>1774</v>
      </c>
      <c r="Z4" s="3698"/>
      <c r="AA4" s="3692" t="s">
        <v>1770</v>
      </c>
      <c r="AB4" s="3722" t="s">
        <v>1771</v>
      </c>
      <c r="AC4" s="3692" t="s">
        <v>1772</v>
      </c>
    </row>
    <row r="5" spans="1:29" ht="15">
      <c r="A5" s="358"/>
      <c r="B5" s="359"/>
      <c r="C5" s="3703" t="s">
        <v>1672</v>
      </c>
      <c r="D5" s="3704"/>
      <c r="E5" s="3701" t="s">
        <v>1673</v>
      </c>
      <c r="F5" s="3702"/>
      <c r="G5" s="3703" t="s">
        <v>1674</v>
      </c>
      <c r="H5" s="3704"/>
      <c r="I5" s="3703" t="s">
        <v>1675</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1676</v>
      </c>
      <c r="D6" s="3706"/>
      <c r="E6" s="3707" t="s">
        <v>1676</v>
      </c>
      <c r="F6" s="3708"/>
      <c r="G6" s="3705" t="s">
        <v>1676</v>
      </c>
      <c r="H6" s="3706"/>
      <c r="I6" s="3705" t="s">
        <v>1676</v>
      </c>
      <c r="J6" s="3706"/>
      <c r="K6" s="559" t="s">
        <v>1677</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1678</v>
      </c>
      <c r="B7" s="363"/>
      <c r="C7" s="364">
        <f>'数据-取费表'!B2</f>
        <v>45037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1679</v>
      </c>
      <c r="Q7" s="3723"/>
      <c r="R7" s="701" t="s">
        <v>14</v>
      </c>
      <c r="S7" s="702">
        <f t="shared" ref="S7:S15" si="0">F7</f>
        <v>0</v>
      </c>
      <c r="T7" s="701" t="s">
        <v>14</v>
      </c>
      <c r="U7" s="702">
        <f t="shared" ref="U7:U15" si="1">H7</f>
        <v>0</v>
      </c>
      <c r="V7" s="701" t="s">
        <v>14</v>
      </c>
      <c r="W7" s="702">
        <f t="shared" ref="W7:W15" si="2">J7</f>
        <v>0</v>
      </c>
      <c r="X7" s="703"/>
      <c r="Y7" s="3695" t="s">
        <v>1679</v>
      </c>
      <c r="Z7" s="3696"/>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1682</v>
      </c>
      <c r="Q8" s="3696"/>
      <c r="R8" s="701" t="s">
        <v>14</v>
      </c>
      <c r="S8" s="702">
        <f t="shared" si="0"/>
        <v>100</v>
      </c>
      <c r="T8" s="701" t="s">
        <v>14</v>
      </c>
      <c r="U8" s="702">
        <f t="shared" si="1"/>
        <v>100</v>
      </c>
      <c r="V8" s="701" t="s">
        <v>14</v>
      </c>
      <c r="W8" s="702">
        <f t="shared" si="2"/>
        <v>100</v>
      </c>
      <c r="X8" s="703"/>
      <c r="Y8" s="3695" t="s">
        <v>1682</v>
      </c>
      <c r="Z8" s="3696"/>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1690</v>
      </c>
      <c r="Q15" s="1352" t="str">
        <f t="shared" si="6"/>
        <v>商业繁华度</v>
      </c>
      <c r="R15" s="705" t="s">
        <v>14</v>
      </c>
      <c r="S15" s="706">
        <f t="shared" si="0"/>
        <v>100</v>
      </c>
      <c r="T15" s="705" t="s">
        <v>14</v>
      </c>
      <c r="U15" s="706">
        <f t="shared" si="1"/>
        <v>100</v>
      </c>
      <c r="V15" s="705" t="s">
        <v>14</v>
      </c>
      <c r="W15" s="706">
        <f t="shared" si="2"/>
        <v>100</v>
      </c>
      <c r="X15" s="1355"/>
      <c r="Y15" s="3729"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1695</v>
      </c>
      <c r="Q32" s="1352" t="str">
        <f t="shared" si="11"/>
        <v>商业类型</v>
      </c>
      <c r="R32" s="705" t="s">
        <v>14</v>
      </c>
      <c r="S32" s="706">
        <f t="shared" si="12"/>
        <v>100</v>
      </c>
      <c r="T32" s="705" t="s">
        <v>14</v>
      </c>
      <c r="U32" s="706">
        <f t="shared" si="13"/>
        <v>100</v>
      </c>
      <c r="V32" s="705" t="s">
        <v>14</v>
      </c>
      <c r="W32" s="706">
        <f t="shared" si="14"/>
        <v>100</v>
      </c>
      <c r="X32" s="1355"/>
      <c r="Y32" s="373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1695</v>
      </c>
      <c r="Q38" s="1352" t="str">
        <f t="shared" si="11"/>
        <v>业态</v>
      </c>
      <c r="R38" s="705" t="s">
        <v>14</v>
      </c>
      <c r="S38" s="706">
        <f t="shared" si="12"/>
        <v>100</v>
      </c>
      <c r="T38" s="705" t="s">
        <v>14</v>
      </c>
      <c r="U38" s="706">
        <f t="shared" si="13"/>
        <v>100</v>
      </c>
      <c r="V38" s="705" t="s">
        <v>14</v>
      </c>
      <c r="W38" s="706">
        <f t="shared" si="14"/>
        <v>100</v>
      </c>
      <c r="X38" s="1355"/>
      <c r="Y38" s="373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1678</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205240.05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710" t="s">
        <v>1769</v>
      </c>
      <c r="D4" s="3711"/>
      <c r="E4" s="3712" t="s">
        <v>1770</v>
      </c>
      <c r="F4" s="3713"/>
      <c r="G4" s="3710" t="s">
        <v>1771</v>
      </c>
      <c r="H4" s="3711"/>
      <c r="I4" s="3710" t="s">
        <v>1772</v>
      </c>
      <c r="J4" s="3711"/>
      <c r="K4" s="559" t="s">
        <v>1773</v>
      </c>
      <c r="L4" s="2715"/>
      <c r="M4" s="2716"/>
      <c r="N4" s="2716"/>
      <c r="O4" s="2716"/>
      <c r="P4" s="3744" t="s">
        <v>1774</v>
      </c>
      <c r="Q4" s="3745"/>
      <c r="R4" s="3739" t="s">
        <v>1770</v>
      </c>
      <c r="S4" s="3740"/>
      <c r="T4" s="3739" t="s">
        <v>1771</v>
      </c>
      <c r="U4" s="3740"/>
      <c r="V4" s="3748" t="s">
        <v>1772</v>
      </c>
      <c r="W4" s="3748"/>
      <c r="X4" s="1958"/>
      <c r="Y4" s="3739" t="s">
        <v>1774</v>
      </c>
      <c r="Z4" s="3740"/>
      <c r="AA4" s="3738" t="s">
        <v>1770</v>
      </c>
      <c r="AB4" s="3738" t="s">
        <v>1771</v>
      </c>
      <c r="AC4" s="3741" t="s">
        <v>1772</v>
      </c>
    </row>
    <row r="5" spans="1:29" ht="15">
      <c r="A5" s="358"/>
      <c r="B5" s="359"/>
      <c r="C5" s="3703" t="s">
        <v>1672</v>
      </c>
      <c r="D5" s="3704"/>
      <c r="E5" s="3701" t="s">
        <v>1673</v>
      </c>
      <c r="F5" s="3702"/>
      <c r="G5" s="3703" t="s">
        <v>1674</v>
      </c>
      <c r="H5" s="3704"/>
      <c r="I5" s="3703" t="s">
        <v>1675</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1676</v>
      </c>
      <c r="D6" s="3706"/>
      <c r="E6" s="3707" t="s">
        <v>1676</v>
      </c>
      <c r="F6" s="3708"/>
      <c r="G6" s="3705" t="s">
        <v>1676</v>
      </c>
      <c r="H6" s="3706"/>
      <c r="I6" s="3705" t="s">
        <v>1676</v>
      </c>
      <c r="J6" s="3706"/>
      <c r="K6" s="559" t="s">
        <v>1677</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1678</v>
      </c>
      <c r="B7" s="363"/>
      <c r="C7" s="364">
        <f>'数据-取费表'!B2</f>
        <v>45037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1679</v>
      </c>
      <c r="Q7" s="3723"/>
      <c r="R7" s="701" t="s">
        <v>14</v>
      </c>
      <c r="S7" s="702">
        <f t="shared" ref="S7:S15" si="0">F7</f>
        <v>0</v>
      </c>
      <c r="T7" s="701" t="s">
        <v>14</v>
      </c>
      <c r="U7" s="702">
        <f t="shared" ref="U7:U15" si="1">H7</f>
        <v>0</v>
      </c>
      <c r="V7" s="701" t="s">
        <v>14</v>
      </c>
      <c r="W7" s="702">
        <f t="shared" ref="W7:W15" si="2">J7</f>
        <v>0</v>
      </c>
      <c r="X7" s="703"/>
      <c r="Y7" s="3695" t="s">
        <v>1679</v>
      </c>
      <c r="Z7" s="3696"/>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1682</v>
      </c>
      <c r="Q8" s="3696"/>
      <c r="R8" s="701" t="s">
        <v>14</v>
      </c>
      <c r="S8" s="702">
        <f t="shared" si="0"/>
        <v>100</v>
      </c>
      <c r="T8" s="701" t="s">
        <v>14</v>
      </c>
      <c r="U8" s="702">
        <f t="shared" si="1"/>
        <v>100</v>
      </c>
      <c r="V8" s="701" t="s">
        <v>14</v>
      </c>
      <c r="W8" s="702">
        <f t="shared" si="2"/>
        <v>100</v>
      </c>
      <c r="X8" s="703"/>
      <c r="Y8" s="3695" t="s">
        <v>1682</v>
      </c>
      <c r="Z8" s="3696"/>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1959">
        <f t="shared" si="5"/>
        <v>1</v>
      </c>
    </row>
    <row r="10" spans="1:29" s="378" customFormat="1" ht="27">
      <c r="A10" s="374"/>
      <c r="B10" s="375" t="s">
        <v>1687</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1690</v>
      </c>
      <c r="Q15" s="1352" t="str">
        <f t="shared" si="6"/>
        <v>办公集聚程度</v>
      </c>
      <c r="R15" s="705" t="s">
        <v>14</v>
      </c>
      <c r="S15" s="706">
        <f t="shared" si="0"/>
        <v>100</v>
      </c>
      <c r="T15" s="705" t="s">
        <v>14</v>
      </c>
      <c r="U15" s="706">
        <f t="shared" si="1"/>
        <v>100</v>
      </c>
      <c r="V15" s="705" t="s">
        <v>14</v>
      </c>
      <c r="W15" s="706">
        <f t="shared" si="2"/>
        <v>100</v>
      </c>
      <c r="X15" s="1355"/>
      <c r="Y15" s="3729"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1695</v>
      </c>
      <c r="Q33" s="1352" t="str">
        <f t="shared" si="11"/>
        <v>建筑类型</v>
      </c>
      <c r="R33" s="705" t="s">
        <v>14</v>
      </c>
      <c r="S33" s="706">
        <f t="shared" si="12"/>
        <v>100</v>
      </c>
      <c r="T33" s="705" t="s">
        <v>14</v>
      </c>
      <c r="U33" s="706">
        <f t="shared" si="13"/>
        <v>100</v>
      </c>
      <c r="V33" s="705" t="s">
        <v>14</v>
      </c>
      <c r="W33" s="706">
        <f t="shared" si="14"/>
        <v>100</v>
      </c>
      <c r="X33" s="1355"/>
      <c r="Y33" s="3734"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1695</v>
      </c>
      <c r="Q39" s="1352" t="str">
        <f t="shared" si="11"/>
        <v>物业管理</v>
      </c>
      <c r="R39" s="705" t="s">
        <v>14</v>
      </c>
      <c r="S39" s="706">
        <f t="shared" si="12"/>
        <v>100</v>
      </c>
      <c r="T39" s="705" t="s">
        <v>14</v>
      </c>
      <c r="U39" s="706">
        <f t="shared" si="13"/>
        <v>100</v>
      </c>
      <c r="V39" s="705" t="s">
        <v>14</v>
      </c>
      <c r="W39" s="706">
        <f t="shared" si="14"/>
        <v>100</v>
      </c>
      <c r="X39" s="1355"/>
      <c r="Y39" s="3734"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1718</v>
      </c>
      <c r="B64" s="477" t="s">
        <v>1684</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205240.05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913"/>
      <c r="M4" s="914"/>
      <c r="N4" s="914"/>
      <c r="O4" s="914"/>
      <c r="P4" s="3714" t="s">
        <v>1774</v>
      </c>
      <c r="Q4" s="3715"/>
      <c r="R4" s="3697" t="s">
        <v>1770</v>
      </c>
      <c r="S4" s="3698"/>
      <c r="T4" s="3697" t="s">
        <v>1771</v>
      </c>
      <c r="U4" s="3698"/>
      <c r="V4" s="3722" t="s">
        <v>1772</v>
      </c>
      <c r="W4" s="3722"/>
      <c r="X4" s="1355"/>
      <c r="Y4" s="3697" t="s">
        <v>1774</v>
      </c>
      <c r="Z4" s="3698"/>
      <c r="AA4" s="3692" t="s">
        <v>1770</v>
      </c>
      <c r="AB4" s="3693" t="s">
        <v>1771</v>
      </c>
      <c r="AC4" s="3692" t="s">
        <v>1772</v>
      </c>
    </row>
    <row r="5" spans="1:29" ht="15">
      <c r="A5" s="358"/>
      <c r="B5" s="359"/>
      <c r="C5" s="3703" t="s">
        <v>1672</v>
      </c>
      <c r="D5" s="3704"/>
      <c r="E5" s="3701" t="s">
        <v>1673</v>
      </c>
      <c r="F5" s="3702"/>
      <c r="G5" s="3703" t="s">
        <v>1674</v>
      </c>
      <c r="H5" s="3704"/>
      <c r="I5" s="3703" t="s">
        <v>1675</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1676</v>
      </c>
      <c r="D6" s="3706"/>
      <c r="E6" s="3707" t="s">
        <v>1676</v>
      </c>
      <c r="F6" s="3708"/>
      <c r="G6" s="3705" t="s">
        <v>1676</v>
      </c>
      <c r="H6" s="3706"/>
      <c r="I6" s="3705" t="s">
        <v>1676</v>
      </c>
      <c r="J6" s="3706"/>
      <c r="K6" s="559" t="s">
        <v>1677</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1678</v>
      </c>
      <c r="B7" s="363"/>
      <c r="C7" s="364">
        <f>'数据-取费表'!B2</f>
        <v>45037</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1679</v>
      </c>
      <c r="Q7" s="3723"/>
      <c r="R7" s="701" t="s">
        <v>14</v>
      </c>
      <c r="S7" s="702">
        <f t="shared" ref="S7:S15" si="0">F7</f>
        <v>0</v>
      </c>
      <c r="T7" s="701" t="s">
        <v>14</v>
      </c>
      <c r="U7" s="702">
        <f t="shared" ref="U7:U15" si="1">H7</f>
        <v>0</v>
      </c>
      <c r="V7" s="701" t="s">
        <v>14</v>
      </c>
      <c r="W7" s="702">
        <f t="shared" ref="W7:W15" si="2">J7</f>
        <v>0</v>
      </c>
      <c r="X7" s="703"/>
      <c r="Y7" s="3695" t="s">
        <v>1679</v>
      </c>
      <c r="Z7" s="3696"/>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1682</v>
      </c>
      <c r="Q8" s="3696"/>
      <c r="R8" s="701" t="s">
        <v>14</v>
      </c>
      <c r="S8" s="702">
        <f t="shared" si="0"/>
        <v>100</v>
      </c>
      <c r="T8" s="701" t="s">
        <v>14</v>
      </c>
      <c r="U8" s="702">
        <f t="shared" si="1"/>
        <v>100</v>
      </c>
      <c r="V8" s="701" t="s">
        <v>14</v>
      </c>
      <c r="W8" s="702">
        <f t="shared" si="2"/>
        <v>100</v>
      </c>
      <c r="X8" s="703"/>
      <c r="Y8" s="3695" t="s">
        <v>1682</v>
      </c>
      <c r="Z8" s="3696"/>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1690</v>
      </c>
      <c r="Q15" s="1352" t="str">
        <f t="shared" si="6"/>
        <v>产业集聚程度</v>
      </c>
      <c r="R15" s="705" t="s">
        <v>14</v>
      </c>
      <c r="S15" s="706">
        <f t="shared" si="0"/>
        <v>100</v>
      </c>
      <c r="T15" s="705" t="s">
        <v>14</v>
      </c>
      <c r="U15" s="706">
        <f t="shared" si="1"/>
        <v>100</v>
      </c>
      <c r="V15" s="705" t="s">
        <v>14</v>
      </c>
      <c r="W15" s="706">
        <f t="shared" si="2"/>
        <v>100</v>
      </c>
      <c r="X15" s="1355"/>
      <c r="Y15" s="372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1695</v>
      </c>
      <c r="Q29" s="1352" t="str">
        <f t="shared" si="11"/>
        <v>建筑类型</v>
      </c>
      <c r="R29" s="705" t="s">
        <v>14</v>
      </c>
      <c r="S29" s="706">
        <f t="shared" si="12"/>
        <v>100</v>
      </c>
      <c r="T29" s="705" t="s">
        <v>14</v>
      </c>
      <c r="U29" s="706">
        <f t="shared" si="13"/>
        <v>100</v>
      </c>
      <c r="V29" s="705" t="s">
        <v>14</v>
      </c>
      <c r="W29" s="706">
        <f t="shared" si="14"/>
        <v>100</v>
      </c>
      <c r="X29" s="1355"/>
      <c r="Y29" s="373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1695</v>
      </c>
      <c r="Q35" s="1352" t="str">
        <f t="shared" si="11"/>
        <v>市政基础设施</v>
      </c>
      <c r="R35" s="705" t="s">
        <v>14</v>
      </c>
      <c r="S35" s="706">
        <f t="shared" si="12"/>
        <v>100</v>
      </c>
      <c r="T35" s="705" t="s">
        <v>14</v>
      </c>
      <c r="U35" s="706">
        <f t="shared" si="13"/>
        <v>100</v>
      </c>
      <c r="V35" s="705" t="s">
        <v>14</v>
      </c>
      <c r="W35" s="706">
        <f t="shared" si="14"/>
        <v>100</v>
      </c>
      <c r="X35" s="1355"/>
      <c r="Y35" s="373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70"/>
      <c r="O54" s="2771"/>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2715"/>
      <c r="M4" s="2716"/>
      <c r="N4" s="2716"/>
      <c r="O4" s="2716"/>
      <c r="P4" s="3714" t="s">
        <v>1774</v>
      </c>
      <c r="Q4" s="3715"/>
      <c r="R4" s="3697" t="s">
        <v>1770</v>
      </c>
      <c r="S4" s="3698"/>
      <c r="T4" s="3697" t="s">
        <v>1771</v>
      </c>
      <c r="U4" s="3698"/>
      <c r="V4" s="3722" t="s">
        <v>1772</v>
      </c>
      <c r="W4" s="3722"/>
      <c r="X4" s="1355"/>
      <c r="Y4" s="3697" t="s">
        <v>1774</v>
      </c>
      <c r="Z4" s="3698"/>
      <c r="AA4" s="3692" t="s">
        <v>1770</v>
      </c>
      <c r="AB4" s="3693" t="s">
        <v>1771</v>
      </c>
      <c r="AC4" s="3692" t="s">
        <v>1772</v>
      </c>
    </row>
    <row r="5" spans="1:29" ht="15">
      <c r="A5" s="358"/>
      <c r="B5" s="359"/>
      <c r="C5" s="3703" t="s">
        <v>1672</v>
      </c>
      <c r="D5" s="3704"/>
      <c r="E5" s="3701" t="s">
        <v>1673</v>
      </c>
      <c r="F5" s="3702"/>
      <c r="G5" s="3703" t="s">
        <v>1674</v>
      </c>
      <c r="H5" s="3704"/>
      <c r="I5" s="3703" t="s">
        <v>1675</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1676</v>
      </c>
      <c r="D6" s="3706"/>
      <c r="E6" s="3707" t="s">
        <v>1676</v>
      </c>
      <c r="F6" s="3708"/>
      <c r="G6" s="3705" t="s">
        <v>1676</v>
      </c>
      <c r="H6" s="3706"/>
      <c r="I6" s="3705" t="s">
        <v>1676</v>
      </c>
      <c r="J6" s="3706"/>
      <c r="K6" s="559" t="s">
        <v>1677</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1678</v>
      </c>
      <c r="B7" s="363"/>
      <c r="C7" s="364">
        <f>'数据-取费表'!B2</f>
        <v>45037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1679</v>
      </c>
      <c r="Q7" s="3723"/>
      <c r="R7" s="701" t="s">
        <v>14</v>
      </c>
      <c r="S7" s="702">
        <f t="shared" ref="S7:S14" si="0">F7</f>
        <v>0</v>
      </c>
      <c r="T7" s="701" t="s">
        <v>14</v>
      </c>
      <c r="U7" s="702">
        <f t="shared" ref="U7:U14" si="1">H7</f>
        <v>0</v>
      </c>
      <c r="V7" s="701" t="s">
        <v>14</v>
      </c>
      <c r="W7" s="702">
        <f t="shared" ref="W7:W14" si="2">J7</f>
        <v>0</v>
      </c>
      <c r="X7" s="703"/>
      <c r="Y7" s="3695" t="s">
        <v>1679</v>
      </c>
      <c r="Z7" s="3696"/>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1682</v>
      </c>
      <c r="Q8" s="3696"/>
      <c r="R8" s="701" t="s">
        <v>14</v>
      </c>
      <c r="S8" s="702">
        <f t="shared" si="0"/>
        <v>100</v>
      </c>
      <c r="T8" s="701" t="s">
        <v>14</v>
      </c>
      <c r="U8" s="702">
        <f t="shared" si="1"/>
        <v>100</v>
      </c>
      <c r="V8" s="701" t="s">
        <v>14</v>
      </c>
      <c r="W8" s="702">
        <f t="shared" si="2"/>
        <v>100</v>
      </c>
      <c r="X8" s="703"/>
      <c r="Y8" s="3695" t="s">
        <v>1682</v>
      </c>
      <c r="Z8" s="3696"/>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1685</v>
      </c>
      <c r="Q9" s="1343" t="str">
        <f t="shared" ref="Q9:Q14" si="6">B9</f>
        <v>用途</v>
      </c>
      <c r="R9" s="701" t="s">
        <v>14</v>
      </c>
      <c r="S9" s="702">
        <f t="shared" si="0"/>
        <v>100</v>
      </c>
      <c r="T9" s="701" t="s">
        <v>14</v>
      </c>
      <c r="U9" s="702">
        <f t="shared" si="1"/>
        <v>100</v>
      </c>
      <c r="V9" s="701" t="s">
        <v>14</v>
      </c>
      <c r="W9" s="702">
        <f t="shared" si="2"/>
        <v>100</v>
      </c>
      <c r="X9" s="703"/>
      <c r="Y9" s="3620" t="s">
        <v>1686</v>
      </c>
      <c r="Z9" s="52" t="str">
        <f t="shared" ref="Z9:Z14" si="7">Q9</f>
        <v>用途</v>
      </c>
      <c r="AA9" s="704">
        <f t="shared" si="3"/>
        <v>1</v>
      </c>
      <c r="AB9" s="704">
        <f t="shared" si="4"/>
        <v>1</v>
      </c>
      <c r="AC9" s="704">
        <f t="shared" si="5"/>
        <v>1</v>
      </c>
    </row>
    <row r="10" spans="1:29" s="378" customFormat="1" ht="27">
      <c r="A10" s="589"/>
      <c r="B10" s="590" t="s">
        <v>1687</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1690</v>
      </c>
      <c r="Q14" s="1352" t="str">
        <f t="shared" si="6"/>
        <v>交通便捷度</v>
      </c>
      <c r="R14" s="705" t="s">
        <v>14</v>
      </c>
      <c r="S14" s="706">
        <f t="shared" si="0"/>
        <v>100</v>
      </c>
      <c r="T14" s="705" t="s">
        <v>14</v>
      </c>
      <c r="U14" s="706">
        <f t="shared" si="1"/>
        <v>100</v>
      </c>
      <c r="V14" s="705" t="s">
        <v>14</v>
      </c>
      <c r="W14" s="706">
        <f t="shared" si="2"/>
        <v>100</v>
      </c>
      <c r="X14" s="1355"/>
      <c r="Y14" s="372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1695</v>
      </c>
      <c r="Q32" s="1352" t="str">
        <f t="shared" si="11"/>
        <v>车位类型</v>
      </c>
      <c r="R32" s="705" t="s">
        <v>14</v>
      </c>
      <c r="S32" s="706">
        <f t="shared" si="12"/>
        <v>100</v>
      </c>
      <c r="T32" s="705" t="s">
        <v>14</v>
      </c>
      <c r="U32" s="706">
        <f t="shared" si="13"/>
        <v>100</v>
      </c>
      <c r="V32" s="705" t="s">
        <v>14</v>
      </c>
      <c r="W32" s="706">
        <f t="shared" si="14"/>
        <v>100</v>
      </c>
      <c r="X32" s="1355"/>
      <c r="Y32" s="373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1843</v>
      </c>
      <c r="B37" s="1973" t="s">
        <v>3358</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2715"/>
      <c r="M4" s="2716"/>
      <c r="N4" s="2716"/>
      <c r="O4" s="2716"/>
      <c r="P4" s="3714" t="s">
        <v>1774</v>
      </c>
      <c r="Q4" s="3715"/>
      <c r="R4" s="3697" t="s">
        <v>1770</v>
      </c>
      <c r="S4" s="3698"/>
      <c r="T4" s="3697" t="s">
        <v>1771</v>
      </c>
      <c r="U4" s="3698"/>
      <c r="V4" s="3722" t="s">
        <v>1772</v>
      </c>
      <c r="W4" s="3722"/>
      <c r="X4" s="1355"/>
      <c r="Y4" s="3697" t="s">
        <v>1774</v>
      </c>
      <c r="Z4" s="3698"/>
      <c r="AA4" s="3692" t="s">
        <v>1770</v>
      </c>
      <c r="AB4" s="3693" t="s">
        <v>1771</v>
      </c>
      <c r="AC4" s="3692" t="s">
        <v>1772</v>
      </c>
    </row>
    <row r="5" spans="1:29" ht="15">
      <c r="A5" s="358"/>
      <c r="B5" s="359"/>
      <c r="C5" s="3703" t="s">
        <v>1672</v>
      </c>
      <c r="D5" s="3704"/>
      <c r="E5" s="3701" t="s">
        <v>1673</v>
      </c>
      <c r="F5" s="3702"/>
      <c r="G5" s="3703" t="s">
        <v>1674</v>
      </c>
      <c r="H5" s="3704"/>
      <c r="I5" s="3703" t="s">
        <v>1675</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1676</v>
      </c>
      <c r="D6" s="3706"/>
      <c r="E6" s="3707" t="s">
        <v>1676</v>
      </c>
      <c r="F6" s="3708"/>
      <c r="G6" s="3705" t="s">
        <v>1676</v>
      </c>
      <c r="H6" s="3706"/>
      <c r="I6" s="3705" t="s">
        <v>1676</v>
      </c>
      <c r="J6" s="3706"/>
      <c r="K6" s="559" t="s">
        <v>1677</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1678</v>
      </c>
      <c r="B7" s="363"/>
      <c r="C7" s="364">
        <f>'数据-取费表'!B2</f>
        <v>45037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1679</v>
      </c>
      <c r="Q7" s="3723"/>
      <c r="R7" s="701" t="s">
        <v>14</v>
      </c>
      <c r="S7" s="702">
        <f t="shared" ref="S7:S14" si="0">F7</f>
        <v>0</v>
      </c>
      <c r="T7" s="701" t="s">
        <v>14</v>
      </c>
      <c r="U7" s="702">
        <f t="shared" ref="U7:U14" si="1">H7</f>
        <v>0</v>
      </c>
      <c r="V7" s="701" t="s">
        <v>14</v>
      </c>
      <c r="W7" s="702">
        <f t="shared" ref="W7:W14" si="2">J7</f>
        <v>0</v>
      </c>
      <c r="X7" s="703"/>
      <c r="Y7" s="3695" t="s">
        <v>1679</v>
      </c>
      <c r="Z7" s="3696"/>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1682</v>
      </c>
      <c r="Q8" s="3696"/>
      <c r="R8" s="701" t="s">
        <v>14</v>
      </c>
      <c r="S8" s="702">
        <f t="shared" si="0"/>
        <v>100</v>
      </c>
      <c r="T8" s="701" t="s">
        <v>14</v>
      </c>
      <c r="U8" s="702">
        <f t="shared" si="1"/>
        <v>100</v>
      </c>
      <c r="V8" s="701" t="s">
        <v>14</v>
      </c>
      <c r="W8" s="702">
        <f t="shared" si="2"/>
        <v>100</v>
      </c>
      <c r="X8" s="703"/>
      <c r="Y8" s="3695" t="s">
        <v>1682</v>
      </c>
      <c r="Z8" s="3696"/>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1685</v>
      </c>
      <c r="Q9" s="1343" t="str">
        <f t="shared" ref="Q9:Q14" si="6">B9</f>
        <v>用途</v>
      </c>
      <c r="R9" s="701" t="s">
        <v>14</v>
      </c>
      <c r="S9" s="702">
        <f t="shared" si="0"/>
        <v>100</v>
      </c>
      <c r="T9" s="701" t="s">
        <v>14</v>
      </c>
      <c r="U9" s="702">
        <f t="shared" si="1"/>
        <v>100</v>
      </c>
      <c r="V9" s="701" t="s">
        <v>14</v>
      </c>
      <c r="W9" s="702">
        <f t="shared" si="2"/>
        <v>100</v>
      </c>
      <c r="X9" s="703"/>
      <c r="Y9" s="3620" t="s">
        <v>1686</v>
      </c>
      <c r="Z9" s="52" t="str">
        <f t="shared" ref="Z9:Z14" si="7">Q9</f>
        <v>用途</v>
      </c>
      <c r="AA9" s="704">
        <f t="shared" si="3"/>
        <v>1</v>
      </c>
      <c r="AB9" s="704">
        <f t="shared" si="4"/>
        <v>1</v>
      </c>
      <c r="AC9" s="704">
        <f t="shared" si="5"/>
        <v>1</v>
      </c>
    </row>
    <row r="10" spans="1:29" s="378" customFormat="1" ht="27">
      <c r="A10" s="374"/>
      <c r="B10" s="375" t="s">
        <v>1687</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1690</v>
      </c>
      <c r="Q14" s="1352" t="str">
        <f t="shared" si="6"/>
        <v>交通便捷度</v>
      </c>
      <c r="R14" s="705" t="s">
        <v>14</v>
      </c>
      <c r="S14" s="706">
        <f t="shared" si="0"/>
        <v>100</v>
      </c>
      <c r="T14" s="705" t="s">
        <v>14</v>
      </c>
      <c r="U14" s="706">
        <f t="shared" si="1"/>
        <v>100</v>
      </c>
      <c r="V14" s="705" t="s">
        <v>14</v>
      </c>
      <c r="W14" s="706">
        <f t="shared" si="2"/>
        <v>100</v>
      </c>
      <c r="X14" s="1355"/>
      <c r="Y14" s="372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1695</v>
      </c>
      <c r="Q32" s="1352">
        <f t="shared" si="11"/>
        <v>111</v>
      </c>
      <c r="R32" s="705" t="s">
        <v>14</v>
      </c>
      <c r="S32" s="706">
        <f t="shared" si="12"/>
        <v>100</v>
      </c>
      <c r="T32" s="705" t="s">
        <v>14</v>
      </c>
      <c r="U32" s="706">
        <f t="shared" si="13"/>
        <v>100</v>
      </c>
      <c r="V32" s="705" t="s">
        <v>14</v>
      </c>
      <c r="W32" s="706">
        <f t="shared" si="14"/>
        <v>100</v>
      </c>
      <c r="X32" s="1355"/>
      <c r="Y32" s="373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710" t="s">
        <v>1769</v>
      </c>
      <c r="D4" s="3711"/>
      <c r="E4" s="3712" t="s">
        <v>1770</v>
      </c>
      <c r="F4" s="3713"/>
      <c r="G4" s="3710" t="s">
        <v>1771</v>
      </c>
      <c r="H4" s="3711"/>
      <c r="I4" s="3710" t="s">
        <v>1772</v>
      </c>
      <c r="J4" s="3711"/>
      <c r="K4" s="559" t="s">
        <v>1773</v>
      </c>
      <c r="L4" s="2715"/>
      <c r="M4" s="2716"/>
      <c r="N4" s="2716"/>
      <c r="O4" s="2716"/>
      <c r="P4" s="3714" t="s">
        <v>1774</v>
      </c>
      <c r="Q4" s="3715"/>
      <c r="R4" s="3697" t="s">
        <v>1770</v>
      </c>
      <c r="S4" s="3698"/>
      <c r="T4" s="3697" t="s">
        <v>1771</v>
      </c>
      <c r="U4" s="3698"/>
      <c r="V4" s="3722" t="s">
        <v>1772</v>
      </c>
      <c r="W4" s="3722"/>
      <c r="X4" s="1355"/>
      <c r="Y4" s="3697" t="s">
        <v>1774</v>
      </c>
      <c r="Z4" s="3698"/>
      <c r="AA4" s="3692" t="s">
        <v>1770</v>
      </c>
      <c r="AB4" s="3693" t="s">
        <v>1771</v>
      </c>
      <c r="AC4" s="3692" t="s">
        <v>1772</v>
      </c>
    </row>
    <row r="5" spans="1:30" ht="15">
      <c r="A5" s="358"/>
      <c r="B5" s="359"/>
      <c r="C5" s="3703" t="s">
        <v>1672</v>
      </c>
      <c r="D5" s="3704"/>
      <c r="E5" s="3701" t="s">
        <v>1673</v>
      </c>
      <c r="F5" s="3702"/>
      <c r="G5" s="3703" t="s">
        <v>1674</v>
      </c>
      <c r="H5" s="3704"/>
      <c r="I5" s="3703" t="s">
        <v>1675</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1676</v>
      </c>
      <c r="D6" s="3706"/>
      <c r="E6" s="3707" t="s">
        <v>1676</v>
      </c>
      <c r="F6" s="3708"/>
      <c r="G6" s="3705" t="s">
        <v>1676</v>
      </c>
      <c r="H6" s="3706"/>
      <c r="I6" s="3705" t="s">
        <v>1676</v>
      </c>
      <c r="J6" s="3706"/>
      <c r="K6" s="559" t="s">
        <v>1677</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1678</v>
      </c>
      <c r="B7" s="363"/>
      <c r="C7" s="364">
        <f>'数据-取费表'!B2</f>
        <v>45037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1679</v>
      </c>
      <c r="Q7" s="3723"/>
      <c r="R7" s="701" t="s">
        <v>14</v>
      </c>
      <c r="S7" s="702">
        <f t="shared" ref="S7:S15" si="0">F7</f>
        <v>0</v>
      </c>
      <c r="T7" s="701" t="s">
        <v>14</v>
      </c>
      <c r="U7" s="702">
        <f t="shared" ref="U7:U15" si="1">H7</f>
        <v>0</v>
      </c>
      <c r="V7" s="701" t="s">
        <v>14</v>
      </c>
      <c r="W7" s="702">
        <f t="shared" ref="W7:W15" si="2">J7</f>
        <v>0</v>
      </c>
      <c r="X7" s="703"/>
      <c r="Y7" s="3695" t="s">
        <v>1679</v>
      </c>
      <c r="Z7" s="3696"/>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1682</v>
      </c>
      <c r="Q8" s="3696"/>
      <c r="R8" s="701" t="s">
        <v>14</v>
      </c>
      <c r="S8" s="702">
        <f t="shared" si="0"/>
        <v>0</v>
      </c>
      <c r="T8" s="701" t="s">
        <v>14</v>
      </c>
      <c r="U8" s="702">
        <f t="shared" si="1"/>
        <v>0</v>
      </c>
      <c r="V8" s="701" t="s">
        <v>14</v>
      </c>
      <c r="W8" s="702">
        <f t="shared" si="2"/>
        <v>0</v>
      </c>
      <c r="X8" s="703"/>
      <c r="Y8" s="3695" t="s">
        <v>1682</v>
      </c>
      <c r="Z8" s="3696"/>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9"/>
      <c r="M10" s="2720"/>
      <c r="N10" s="2720"/>
      <c r="O10" s="2773"/>
      <c r="P10" s="3727"/>
      <c r="Q10" s="1343" t="str">
        <f t="shared" si="6"/>
        <v>土地使用年限（年）</v>
      </c>
      <c r="R10" s="701" t="s">
        <v>14</v>
      </c>
      <c r="S10" s="702">
        <f t="shared" si="0"/>
        <v>104</v>
      </c>
      <c r="T10" s="701" t="s">
        <v>14</v>
      </c>
      <c r="U10" s="702">
        <f t="shared" si="1"/>
        <v>104</v>
      </c>
      <c r="V10" s="701" t="s">
        <v>14</v>
      </c>
      <c r="W10" s="702">
        <f t="shared" si="2"/>
        <v>104</v>
      </c>
      <c r="X10" s="703"/>
      <c r="Y10" s="3620"/>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1690</v>
      </c>
      <c r="Q15" s="1352" t="str">
        <f t="shared" si="6"/>
        <v>居住社区成熟度</v>
      </c>
      <c r="R15" s="705" t="s">
        <v>14</v>
      </c>
      <c r="S15" s="706">
        <f t="shared" si="0"/>
        <v>100</v>
      </c>
      <c r="T15" s="705" t="s">
        <v>14</v>
      </c>
      <c r="U15" s="706">
        <f t="shared" si="1"/>
        <v>100</v>
      </c>
      <c r="V15" s="705" t="s">
        <v>14</v>
      </c>
      <c r="W15" s="706">
        <f t="shared" si="2"/>
        <v>100</v>
      </c>
      <c r="X15" s="1355"/>
      <c r="Y15" s="372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1695</v>
      </c>
      <c r="Q36" s="1352">
        <f t="shared" si="8"/>
        <v>111</v>
      </c>
      <c r="R36" s="705" t="s">
        <v>14</v>
      </c>
      <c r="S36" s="706">
        <f t="shared" si="10"/>
        <v>100</v>
      </c>
      <c r="T36" s="705" t="s">
        <v>14</v>
      </c>
      <c r="U36" s="706">
        <f t="shared" si="11"/>
        <v>100</v>
      </c>
      <c r="V36" s="705" t="s">
        <v>14</v>
      </c>
      <c r="W36" s="706">
        <f t="shared" si="12"/>
        <v>100</v>
      </c>
      <c r="X36" s="1355"/>
      <c r="Y36" s="373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1695</v>
      </c>
      <c r="Q42" s="1352" t="str">
        <f t="shared" si="14"/>
        <v>工程地质条件</v>
      </c>
      <c r="R42" s="705" t="s">
        <v>14</v>
      </c>
      <c r="S42" s="706">
        <f t="shared" si="10"/>
        <v>100</v>
      </c>
      <c r="T42" s="705" t="s">
        <v>14</v>
      </c>
      <c r="U42" s="706">
        <f t="shared" si="11"/>
        <v>100</v>
      </c>
      <c r="V42" s="705" t="s">
        <v>14</v>
      </c>
      <c r="W42" s="706">
        <f t="shared" si="12"/>
        <v>100</v>
      </c>
      <c r="X42" s="1355"/>
      <c r="Y42" s="373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0" t="s">
        <v>1886</v>
      </c>
      <c r="H55" s="3757"/>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155160.79999999999</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0.25</v>
      </c>
      <c r="D60" s="945">
        <v>0.25</v>
      </c>
      <c r="E60" s="217">
        <f>'数据-汇总表'!E11</f>
        <v>4941.67</v>
      </c>
      <c r="F60" s="886" t="e">
        <f t="shared" si="15"/>
        <v>#DIV/0!</v>
      </c>
      <c r="G60" s="1987" t="s">
        <v>1895</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v>
      </c>
      <c r="D62" s="945">
        <v>0.25</v>
      </c>
      <c r="E62" s="217">
        <f>'数据-汇总表'!E13</f>
        <v>16223.64</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1901</v>
      </c>
      <c r="B64" s="218" t="e">
        <f t="shared" si="17"/>
        <v>#DIV/0!</v>
      </c>
      <c r="C64" s="171">
        <f t="shared" si="16"/>
        <v>0.15</v>
      </c>
      <c r="D64" s="945">
        <v>0.25</v>
      </c>
      <c r="E64" s="217">
        <f>'数据-汇总表'!E15</f>
        <v>0</v>
      </c>
      <c r="F64" s="886" t="e">
        <f t="shared" si="15"/>
        <v>#DIV/0!</v>
      </c>
      <c r="G64" s="1988" t="s">
        <v>1895</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1902</v>
      </c>
      <c r="B65" s="644" t="s">
        <v>22</v>
      </c>
      <c r="C65" s="644" t="s">
        <v>23</v>
      </c>
      <c r="D65" s="644" t="s">
        <v>392</v>
      </c>
      <c r="E65" s="644">
        <f>IF(B46="楼面地价",SUM(E56:E64),'数据-汇总表'!D3)</f>
        <v>176326.11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1718</v>
      </c>
      <c r="B74" s="477" t="s">
        <v>1684</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2715"/>
      <c r="M4" s="2716"/>
      <c r="N4" s="2716"/>
      <c r="O4" s="2716"/>
      <c r="P4" s="3714" t="s">
        <v>1774</v>
      </c>
      <c r="Q4" s="3715"/>
      <c r="R4" s="3697" t="s">
        <v>1770</v>
      </c>
      <c r="S4" s="3698"/>
      <c r="T4" s="3697" t="s">
        <v>1771</v>
      </c>
      <c r="U4" s="3698"/>
      <c r="V4" s="3722" t="s">
        <v>1772</v>
      </c>
      <c r="W4" s="3722"/>
      <c r="X4" s="1355"/>
      <c r="Y4" s="3697" t="s">
        <v>1774</v>
      </c>
      <c r="Z4" s="3698"/>
      <c r="AA4" s="3692" t="s">
        <v>1770</v>
      </c>
      <c r="AB4" s="3693" t="s">
        <v>1771</v>
      </c>
      <c r="AC4" s="3692" t="s">
        <v>1772</v>
      </c>
    </row>
    <row r="5" spans="1:29" ht="15">
      <c r="A5" s="358"/>
      <c r="B5" s="359"/>
      <c r="C5" s="3703" t="s">
        <v>1672</v>
      </c>
      <c r="D5" s="3704"/>
      <c r="E5" s="3701" t="s">
        <v>1673</v>
      </c>
      <c r="F5" s="3702"/>
      <c r="G5" s="3703" t="s">
        <v>1674</v>
      </c>
      <c r="H5" s="3704"/>
      <c r="I5" s="3703" t="s">
        <v>1675</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1918</v>
      </c>
      <c r="D6" s="3759"/>
      <c r="E6" s="3760" t="s">
        <v>1918</v>
      </c>
      <c r="F6" s="3761"/>
      <c r="G6" s="3758" t="s">
        <v>1918</v>
      </c>
      <c r="H6" s="3759"/>
      <c r="I6" s="3758" t="s">
        <v>1918</v>
      </c>
      <c r="J6" s="3759"/>
      <c r="K6" s="559" t="s">
        <v>1677</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1678</v>
      </c>
      <c r="B7" s="363"/>
      <c r="C7" s="364">
        <f>'数据-取费表'!B2</f>
        <v>45037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1679</v>
      </c>
      <c r="Q7" s="3723"/>
      <c r="R7" s="701" t="s">
        <v>14</v>
      </c>
      <c r="S7" s="702">
        <f t="shared" ref="S7:S15" si="0">F7</f>
        <v>0</v>
      </c>
      <c r="T7" s="701" t="s">
        <v>14</v>
      </c>
      <c r="U7" s="702">
        <f t="shared" ref="U7:U15" si="1">H7</f>
        <v>0</v>
      </c>
      <c r="V7" s="701" t="s">
        <v>14</v>
      </c>
      <c r="W7" s="702">
        <f t="shared" ref="W7:W15" si="2">J7</f>
        <v>0</v>
      </c>
      <c r="X7" s="703"/>
      <c r="Y7" s="3695" t="s">
        <v>1679</v>
      </c>
      <c r="Z7" s="3696"/>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1682</v>
      </c>
      <c r="Q8" s="3696"/>
      <c r="R8" s="701" t="s">
        <v>14</v>
      </c>
      <c r="S8" s="702">
        <f t="shared" si="0"/>
        <v>0</v>
      </c>
      <c r="T8" s="701" t="s">
        <v>14</v>
      </c>
      <c r="U8" s="702">
        <f t="shared" si="1"/>
        <v>0</v>
      </c>
      <c r="V8" s="701" t="s">
        <v>14</v>
      </c>
      <c r="W8" s="702">
        <f t="shared" si="2"/>
        <v>0</v>
      </c>
      <c r="X8" s="703"/>
      <c r="Y8" s="3695" t="s">
        <v>1682</v>
      </c>
      <c r="Z8" s="3696"/>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1685</v>
      </c>
      <c r="Q9" s="1343" t="str">
        <f t="shared" ref="Q9:Q15" si="6">B9</f>
        <v>用途</v>
      </c>
      <c r="R9" s="701" t="s">
        <v>14</v>
      </c>
      <c r="S9" s="702">
        <f t="shared" si="0"/>
        <v>100</v>
      </c>
      <c r="T9" s="701" t="s">
        <v>14</v>
      </c>
      <c r="U9" s="702">
        <f t="shared" si="1"/>
        <v>100</v>
      </c>
      <c r="V9" s="701" t="s">
        <v>14</v>
      </c>
      <c r="W9" s="702">
        <f t="shared" si="2"/>
        <v>100</v>
      </c>
      <c r="X9" s="703"/>
      <c r="Y9" s="362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9"/>
      <c r="M10" s="2720"/>
      <c r="N10" s="2720"/>
      <c r="O10" s="2773"/>
      <c r="P10" s="3727"/>
      <c r="Q10" s="1343" t="str">
        <f t="shared" si="6"/>
        <v>土地使用年限（年）</v>
      </c>
      <c r="R10" s="701" t="s">
        <v>14</v>
      </c>
      <c r="S10" s="702">
        <f t="shared" si="0"/>
        <v>104</v>
      </c>
      <c r="T10" s="701" t="s">
        <v>14</v>
      </c>
      <c r="U10" s="702">
        <f t="shared" si="1"/>
        <v>104</v>
      </c>
      <c r="V10" s="701" t="s">
        <v>14</v>
      </c>
      <c r="W10" s="702">
        <f t="shared" si="2"/>
        <v>104</v>
      </c>
      <c r="X10" s="703"/>
      <c r="Y10" s="3620"/>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1690</v>
      </c>
      <c r="Q15" s="1352" t="str">
        <f t="shared" si="6"/>
        <v>产业集聚程度</v>
      </c>
      <c r="R15" s="705" t="s">
        <v>14</v>
      </c>
      <c r="S15" s="706">
        <f t="shared" si="0"/>
        <v>100</v>
      </c>
      <c r="T15" s="705" t="s">
        <v>14</v>
      </c>
      <c r="U15" s="706">
        <f t="shared" si="1"/>
        <v>100</v>
      </c>
      <c r="V15" s="705" t="s">
        <v>14</v>
      </c>
      <c r="W15" s="706">
        <f t="shared" si="2"/>
        <v>100</v>
      </c>
      <c r="X15" s="1355"/>
      <c r="Y15" s="372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1695</v>
      </c>
      <c r="Q32" s="1352">
        <f t="shared" si="8"/>
        <v>111</v>
      </c>
      <c r="R32" s="705" t="s">
        <v>14</v>
      </c>
      <c r="S32" s="706">
        <f t="shared" si="10"/>
        <v>100</v>
      </c>
      <c r="T32" s="705" t="s">
        <v>14</v>
      </c>
      <c r="U32" s="706">
        <f t="shared" si="11"/>
        <v>100</v>
      </c>
      <c r="V32" s="705" t="s">
        <v>14</v>
      </c>
      <c r="W32" s="706">
        <f t="shared" si="12"/>
        <v>100</v>
      </c>
      <c r="X32" s="1355"/>
      <c r="Y32" s="3734"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1695</v>
      </c>
      <c r="Q37" s="1352" t="str">
        <f t="shared" si="14"/>
        <v>工程地质条件</v>
      </c>
      <c r="R37" s="705" t="s">
        <v>14</v>
      </c>
      <c r="S37" s="706">
        <f t="shared" si="10"/>
        <v>100</v>
      </c>
      <c r="T37" s="705" t="s">
        <v>14</v>
      </c>
      <c r="U37" s="706">
        <f t="shared" si="11"/>
        <v>100</v>
      </c>
      <c r="V37" s="705" t="s">
        <v>14</v>
      </c>
      <c r="W37" s="706">
        <f t="shared" si="12"/>
        <v>100</v>
      </c>
      <c r="X37" s="1355"/>
      <c r="Y37" s="373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710" t="s">
        <v>1886</v>
      </c>
      <c r="H50" s="3757"/>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155160.79999999999</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0.25</v>
      </c>
      <c r="D56" s="945">
        <v>0.25</v>
      </c>
      <c r="E56" s="217">
        <f>'数据-汇总表'!E11</f>
        <v>4941.67</v>
      </c>
      <c r="F56" s="639" t="e">
        <f t="shared" si="15"/>
        <v>#DIV/0!</v>
      </c>
      <c r="G56" s="1987" t="s">
        <v>1895</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v>
      </c>
      <c r="D58" s="945">
        <v>0.25</v>
      </c>
      <c r="E58" s="217">
        <f>'数据-汇总表'!E13</f>
        <v>16223.64</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1901</v>
      </c>
      <c r="B60" s="218" t="e">
        <f t="shared" si="17"/>
        <v>#DIV/0!</v>
      </c>
      <c r="C60" s="171">
        <f t="shared" si="16"/>
        <v>0.15</v>
      </c>
      <c r="D60" s="945">
        <v>0.25</v>
      </c>
      <c r="E60" s="217">
        <f>'数据-汇总表'!E15</f>
        <v>0</v>
      </c>
      <c r="F60" s="639" t="e">
        <f t="shared" si="15"/>
        <v>#DIV/0!</v>
      </c>
      <c r="G60" s="1988" t="s">
        <v>1895</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1902</v>
      </c>
      <c r="B61" s="644" t="s">
        <v>22</v>
      </c>
      <c r="C61" s="644" t="s">
        <v>23</v>
      </c>
      <c r="D61" s="644" t="s">
        <v>392</v>
      </c>
      <c r="E61" s="644">
        <f>IF(B41="楼面地价",SUM(E51:E60),'数据-汇总表'!D3)</f>
        <v>25131.21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5" t="s">
        <v>2083</v>
      </c>
      <c r="D1" s="3766"/>
      <c r="E1" s="3766"/>
      <c r="F1" s="3766"/>
      <c r="G1" s="3766"/>
      <c r="H1" s="3766"/>
      <c r="I1" s="3766"/>
      <c r="J1" s="3766"/>
      <c r="K1" s="3766"/>
      <c r="L1" s="3766"/>
      <c r="M1" s="3766"/>
      <c r="N1" s="3766"/>
      <c r="O1" s="3766"/>
      <c r="P1" s="3766"/>
      <c r="Q1" s="3766"/>
      <c r="R1" s="3766"/>
      <c r="S1" s="376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267009</v>
      </c>
      <c r="C2" s="2145" t="s">
        <v>2073</v>
      </c>
      <c r="D2" s="2145" t="s">
        <v>2074</v>
      </c>
      <c r="E2" s="2612">
        <f ca="1">SUMIF(E6:E13,"&lt;&gt;#ref!",E6:E13)</f>
        <v>181924.33000000002</v>
      </c>
      <c r="F2" s="2793"/>
      <c r="G2" s="2793"/>
      <c r="H2" s="2793"/>
      <c r="I2" s="2793"/>
      <c r="J2" s="2793"/>
      <c r="K2" s="2793"/>
      <c r="L2" s="2793"/>
      <c r="M2" s="2793"/>
      <c r="N2" s="2793"/>
      <c r="O2" s="2793"/>
      <c r="P2" s="2793"/>
    </row>
    <row r="3" spans="1:16" ht="15.75">
      <c r="A3" s="2145" t="s">
        <v>2075</v>
      </c>
      <c r="B3" s="2602">
        <f ca="1">ROUND(B2*10000/E2,0)</f>
        <v>14677</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267009</v>
      </c>
      <c r="C6" s="2145" t="s">
        <v>2073</v>
      </c>
      <c r="D6" s="2793"/>
      <c r="E6" s="2612">
        <f ca="1">SUMIF(INDIRECT("'"&amp;A6&amp;"'"&amp;"!C:C"),"建筑面积",INDIRECT("'"&amp;A6&amp;"'"&amp;"!D:D"))</f>
        <v>181924.33000000002</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551459</v>
      </c>
      <c r="E5" s="1491"/>
    </row>
    <row r="6" spans="1:5" ht="15.75">
      <c r="A6" s="1491"/>
      <c r="B6" s="3463"/>
      <c r="C6" s="1494" t="s">
        <v>911</v>
      </c>
      <c r="D6" s="850" t="str">
        <f ca="1">NUMBERSTRING(INT(D5*10000),2)&amp;"元整"</f>
        <v>伍拾伍亿壹仟肆佰伍拾玖万元整</v>
      </c>
      <c r="E6" s="1491"/>
    </row>
    <row r="7" spans="1:5" ht="15.75">
      <c r="A7" s="1491"/>
      <c r="B7" s="3468"/>
      <c r="C7" s="1495" t="s">
        <v>912</v>
      </c>
      <c r="D7" s="851">
        <f ca="1">结果表!H102</f>
        <v>26869</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551459</v>
      </c>
      <c r="E13" s="1491"/>
    </row>
    <row r="14" spans="1:5" ht="15.75">
      <c r="A14" s="1491"/>
      <c r="B14" s="3463"/>
      <c r="C14" s="1494" t="s">
        <v>911</v>
      </c>
      <c r="D14" s="850" t="str">
        <f ca="1">NUMBERSTRING(INT(D13*10000),2)&amp;"元整"</f>
        <v>伍拾伍亿壹仟肆佰伍拾玖万元整</v>
      </c>
      <c r="E14" s="1491"/>
    </row>
    <row r="15" spans="1:5" ht="15">
      <c r="A15" s="1491"/>
      <c r="B15" s="3468"/>
      <c r="C15" s="1495" t="s">
        <v>921</v>
      </c>
      <c r="D15" s="859">
        <f ca="1">结果表!H108</f>
        <v>26869</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4.抵押净值</v>
      </c>
      <c r="C19" s="1499" t="s">
        <v>910</v>
      </c>
      <c r="D19" s="851">
        <f ca="1">结果表!H111</f>
        <v>521772</v>
      </c>
      <c r="E19" s="1491"/>
    </row>
    <row r="20" spans="1:5" ht="15.75">
      <c r="A20" s="1491"/>
      <c r="B20" s="3463"/>
      <c r="C20" s="1494" t="s">
        <v>923</v>
      </c>
      <c r="D20" s="850" t="str">
        <f ca="1">NUMBERSTRING(INT(D19*10000),2)&amp;"元整"</f>
        <v>伍拾贰亿壹仟柒佰柒拾贰万元整</v>
      </c>
      <c r="E20" s="1491"/>
    </row>
    <row r="21" spans="1:5" ht="15.75" thickBot="1">
      <c r="A21" s="1491"/>
      <c r="B21" s="3464"/>
      <c r="C21" s="1501" t="s">
        <v>921</v>
      </c>
      <c r="D21" s="860">
        <f ca="1">结果表!H112</f>
        <v>25423</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5" t="s">
        <v>2609</v>
      </c>
      <c r="B20" s="3768" t="s">
        <v>2630</v>
      </c>
      <c r="C20" s="3103" t="s">
        <v>2441</v>
      </c>
      <c r="D20" s="3104"/>
      <c r="E20" s="3105">
        <v>1</v>
      </c>
      <c r="F20" s="3106" t="s">
        <v>2442</v>
      </c>
      <c r="G20" s="3106"/>
    </row>
    <row r="21" spans="1:13" ht="19.5" customHeight="1">
      <c r="A21" s="3776"/>
      <c r="B21" s="3769"/>
      <c r="C21" s="3107" t="s">
        <v>2443</v>
      </c>
      <c r="D21" s="3108"/>
      <c r="E21" s="3109">
        <v>1</v>
      </c>
      <c r="F21" s="3106" t="s">
        <v>2444</v>
      </c>
      <c r="G21" s="3106"/>
    </row>
    <row r="22" spans="1:13" ht="19.5" customHeight="1">
      <c r="A22" s="3776"/>
      <c r="B22" s="3769"/>
      <c r="C22" s="3107" t="s">
        <v>2445</v>
      </c>
      <c r="D22" s="3108"/>
      <c r="E22" s="3109">
        <v>0.9</v>
      </c>
      <c r="F22" s="3106" t="s">
        <v>2446</v>
      </c>
      <c r="G22" s="3106"/>
    </row>
    <row r="23" spans="1:13" ht="19.5" customHeight="1">
      <c r="A23" s="3776"/>
      <c r="B23" s="3769"/>
      <c r="C23" s="3107" t="s">
        <v>2447</v>
      </c>
      <c r="D23" s="3108"/>
      <c r="E23" s="3109">
        <v>0.9</v>
      </c>
      <c r="F23" s="3106" t="s">
        <v>2448</v>
      </c>
      <c r="G23" s="3106"/>
    </row>
    <row r="24" spans="1:13" ht="19.5" customHeight="1">
      <c r="A24" s="3776"/>
      <c r="B24" s="3769"/>
      <c r="C24" s="3107" t="s">
        <v>2449</v>
      </c>
      <c r="D24" s="3108"/>
      <c r="E24" s="3109">
        <v>0.8</v>
      </c>
      <c r="F24" s="3106" t="s">
        <v>2450</v>
      </c>
      <c r="G24" s="3106"/>
    </row>
    <row r="25" spans="1:13" ht="19.5" customHeight="1" thickBot="1">
      <c r="A25" s="3777"/>
      <c r="B25" s="3770"/>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1" t="s">
        <v>2633</v>
      </c>
      <c r="B27" s="3768" t="s">
        <v>2614</v>
      </c>
      <c r="C27" s="3103" t="s">
        <v>2454</v>
      </c>
      <c r="D27" s="3104"/>
      <c r="E27" s="3105">
        <v>1</v>
      </c>
      <c r="F27" s="3106" t="s">
        <v>2455</v>
      </c>
      <c r="G27" s="3106"/>
    </row>
    <row r="28" spans="1:13" ht="19.5" customHeight="1">
      <c r="A28" s="3772"/>
      <c r="B28" s="3769"/>
      <c r="C28" s="3107" t="s">
        <v>2456</v>
      </c>
      <c r="D28" s="3108"/>
      <c r="E28" s="3109">
        <v>1</v>
      </c>
      <c r="F28" s="3106" t="s">
        <v>2457</v>
      </c>
      <c r="G28" s="3106"/>
    </row>
    <row r="29" spans="1:13" ht="19.5" customHeight="1">
      <c r="A29" s="3772"/>
      <c r="B29" s="3769"/>
      <c r="C29" s="3107" t="s">
        <v>2458</v>
      </c>
      <c r="D29" s="3108"/>
      <c r="E29" s="3109">
        <v>0.8</v>
      </c>
      <c r="F29" s="3106" t="s">
        <v>2459</v>
      </c>
      <c r="G29" s="3106"/>
    </row>
    <row r="30" spans="1:13" ht="19.5" customHeight="1">
      <c r="A30" s="3772"/>
      <c r="B30" s="3769"/>
      <c r="C30" s="3107" t="s">
        <v>2460</v>
      </c>
      <c r="D30" s="3108"/>
      <c r="E30" s="3109">
        <v>0.8</v>
      </c>
      <c r="F30" s="3106" t="s">
        <v>2461</v>
      </c>
      <c r="G30" s="3106"/>
    </row>
    <row r="31" spans="1:13" ht="19.5" customHeight="1">
      <c r="A31" s="3772"/>
      <c r="B31" s="3769"/>
      <c r="C31" s="3107" t="s">
        <v>2462</v>
      </c>
      <c r="D31" s="3108"/>
      <c r="E31" s="3109">
        <v>0.8</v>
      </c>
      <c r="F31" s="3106" t="s">
        <v>2463</v>
      </c>
      <c r="G31" s="3106"/>
    </row>
    <row r="32" spans="1:13" ht="19.5" customHeight="1">
      <c r="A32" s="3772"/>
      <c r="B32" s="3769"/>
      <c r="C32" s="3107" t="s">
        <v>2464</v>
      </c>
      <c r="D32" s="3108"/>
      <c r="E32" s="3109">
        <v>0.7</v>
      </c>
      <c r="F32" s="3106" t="s">
        <v>2465</v>
      </c>
      <c r="G32" s="3106"/>
    </row>
    <row r="33" spans="1:7" ht="19.5" customHeight="1">
      <c r="A33" s="3772"/>
      <c r="B33" s="3769"/>
      <c r="C33" s="3107" t="s">
        <v>2466</v>
      </c>
      <c r="D33" s="3108"/>
      <c r="E33" s="3109">
        <v>0.8</v>
      </c>
      <c r="F33" s="3106" t="s">
        <v>2467</v>
      </c>
      <c r="G33" s="3106"/>
    </row>
    <row r="34" spans="1:7" ht="19.5" customHeight="1">
      <c r="A34" s="3772"/>
      <c r="B34" s="3769"/>
      <c r="C34" s="3107" t="s">
        <v>2468</v>
      </c>
      <c r="D34" s="3108"/>
      <c r="E34" s="3109">
        <v>0.6</v>
      </c>
      <c r="F34" s="3106" t="s">
        <v>2469</v>
      </c>
      <c r="G34" s="3106"/>
    </row>
    <row r="35" spans="1:7" ht="19.5" customHeight="1">
      <c r="A35" s="3772"/>
      <c r="B35" s="3769"/>
      <c r="C35" s="3107" t="s">
        <v>2470</v>
      </c>
      <c r="D35" s="3108"/>
      <c r="E35" s="3109">
        <v>0.2</v>
      </c>
      <c r="F35" s="3106" t="s">
        <v>2471</v>
      </c>
      <c r="G35" s="3106"/>
    </row>
    <row r="36" spans="1:7" ht="19.5" customHeight="1">
      <c r="A36" s="3772"/>
      <c r="B36" s="3769"/>
      <c r="C36" s="3107" t="s">
        <v>2472</v>
      </c>
      <c r="D36" s="3108"/>
      <c r="E36" s="3109">
        <v>0.2</v>
      </c>
      <c r="F36" s="3106" t="s">
        <v>2473</v>
      </c>
      <c r="G36" s="3106"/>
    </row>
    <row r="37" spans="1:7" ht="19.5" customHeight="1">
      <c r="A37" s="3772"/>
      <c r="B37" s="3774" t="s">
        <v>2634</v>
      </c>
      <c r="C37" s="3107" t="s">
        <v>2474</v>
      </c>
      <c r="D37" s="3108"/>
      <c r="E37" s="3109">
        <v>0.6</v>
      </c>
      <c r="F37" s="3106" t="s">
        <v>2475</v>
      </c>
      <c r="G37" s="3106"/>
    </row>
    <row r="38" spans="1:7" ht="19.5" customHeight="1">
      <c r="A38" s="3772"/>
      <c r="B38" s="3769"/>
      <c r="C38" s="3107" t="s">
        <v>2476</v>
      </c>
      <c r="D38" s="3108"/>
      <c r="E38" s="3109">
        <v>0.6</v>
      </c>
      <c r="F38" s="3106" t="s">
        <v>2477</v>
      </c>
      <c r="G38" s="3106"/>
    </row>
    <row r="39" spans="1:7" ht="19.5" customHeight="1" thickBot="1">
      <c r="A39" s="3773"/>
      <c r="B39" s="3770"/>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5" t="s">
        <v>2612</v>
      </c>
      <c r="B41" s="3768" t="s">
        <v>2636</v>
      </c>
      <c r="C41" s="3103" t="s">
        <v>2481</v>
      </c>
      <c r="D41" s="3104"/>
      <c r="E41" s="3105">
        <v>1</v>
      </c>
      <c r="F41" s="3106" t="s">
        <v>2482</v>
      </c>
      <c r="G41" s="3106"/>
    </row>
    <row r="42" spans="1:7" ht="19.5" customHeight="1">
      <c r="A42" s="3776"/>
      <c r="B42" s="3769"/>
      <c r="C42" s="3107" t="s">
        <v>2483</v>
      </c>
      <c r="D42" s="3108"/>
      <c r="E42" s="3109">
        <v>1</v>
      </c>
      <c r="F42" s="3106" t="s">
        <v>2484</v>
      </c>
      <c r="G42" s="3106"/>
    </row>
    <row r="43" spans="1:7" ht="19.5" customHeight="1">
      <c r="A43" s="3776"/>
      <c r="B43" s="3778"/>
      <c r="C43" s="3107" t="s">
        <v>2485</v>
      </c>
      <c r="D43" s="3108"/>
      <c r="E43" s="3109">
        <v>1.5</v>
      </c>
      <c r="F43" s="3106" t="s">
        <v>2486</v>
      </c>
      <c r="G43" s="3106"/>
    </row>
    <row r="44" spans="1:7" ht="19.5" customHeight="1">
      <c r="A44" s="3776"/>
      <c r="B44" s="3118" t="s">
        <v>2637</v>
      </c>
      <c r="C44" s="3107" t="s">
        <v>2638</v>
      </c>
      <c r="D44" s="3108"/>
      <c r="E44" s="3109">
        <v>2</v>
      </c>
      <c r="F44" s="3106" t="s">
        <v>2487</v>
      </c>
      <c r="G44" s="3106"/>
    </row>
    <row r="45" spans="1:7" ht="19.5" customHeight="1">
      <c r="A45" s="3776"/>
      <c r="B45" s="3774" t="s">
        <v>2639</v>
      </c>
      <c r="C45" s="3107" t="s">
        <v>2488</v>
      </c>
      <c r="D45" s="3108"/>
      <c r="E45" s="3109">
        <v>1</v>
      </c>
      <c r="F45" s="3106" t="s">
        <v>2489</v>
      </c>
      <c r="G45" s="3106"/>
    </row>
    <row r="46" spans="1:7" ht="19.5" customHeight="1">
      <c r="A46" s="3776"/>
      <c r="B46" s="3769"/>
      <c r="C46" s="3107" t="s">
        <v>2490</v>
      </c>
      <c r="D46" s="3108"/>
      <c r="E46" s="3109">
        <v>1</v>
      </c>
      <c r="F46" s="3106" t="s">
        <v>2491</v>
      </c>
      <c r="G46" s="3106"/>
    </row>
    <row r="47" spans="1:7" ht="19.5" customHeight="1">
      <c r="A47" s="3776"/>
      <c r="B47" s="3769"/>
      <c r="C47" s="3107" t="s">
        <v>2492</v>
      </c>
      <c r="D47" s="3108"/>
      <c r="E47" s="3109">
        <v>1</v>
      </c>
      <c r="F47" s="3106" t="s">
        <v>2493</v>
      </c>
      <c r="G47" s="3106"/>
    </row>
    <row r="48" spans="1:7" ht="19.5" customHeight="1">
      <c r="A48" s="3776"/>
      <c r="B48" s="3769"/>
      <c r="C48" s="3107" t="s">
        <v>2494</v>
      </c>
      <c r="D48" s="3108"/>
      <c r="E48" s="3109">
        <v>1</v>
      </c>
      <c r="F48" s="3106" t="s">
        <v>2495</v>
      </c>
      <c r="G48" s="3106"/>
    </row>
    <row r="49" spans="1:7" ht="19.5" customHeight="1">
      <c r="A49" s="3776"/>
      <c r="B49" s="3769"/>
      <c r="C49" s="3107" t="s">
        <v>2496</v>
      </c>
      <c r="D49" s="3108"/>
      <c r="E49" s="3109">
        <v>1</v>
      </c>
      <c r="F49" s="3106" t="s">
        <v>2497</v>
      </c>
      <c r="G49" s="3106"/>
    </row>
    <row r="50" spans="1:7" ht="19.5" customHeight="1">
      <c r="A50" s="3776"/>
      <c r="B50" s="3769"/>
      <c r="C50" s="3107" t="s">
        <v>2498</v>
      </c>
      <c r="D50" s="3108"/>
      <c r="E50" s="3109">
        <v>1</v>
      </c>
      <c r="F50" s="3106" t="s">
        <v>2499</v>
      </c>
      <c r="G50" s="3106"/>
    </row>
    <row r="51" spans="1:7" ht="19.5" customHeight="1" thickBot="1">
      <c r="A51" s="3777"/>
      <c r="B51" s="3770"/>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4" t="s">
        <v>2653</v>
      </c>
      <c r="C73" s="3092" t="s">
        <v>2654</v>
      </c>
      <c r="D73" s="3092" t="s">
        <v>2655</v>
      </c>
      <c r="E73" s="3118">
        <v>0.2</v>
      </c>
      <c r="F73" s="3118">
        <v>25</v>
      </c>
    </row>
    <row r="74" spans="1:7" ht="24">
      <c r="A74" s="3118">
        <v>2</v>
      </c>
      <c r="B74" s="3769"/>
      <c r="C74" s="3092" t="s">
        <v>2656</v>
      </c>
      <c r="D74" s="3092" t="s">
        <v>2657</v>
      </c>
      <c r="E74" s="3118">
        <v>0.2</v>
      </c>
      <c r="F74" s="3118">
        <v>25</v>
      </c>
    </row>
    <row r="75" spans="1:7" ht="24">
      <c r="A75" s="3118">
        <v>3</v>
      </c>
      <c r="B75" s="3769"/>
      <c r="C75" s="3092" t="s">
        <v>2658</v>
      </c>
      <c r="D75" s="3092" t="s">
        <v>2659</v>
      </c>
      <c r="E75" s="3118">
        <v>0.2</v>
      </c>
      <c r="F75" s="3118">
        <v>25</v>
      </c>
    </row>
    <row r="76" spans="1:7" ht="13.5">
      <c r="A76" s="3118">
        <v>4</v>
      </c>
      <c r="B76" s="3769"/>
      <c r="C76" s="3092" t="s">
        <v>2660</v>
      </c>
      <c r="D76" s="3092" t="s">
        <v>2661</v>
      </c>
      <c r="E76" s="3118">
        <v>0.15</v>
      </c>
      <c r="F76" s="3118">
        <v>20</v>
      </c>
    </row>
    <row r="77" spans="1:7" ht="24">
      <c r="A77" s="3118">
        <v>5</v>
      </c>
      <c r="B77" s="3769"/>
      <c r="C77" s="3092" t="s">
        <v>2662</v>
      </c>
      <c r="D77" s="3092" t="s">
        <v>2663</v>
      </c>
      <c r="E77" s="3118">
        <v>0.15</v>
      </c>
      <c r="F77" s="3118">
        <v>20</v>
      </c>
    </row>
    <row r="78" spans="1:7" ht="24">
      <c r="A78" s="3118">
        <v>6</v>
      </c>
      <c r="B78" s="3769"/>
      <c r="C78" s="3092" t="s">
        <v>2664</v>
      </c>
      <c r="D78" s="3092" t="s">
        <v>2665</v>
      </c>
      <c r="E78" s="3118">
        <v>0.15</v>
      </c>
      <c r="F78" s="3118">
        <v>20</v>
      </c>
    </row>
    <row r="79" spans="1:7" ht="24">
      <c r="A79" s="3118">
        <v>7</v>
      </c>
      <c r="B79" s="3769"/>
      <c r="C79" s="3092" t="s">
        <v>2666</v>
      </c>
      <c r="D79" s="3092" t="s">
        <v>2667</v>
      </c>
      <c r="E79" s="3118">
        <v>0.15</v>
      </c>
      <c r="F79" s="3118">
        <v>20</v>
      </c>
    </row>
    <row r="80" spans="1:7" ht="24">
      <c r="A80" s="3118">
        <v>8</v>
      </c>
      <c r="B80" s="3769"/>
      <c r="C80" s="3092" t="s">
        <v>2668</v>
      </c>
      <c r="D80" s="3092" t="s">
        <v>2669</v>
      </c>
      <c r="E80" s="3118">
        <v>0.1</v>
      </c>
      <c r="F80" s="3118">
        <v>15</v>
      </c>
    </row>
    <row r="81" spans="1:6" ht="24">
      <c r="A81" s="3118">
        <v>9</v>
      </c>
      <c r="B81" s="3769"/>
      <c r="C81" s="3092" t="s">
        <v>2670</v>
      </c>
      <c r="D81" s="3092" t="s">
        <v>2671</v>
      </c>
      <c r="E81" s="3118">
        <v>0.1</v>
      </c>
      <c r="F81" s="3118">
        <v>15</v>
      </c>
    </row>
    <row r="82" spans="1:6" ht="24">
      <c r="A82" s="3118">
        <v>10</v>
      </c>
      <c r="B82" s="3769"/>
      <c r="C82" s="3092" t="s">
        <v>2672</v>
      </c>
      <c r="D82" s="3092" t="s">
        <v>2673</v>
      </c>
      <c r="E82" s="3118">
        <v>0.1</v>
      </c>
      <c r="F82" s="3118">
        <v>15</v>
      </c>
    </row>
    <row r="83" spans="1:6" ht="24">
      <c r="A83" s="3118">
        <v>11</v>
      </c>
      <c r="B83" s="3769"/>
      <c r="C83" s="3092" t="s">
        <v>2674</v>
      </c>
      <c r="D83" s="3092" t="s">
        <v>2675</v>
      </c>
      <c r="E83" s="3118">
        <v>0.1</v>
      </c>
      <c r="F83" s="3118">
        <v>15</v>
      </c>
    </row>
    <row r="84" spans="1:6" ht="24">
      <c r="A84" s="3118">
        <v>12</v>
      </c>
      <c r="B84" s="3769"/>
      <c r="C84" s="3092" t="s">
        <v>2676</v>
      </c>
      <c r="D84" s="3092" t="s">
        <v>2677</v>
      </c>
      <c r="E84" s="3118">
        <v>0.1</v>
      </c>
      <c r="F84" s="3118">
        <v>15</v>
      </c>
    </row>
    <row r="85" spans="1:6" ht="13.5">
      <c r="A85" s="3118">
        <v>13</v>
      </c>
      <c r="B85" s="3769"/>
      <c r="C85" s="3092" t="s">
        <v>2678</v>
      </c>
      <c r="D85" s="3092" t="s">
        <v>2679</v>
      </c>
      <c r="E85" s="3118">
        <v>0.1</v>
      </c>
      <c r="F85" s="3118">
        <v>15</v>
      </c>
    </row>
    <row r="86" spans="1:6" ht="13.5">
      <c r="A86" s="3118">
        <v>14</v>
      </c>
      <c r="B86" s="3769"/>
      <c r="C86" s="3092" t="s">
        <v>2680</v>
      </c>
      <c r="D86" s="3092" t="s">
        <v>2681</v>
      </c>
      <c r="E86" s="3118">
        <v>0.1</v>
      </c>
      <c r="F86" s="3118">
        <v>15</v>
      </c>
    </row>
    <row r="87" spans="1:6" ht="13.5">
      <c r="A87" s="3118">
        <v>15</v>
      </c>
      <c r="B87" s="3769"/>
      <c r="C87" s="3092" t="s">
        <v>2682</v>
      </c>
      <c r="D87" s="3092" t="s">
        <v>2683</v>
      </c>
      <c r="E87" s="3118">
        <v>0.1</v>
      </c>
      <c r="F87" s="3118">
        <v>15</v>
      </c>
    </row>
    <row r="88" spans="1:6" ht="24">
      <c r="A88" s="3118">
        <v>16</v>
      </c>
      <c r="B88" s="3769"/>
      <c r="C88" s="3092" t="s">
        <v>2684</v>
      </c>
      <c r="D88" s="3092" t="s">
        <v>2685</v>
      </c>
      <c r="E88" s="3118">
        <v>0.1</v>
      </c>
      <c r="F88" s="3118">
        <v>15</v>
      </c>
    </row>
    <row r="89" spans="1:6" ht="24">
      <c r="A89" s="3118">
        <v>17</v>
      </c>
      <c r="B89" s="3778"/>
      <c r="C89" s="3092" t="s">
        <v>2686</v>
      </c>
      <c r="D89" s="3092" t="s">
        <v>2687</v>
      </c>
      <c r="E89" s="3118">
        <v>0.1</v>
      </c>
      <c r="F89" s="3118">
        <v>15</v>
      </c>
    </row>
    <row r="90" spans="1:6" ht="13.5">
      <c r="A90" s="3118">
        <v>18</v>
      </c>
      <c r="B90" s="3774" t="s">
        <v>2688</v>
      </c>
      <c r="C90" s="3092" t="s">
        <v>2689</v>
      </c>
      <c r="D90" s="3092" t="s">
        <v>2690</v>
      </c>
      <c r="E90" s="3118">
        <v>0.2</v>
      </c>
      <c r="F90" s="3118">
        <v>25</v>
      </c>
    </row>
    <row r="91" spans="1:6" ht="24">
      <c r="A91" s="3118">
        <v>19</v>
      </c>
      <c r="B91" s="3769"/>
      <c r="C91" s="3092" t="s">
        <v>2691</v>
      </c>
      <c r="D91" s="3092" t="s">
        <v>2692</v>
      </c>
      <c r="E91" s="3118">
        <v>0.2</v>
      </c>
      <c r="F91" s="3118">
        <v>25</v>
      </c>
    </row>
    <row r="92" spans="1:6" ht="13.5">
      <c r="A92" s="3118">
        <v>20</v>
      </c>
      <c r="B92" s="3769"/>
      <c r="C92" s="3092" t="s">
        <v>2693</v>
      </c>
      <c r="D92" s="3092" t="s">
        <v>2694</v>
      </c>
      <c r="E92" s="3118">
        <v>0.15</v>
      </c>
      <c r="F92" s="3118">
        <v>20</v>
      </c>
    </row>
    <row r="93" spans="1:6" ht="13.5">
      <c r="A93" s="3118">
        <v>21</v>
      </c>
      <c r="B93" s="3769"/>
      <c r="C93" s="3092" t="s">
        <v>2695</v>
      </c>
      <c r="D93" s="3092" t="s">
        <v>2696</v>
      </c>
      <c r="E93" s="3118">
        <v>0.15</v>
      </c>
      <c r="F93" s="3118">
        <v>20</v>
      </c>
    </row>
    <row r="94" spans="1:6" ht="13.5">
      <c r="A94" s="3118">
        <v>22</v>
      </c>
      <c r="B94" s="3769"/>
      <c r="C94" s="3092" t="s">
        <v>2697</v>
      </c>
      <c r="D94" s="3092" t="s">
        <v>2698</v>
      </c>
      <c r="E94" s="3118">
        <v>0.15</v>
      </c>
      <c r="F94" s="3118">
        <v>20</v>
      </c>
    </row>
    <row r="95" spans="1:6" ht="36">
      <c r="A95" s="3118">
        <v>23</v>
      </c>
      <c r="B95" s="3769"/>
      <c r="C95" s="3092" t="s">
        <v>2699</v>
      </c>
      <c r="D95" s="3092" t="s">
        <v>2700</v>
      </c>
      <c r="E95" s="3118">
        <v>0.15</v>
      </c>
      <c r="F95" s="3118">
        <v>20</v>
      </c>
    </row>
    <row r="96" spans="1:6" ht="13.5">
      <c r="A96" s="3118">
        <v>24</v>
      </c>
      <c r="B96" s="3769"/>
      <c r="C96" s="3092" t="s">
        <v>2701</v>
      </c>
      <c r="D96" s="3092" t="s">
        <v>2702</v>
      </c>
      <c r="E96" s="3118">
        <v>0.1</v>
      </c>
      <c r="F96" s="3118">
        <v>15</v>
      </c>
    </row>
    <row r="97" spans="1:6" ht="13.5">
      <c r="A97" s="3118">
        <v>25</v>
      </c>
      <c r="B97" s="3769"/>
      <c r="C97" s="3092" t="s">
        <v>2703</v>
      </c>
      <c r="D97" s="3092" t="s">
        <v>2704</v>
      </c>
      <c r="E97" s="3118">
        <v>0.1</v>
      </c>
      <c r="F97" s="3118">
        <v>15</v>
      </c>
    </row>
    <row r="98" spans="1:6" ht="24">
      <c r="A98" s="3118">
        <v>26</v>
      </c>
      <c r="B98" s="3769"/>
      <c r="C98" s="3092" t="s">
        <v>2705</v>
      </c>
      <c r="D98" s="3092" t="s">
        <v>2706</v>
      </c>
      <c r="E98" s="3118">
        <v>0.1</v>
      </c>
      <c r="F98" s="3118">
        <v>15</v>
      </c>
    </row>
    <row r="99" spans="1:6" ht="24">
      <c r="A99" s="3118">
        <v>27</v>
      </c>
      <c r="B99" s="3769"/>
      <c r="C99" s="3092" t="s">
        <v>2707</v>
      </c>
      <c r="D99" s="3092" t="s">
        <v>2708</v>
      </c>
      <c r="E99" s="3118">
        <v>0.1</v>
      </c>
      <c r="F99" s="3118">
        <v>15</v>
      </c>
    </row>
    <row r="100" spans="1:6" ht="13.5">
      <c r="A100" s="3118">
        <v>28</v>
      </c>
      <c r="B100" s="3769"/>
      <c r="C100" s="3092" t="s">
        <v>2709</v>
      </c>
      <c r="D100" s="3092" t="s">
        <v>2710</v>
      </c>
      <c r="E100" s="3118">
        <v>0.1</v>
      </c>
      <c r="F100" s="3118">
        <v>15</v>
      </c>
    </row>
    <row r="101" spans="1:6" ht="13.5">
      <c r="A101" s="3118">
        <v>29</v>
      </c>
      <c r="B101" s="3769"/>
      <c r="C101" s="3092" t="s">
        <v>2711</v>
      </c>
      <c r="D101" s="3092" t="s">
        <v>2712</v>
      </c>
      <c r="E101" s="3118">
        <v>0.1</v>
      </c>
      <c r="F101" s="3118">
        <v>15</v>
      </c>
    </row>
    <row r="102" spans="1:6" ht="13.5">
      <c r="A102" s="3118">
        <v>30</v>
      </c>
      <c r="B102" s="3769"/>
      <c r="C102" s="3092" t="s">
        <v>2713</v>
      </c>
      <c r="D102" s="3092" t="s">
        <v>2714</v>
      </c>
      <c r="E102" s="3118">
        <v>0.1</v>
      </c>
      <c r="F102" s="3118">
        <v>15</v>
      </c>
    </row>
    <row r="103" spans="1:6" ht="24">
      <c r="A103" s="3118">
        <v>31</v>
      </c>
      <c r="B103" s="3769"/>
      <c r="C103" s="3092" t="s">
        <v>2715</v>
      </c>
      <c r="D103" s="3092" t="s">
        <v>2716</v>
      </c>
      <c r="E103" s="3118">
        <v>0.1</v>
      </c>
      <c r="F103" s="3118">
        <v>15</v>
      </c>
    </row>
    <row r="104" spans="1:6" ht="24">
      <c r="A104" s="3118">
        <v>32</v>
      </c>
      <c r="B104" s="3769"/>
      <c r="C104" s="3092" t="s">
        <v>2717</v>
      </c>
      <c r="D104" s="3092" t="s">
        <v>2718</v>
      </c>
      <c r="E104" s="3118">
        <v>0.1</v>
      </c>
      <c r="F104" s="3118">
        <v>15</v>
      </c>
    </row>
    <row r="105" spans="1:6" ht="24">
      <c r="A105" s="3118">
        <v>33</v>
      </c>
      <c r="B105" s="3769"/>
      <c r="C105" s="3092" t="s">
        <v>2719</v>
      </c>
      <c r="D105" s="3092" t="s">
        <v>2720</v>
      </c>
      <c r="E105" s="3118">
        <v>0.1</v>
      </c>
      <c r="F105" s="3118">
        <v>15</v>
      </c>
    </row>
    <row r="106" spans="1:6" ht="24">
      <c r="A106" s="3118">
        <v>34</v>
      </c>
      <c r="B106" s="3778"/>
      <c r="C106" s="3092" t="s">
        <v>2721</v>
      </c>
      <c r="D106" s="3092" t="s">
        <v>2722</v>
      </c>
      <c r="E106" s="3118">
        <v>0.1</v>
      </c>
      <c r="F106" s="3118">
        <v>15</v>
      </c>
    </row>
    <row r="107" spans="1:6" ht="24">
      <c r="A107" s="3118">
        <v>35</v>
      </c>
      <c r="B107" s="3774" t="s">
        <v>2723</v>
      </c>
      <c r="C107" s="3118" t="s">
        <v>2724</v>
      </c>
      <c r="D107" s="3092" t="s">
        <v>2725</v>
      </c>
      <c r="E107" s="3118">
        <v>0.15</v>
      </c>
      <c r="F107" s="3118">
        <v>20</v>
      </c>
    </row>
    <row r="108" spans="1:6" ht="13.5">
      <c r="A108" s="3118">
        <v>36</v>
      </c>
      <c r="B108" s="3769"/>
      <c r="C108" s="3118" t="s">
        <v>2726</v>
      </c>
      <c r="D108" s="3092" t="s">
        <v>2727</v>
      </c>
      <c r="E108" s="3118">
        <v>0.15</v>
      </c>
      <c r="F108" s="3118">
        <v>20</v>
      </c>
    </row>
    <row r="109" spans="1:6" ht="13.5">
      <c r="A109" s="3118">
        <v>37</v>
      </c>
      <c r="B109" s="3769"/>
      <c r="C109" s="3118" t="s">
        <v>2728</v>
      </c>
      <c r="D109" s="3092" t="s">
        <v>2729</v>
      </c>
      <c r="E109" s="3118">
        <v>0.15</v>
      </c>
      <c r="F109" s="3118">
        <v>20</v>
      </c>
    </row>
    <row r="110" spans="1:6" ht="13.5">
      <c r="A110" s="3118">
        <v>38</v>
      </c>
      <c r="B110" s="3769"/>
      <c r="C110" s="3118" t="s">
        <v>2730</v>
      </c>
      <c r="D110" s="3092" t="s">
        <v>2731</v>
      </c>
      <c r="E110" s="3118">
        <v>0.1</v>
      </c>
      <c r="F110" s="3118">
        <v>15</v>
      </c>
    </row>
    <row r="111" spans="1:6" ht="24">
      <c r="A111" s="3118">
        <v>39</v>
      </c>
      <c r="B111" s="3769"/>
      <c r="C111" s="3118" t="s">
        <v>2732</v>
      </c>
      <c r="D111" s="3092" t="s">
        <v>2733</v>
      </c>
      <c r="E111" s="3118">
        <v>0.1</v>
      </c>
      <c r="F111" s="3118">
        <v>15</v>
      </c>
    </row>
    <row r="112" spans="1:6" ht="24">
      <c r="A112" s="3118">
        <v>40</v>
      </c>
      <c r="B112" s="3778"/>
      <c r="C112" s="3118" t="s">
        <v>2734</v>
      </c>
      <c r="D112" s="3092" t="s">
        <v>2735</v>
      </c>
      <c r="E112" s="3118">
        <v>0.1</v>
      </c>
      <c r="F112" s="3118">
        <v>15</v>
      </c>
    </row>
    <row r="113" spans="1:6" ht="13.5">
      <c r="A113" s="3118">
        <v>41</v>
      </c>
      <c r="B113" s="3779" t="s">
        <v>2736</v>
      </c>
      <c r="C113" s="3118" t="s">
        <v>2737</v>
      </c>
      <c r="D113" s="3092" t="s">
        <v>2738</v>
      </c>
      <c r="E113" s="3118">
        <v>0.1</v>
      </c>
      <c r="F113" s="3118">
        <v>15</v>
      </c>
    </row>
    <row r="114" spans="1:6" ht="13.5">
      <c r="A114" s="3118">
        <v>42</v>
      </c>
      <c r="B114" s="3779"/>
      <c r="C114" s="3118" t="s">
        <v>2739</v>
      </c>
      <c r="D114" s="3092" t="s">
        <v>2740</v>
      </c>
      <c r="E114" s="3118">
        <v>0.1</v>
      </c>
      <c r="F114" s="3118">
        <v>15</v>
      </c>
    </row>
    <row r="115" spans="1:6" ht="24">
      <c r="A115" s="3118">
        <v>43</v>
      </c>
      <c r="B115" s="3779"/>
      <c r="C115" s="3118" t="s">
        <v>2741</v>
      </c>
      <c r="D115" s="3092" t="s">
        <v>2742</v>
      </c>
      <c r="E115" s="3118">
        <v>0.1</v>
      </c>
      <c r="F115" s="3118">
        <v>15</v>
      </c>
    </row>
    <row r="116" spans="1:6" ht="13.5">
      <c r="A116" s="3118">
        <v>44</v>
      </c>
      <c r="B116" s="3774" t="s">
        <v>2743</v>
      </c>
      <c r="C116" s="3118" t="s">
        <v>2744</v>
      </c>
      <c r="D116" s="3092" t="s">
        <v>2745</v>
      </c>
      <c r="E116" s="3118">
        <v>0.1</v>
      </c>
      <c r="F116" s="3118">
        <v>15</v>
      </c>
    </row>
    <row r="117" spans="1:6" ht="24">
      <c r="A117" s="3118">
        <v>45</v>
      </c>
      <c r="B117" s="3778"/>
      <c r="C117" s="3092" t="s">
        <v>2746</v>
      </c>
      <c r="D117" s="3092" t="s">
        <v>2747</v>
      </c>
      <c r="E117" s="3118">
        <v>0.1</v>
      </c>
      <c r="F117" s="3118">
        <v>15</v>
      </c>
    </row>
    <row r="118" spans="1:6" ht="24">
      <c r="A118" s="3118">
        <v>46</v>
      </c>
      <c r="B118" s="3774" t="s">
        <v>2748</v>
      </c>
      <c r="C118" s="3118" t="s">
        <v>2749</v>
      </c>
      <c r="D118" s="3092" t="s">
        <v>2750</v>
      </c>
      <c r="E118" s="3118">
        <v>0.1</v>
      </c>
      <c r="F118" s="3118">
        <v>15</v>
      </c>
    </row>
    <row r="119" spans="1:6" ht="24">
      <c r="A119" s="3118">
        <v>47</v>
      </c>
      <c r="B119" s="3778"/>
      <c r="C119" s="3118" t="s">
        <v>2751</v>
      </c>
      <c r="D119" s="3092" t="s">
        <v>2752</v>
      </c>
      <c r="E119" s="3118">
        <v>0.1</v>
      </c>
      <c r="F119" s="3118">
        <v>15</v>
      </c>
    </row>
    <row r="120" spans="1:6" ht="13.5">
      <c r="A120" s="3118">
        <v>48</v>
      </c>
      <c r="B120" s="3774" t="s">
        <v>2753</v>
      </c>
      <c r="C120" s="3118" t="s">
        <v>2754</v>
      </c>
      <c r="D120" s="3092" t="s">
        <v>2755</v>
      </c>
      <c r="E120" s="3118">
        <v>0.1</v>
      </c>
      <c r="F120" s="3118">
        <v>15</v>
      </c>
    </row>
    <row r="121" spans="1:6" ht="13.5">
      <c r="A121" s="3118">
        <v>49</v>
      </c>
      <c r="B121" s="3778"/>
      <c r="C121" s="3118" t="s">
        <v>2756</v>
      </c>
      <c r="D121" s="3092" t="s">
        <v>2757</v>
      </c>
      <c r="E121" s="3118">
        <v>0.1</v>
      </c>
      <c r="F121" s="3118">
        <v>15</v>
      </c>
    </row>
    <row r="122" spans="1:6" ht="24">
      <c r="A122" s="3118">
        <v>50</v>
      </c>
      <c r="B122" s="3779" t="s">
        <v>2758</v>
      </c>
      <c r="C122" s="3118" t="s">
        <v>2759</v>
      </c>
      <c r="D122" s="3092" t="s">
        <v>2760</v>
      </c>
      <c r="E122" s="3118">
        <v>0.1</v>
      </c>
      <c r="F122" s="3118">
        <v>15</v>
      </c>
    </row>
    <row r="123" spans="1:6" ht="24">
      <c r="A123" s="3118">
        <v>51</v>
      </c>
      <c r="B123" s="3779"/>
      <c r="C123" s="3118" t="s">
        <v>2761</v>
      </c>
      <c r="D123" s="3092" t="s">
        <v>2762</v>
      </c>
      <c r="E123" s="3118">
        <v>0.1</v>
      </c>
      <c r="F123" s="3118">
        <v>15</v>
      </c>
    </row>
    <row r="124" spans="1:6" ht="24">
      <c r="A124" s="3118">
        <v>52</v>
      </c>
      <c r="B124" s="3779" t="s">
        <v>2763</v>
      </c>
      <c r="C124" s="3118" t="s">
        <v>2764</v>
      </c>
      <c r="D124" s="3092" t="s">
        <v>2765</v>
      </c>
      <c r="E124" s="3118">
        <v>0.1</v>
      </c>
      <c r="F124" s="3118">
        <v>15</v>
      </c>
    </row>
    <row r="125" spans="1:6" ht="24">
      <c r="A125" s="3118">
        <v>53</v>
      </c>
      <c r="B125" s="3779"/>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9" t="s">
        <v>2771</v>
      </c>
      <c r="C127" s="3118" t="s">
        <v>2772</v>
      </c>
      <c r="D127" s="3092" t="s">
        <v>2773</v>
      </c>
      <c r="E127" s="3118">
        <v>0.1</v>
      </c>
      <c r="F127" s="3118">
        <v>15</v>
      </c>
    </row>
    <row r="128" spans="1:6" ht="13.5">
      <c r="A128" s="3118">
        <v>56</v>
      </c>
      <c r="B128" s="3779"/>
      <c r="C128" s="3118" t="s">
        <v>2774</v>
      </c>
      <c r="D128" s="3092" t="s">
        <v>2775</v>
      </c>
      <c r="E128" s="3118">
        <v>0.1</v>
      </c>
      <c r="F128" s="3118">
        <v>15</v>
      </c>
    </row>
    <row r="129" spans="1:6" ht="24">
      <c r="A129" s="3118">
        <v>57</v>
      </c>
      <c r="B129" s="3779"/>
      <c r="C129" s="3118" t="s">
        <v>2776</v>
      </c>
      <c r="D129" s="3092" t="s">
        <v>2777</v>
      </c>
      <c r="E129" s="3118">
        <v>0.1</v>
      </c>
      <c r="F129" s="3118">
        <v>15</v>
      </c>
    </row>
    <row r="130" spans="1:6" ht="24">
      <c r="A130" s="3118">
        <v>58</v>
      </c>
      <c r="B130" s="3779" t="s">
        <v>2778</v>
      </c>
      <c r="C130" s="3118" t="s">
        <v>2779</v>
      </c>
      <c r="D130" s="3092" t="s">
        <v>2780</v>
      </c>
      <c r="E130" s="3118">
        <v>0.1</v>
      </c>
      <c r="F130" s="3118">
        <v>15</v>
      </c>
    </row>
    <row r="131" spans="1:6" ht="13.5">
      <c r="A131" s="3118">
        <v>59</v>
      </c>
      <c r="B131" s="3779"/>
      <c r="C131" s="3118" t="s">
        <v>2781</v>
      </c>
      <c r="D131" s="3092" t="s">
        <v>2782</v>
      </c>
      <c r="E131" s="3118">
        <v>0.1</v>
      </c>
      <c r="F131" s="3118">
        <v>15</v>
      </c>
    </row>
    <row r="132" spans="1:6" ht="13.5">
      <c r="A132" s="3118">
        <v>60</v>
      </c>
      <c r="B132" s="3774" t="s">
        <v>2783</v>
      </c>
      <c r="C132" s="3118" t="s">
        <v>2784</v>
      </c>
      <c r="D132" s="3092" t="s">
        <v>2785</v>
      </c>
      <c r="E132" s="3118">
        <v>0.1</v>
      </c>
      <c r="F132" s="3118">
        <v>15</v>
      </c>
    </row>
    <row r="133" spans="1:6" ht="13.5">
      <c r="A133" s="3118">
        <v>61</v>
      </c>
      <c r="B133" s="3778"/>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9" t="s">
        <v>2791</v>
      </c>
      <c r="C135" s="3118" t="s">
        <v>2792</v>
      </c>
      <c r="D135" s="3092" t="s">
        <v>2793</v>
      </c>
      <c r="E135" s="3118">
        <v>0.1</v>
      </c>
      <c r="F135" s="3118">
        <v>15</v>
      </c>
    </row>
    <row r="136" spans="1:6" ht="13.5">
      <c r="A136" s="3118">
        <v>64</v>
      </c>
      <c r="B136" s="3779"/>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0.87460000000000004</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0.83189999999999997</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183321</v>
      </c>
      <c r="C2" s="2" t="s">
        <v>106</v>
      </c>
      <c r="D2" s="199"/>
      <c r="E2" s="199"/>
      <c r="F2" s="199"/>
      <c r="G2" s="199"/>
    </row>
    <row r="3" spans="1:7" s="200" customFormat="1" ht="18" customHeight="1" thickBot="1">
      <c r="A3" s="203" t="s">
        <v>58</v>
      </c>
      <c r="B3" s="204">
        <f ca="1">ROUND(B2*10000/'数据-汇总表'!E3,0)</f>
        <v>8932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4105</v>
      </c>
      <c r="D10" s="845">
        <f>'数据-汇总表'!E6</f>
        <v>205240.05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4105</v>
      </c>
      <c r="D19" s="849">
        <f>'数据-汇总表'!E3</f>
        <v>205240.05</v>
      </c>
      <c r="E19" s="211">
        <f>'数据-取费表'!B31</f>
        <v>200</v>
      </c>
      <c r="F19" s="231"/>
      <c r="G19" s="1" t="s">
        <v>436</v>
      </c>
    </row>
    <row r="20" spans="1:7" s="214" customFormat="1" ht="13.5" customHeight="1">
      <c r="A20" s="777" t="s">
        <v>419</v>
      </c>
      <c r="B20" s="210" t="s">
        <v>77</v>
      </c>
      <c r="C20" s="232">
        <f>ROUND((C5+C19)*F20,0)</f>
        <v>494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2559</v>
      </c>
      <c r="D22" s="235">
        <f ca="1">C26</f>
        <v>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2113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421</v>
      </c>
      <c r="D24" s="238"/>
      <c r="E24" s="238"/>
      <c r="F24" s="239"/>
      <c r="G24" s="240" t="s">
        <v>82</v>
      </c>
    </row>
    <row r="25" spans="1:7" s="214" customFormat="1" ht="24">
      <c r="A25" s="780" t="s">
        <v>348</v>
      </c>
      <c r="B25" s="215" t="s">
        <v>420</v>
      </c>
      <c r="C25" s="1105">
        <f ca="1">ROUND(IF('数据-取费表'!B22&lt;=1,C20*F22*'数据-取费表'!B23/2,C20*(POWER((1+F22),'数据-取费表'!B23/2)-1)),0)</f>
        <v>25</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2823</v>
      </c>
      <c r="D27" s="235">
        <f>C29</f>
        <v>2.2000000000000001E-3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2823</v>
      </c>
      <c r="D28" s="235"/>
      <c r="E28" s="236"/>
      <c r="F28" s="246"/>
      <c r="G28" s="247"/>
    </row>
    <row r="29" spans="1:7" s="214" customFormat="1" ht="13.5" customHeight="1">
      <c r="A29" s="780" t="s">
        <v>347</v>
      </c>
      <c r="B29" s="248" t="s">
        <v>425</v>
      </c>
      <c r="C29" s="238">
        <f>ROUND(C21*F27*'数据-取费表'!B21/'数据-取费表'!B20,4)</f>
        <v>2.2000000000000001E-3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33126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114195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104142</v>
      </c>
      <c r="D34" s="217"/>
      <c r="E34" s="220"/>
      <c r="F34" s="257">
        <f>IF('数据-取费表'!B24=0,1,'数据-取费表'!N16)</f>
        <v>0.8</v>
      </c>
      <c r="G34" s="219" t="s">
        <v>89</v>
      </c>
    </row>
    <row r="35" spans="1:7" ht="13.5" customHeight="1">
      <c r="A35" s="780" t="s">
        <v>351</v>
      </c>
      <c r="B35" s="215" t="s">
        <v>33</v>
      </c>
      <c r="C35" s="220">
        <f>ROUND(C34*F35,0)</f>
        <v>5207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3284</v>
      </c>
      <c r="D37" s="217">
        <f>'数据-汇总表'!E3</f>
        <v>205240.05</v>
      </c>
      <c r="E37" s="249">
        <f>'数据-取费表'!B35</f>
        <v>200</v>
      </c>
      <c r="F37" s="259"/>
      <c r="G37" s="261" t="s">
        <v>92</v>
      </c>
    </row>
    <row r="38" spans="1:7" ht="13.5" customHeight="1">
      <c r="A38" s="780" t="s">
        <v>354</v>
      </c>
      <c r="B38" s="215" t="s">
        <v>36</v>
      </c>
      <c r="C38" s="220">
        <f>ROUND(C34*F38,0)</f>
        <v>1562</v>
      </c>
      <c r="D38" s="220"/>
      <c r="E38" s="220"/>
      <c r="F38" s="259">
        <f>'数据-取费表'!B36</f>
        <v>1.4999999999999999E-2</v>
      </c>
      <c r="G38" s="219" t="s">
        <v>90</v>
      </c>
    </row>
    <row r="39" spans="1:7" s="214" customFormat="1" ht="13.5" customHeight="1">
      <c r="A39" s="777" t="s">
        <v>338</v>
      </c>
      <c r="B39" s="210" t="s">
        <v>77</v>
      </c>
      <c r="C39" s="232">
        <f>ROUND(C33*F20,0)</f>
        <v>2284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5824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5710</v>
      </c>
      <c r="D42" s="238"/>
      <c r="E42" s="238"/>
      <c r="F42" s="239"/>
      <c r="G42" s="3644" t="s">
        <v>94</v>
      </c>
    </row>
    <row r="43" spans="1:7" ht="13.5" customHeight="1">
      <c r="A43" s="780" t="s">
        <v>347</v>
      </c>
      <c r="B43" s="215" t="s">
        <v>426</v>
      </c>
      <c r="C43" s="238">
        <f ca="1">ROUND(IF('数据-取费表'!B22&lt;=1,C39*F22*'数据-取费表'!B21/2,C39*(POWER((1+F22),'数据-取费表'!B21/2)-1)),0)</f>
        <v>114</v>
      </c>
      <c r="D43" s="238"/>
      <c r="E43" s="238"/>
      <c r="F43" s="239"/>
      <c r="G43" s="3645"/>
    </row>
    <row r="44" spans="1:7" ht="13.5" customHeight="1">
      <c r="A44" s="780" t="s">
        <v>348</v>
      </c>
      <c r="B44" s="215" t="s">
        <v>428</v>
      </c>
      <c r="C44" s="238">
        <f ca="1">ROUND(IF('数据-取费表'!B22&lt;=1,C40*F22*'数据-取费表'!B21/2,C40*(POWER((1+F22),'数据-取费表'!B21/2)-1)),4)</f>
        <v>1E-3</v>
      </c>
      <c r="D44" s="238"/>
      <c r="E44" s="238"/>
      <c r="F44" s="239"/>
      <c r="G44" s="3646"/>
    </row>
    <row r="45" spans="1:7" s="214" customFormat="1" ht="13.5" customHeight="1">
      <c r="A45" s="777" t="s">
        <v>341</v>
      </c>
      <c r="B45" s="244" t="s">
        <v>85</v>
      </c>
      <c r="C45" s="245">
        <f>C46</f>
        <v>16307</v>
      </c>
      <c r="D45" s="235">
        <f>C47</f>
        <v>2.8E-3</v>
      </c>
      <c r="E45" s="236" t="s">
        <v>102</v>
      </c>
      <c r="F45" s="246"/>
      <c r="G45" s="247" t="s">
        <v>434</v>
      </c>
    </row>
    <row r="46" spans="1:7" s="214" customFormat="1" ht="13.5" customHeight="1">
      <c r="A46" s="780" t="s">
        <v>349</v>
      </c>
      <c r="B46" s="248" t="s">
        <v>427</v>
      </c>
      <c r="C46" s="249">
        <f>ROUND((C33+C39)*F27,0)</f>
        <v>16307</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150195</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150195</v>
      </c>
      <c r="D51" s="232"/>
      <c r="E51" s="232"/>
      <c r="F51" s="264"/>
      <c r="G51" s="234" t="s">
        <v>37</v>
      </c>
    </row>
    <row r="52" spans="1:7" s="208" customFormat="1" ht="16.5" thickBot="1">
      <c r="A52" s="265" t="s">
        <v>38</v>
      </c>
      <c r="B52" s="266"/>
      <c r="C52" s="267">
        <f ca="1">C31+C51</f>
        <v>183321</v>
      </c>
      <c r="D52" s="266"/>
      <c r="E52" s="266"/>
      <c r="F52" s="266"/>
      <c r="G52" s="268"/>
    </row>
    <row r="55" spans="1:7" ht="15">
      <c r="B55" s="270" t="s">
        <v>39</v>
      </c>
      <c r="C55" s="271"/>
    </row>
    <row r="56" spans="1:7">
      <c r="B56" s="273" t="s">
        <v>40</v>
      </c>
      <c r="C56" s="274">
        <f ca="1">ROUND(C51/C52,3)</f>
        <v>0.81899999999999995</v>
      </c>
    </row>
    <row r="57" spans="1:7">
      <c r="B57" s="273" t="s">
        <v>41</v>
      </c>
      <c r="C57" s="275">
        <f ca="1">1-C56</f>
        <v>0.18100000000000005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2" t="s">
        <v>2843</v>
      </c>
      <c r="B1" s="3782"/>
      <c r="C1" s="3782"/>
      <c r="D1" s="3782"/>
      <c r="E1" s="3782"/>
      <c r="F1" s="3782"/>
      <c r="G1" s="3783"/>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0" t="s">
        <v>2870</v>
      </c>
      <c r="B3" s="3230"/>
      <c r="C3" s="3231" t="s">
        <v>2813</v>
      </c>
      <c r="D3" s="3231" t="s">
        <v>2871</v>
      </c>
      <c r="E3" s="3231" t="s">
        <v>2815</v>
      </c>
      <c r="F3" s="3231" t="s">
        <v>2872</v>
      </c>
      <c r="G3" s="3231" t="s">
        <v>2633</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1"/>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4" t="s">
        <v>3185</v>
      </c>
      <c r="B1" s="3784"/>
    </row>
    <row r="2" spans="1:7" ht="14.25" thickBot="1">
      <c r="A2" s="3255"/>
      <c r="B2" s="3255"/>
    </row>
    <row r="3" spans="1:7" ht="14.25" thickBot="1">
      <c r="A3" s="3255"/>
      <c r="B3" s="3255"/>
      <c r="C3" s="3256" t="s">
        <v>2813</v>
      </c>
      <c r="D3" s="3256" t="s">
        <v>2871</v>
      </c>
      <c r="E3" s="3256" t="s">
        <v>2815</v>
      </c>
      <c r="F3" s="3256" t="s">
        <v>2872</v>
      </c>
      <c r="G3" s="3256" t="s">
        <v>2633</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5" t="s">
        <v>3236</v>
      </c>
      <c r="B1" s="3785"/>
      <c r="C1" s="3785"/>
      <c r="D1" s="3785"/>
      <c r="E1" s="3785"/>
      <c r="F1" s="3786"/>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45037</v>
      </c>
      <c r="B1" s="3210" t="s">
        <v>2842</v>
      </c>
      <c r="C1" s="3211"/>
      <c r="D1" s="3211"/>
      <c r="E1" s="3211"/>
      <c r="F1" s="3211"/>
      <c r="G1" s="3211"/>
      <c r="H1" s="3211"/>
      <c r="I1" s="3211"/>
      <c r="J1" s="3165"/>
      <c r="K1" s="3211" t="s">
        <v>454</v>
      </c>
      <c r="L1" s="3211"/>
      <c r="M1" s="3211"/>
      <c r="N1" s="3211"/>
      <c r="O1" s="3211"/>
      <c r="P1" s="3211"/>
      <c r="Q1" s="3165"/>
      <c r="R1" s="3787" t="s">
        <v>456</v>
      </c>
      <c r="S1" s="3788"/>
      <c r="T1" s="3788"/>
      <c r="U1" s="3788"/>
      <c r="V1" s="3788"/>
      <c r="W1" s="3788"/>
      <c r="X1" s="3165"/>
      <c r="Y1" s="3787" t="s">
        <v>457</v>
      </c>
      <c r="Z1" s="3788"/>
      <c r="AA1" s="3788"/>
      <c r="AB1" s="3788"/>
      <c r="AC1" s="3788"/>
      <c r="AD1" s="3788"/>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3372</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3375</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2822</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2823</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2824</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2825</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2826</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2827</v>
      </c>
    </row>
    <row r="20" spans="1:30" s="3009" customFormat="1"/>
    <row r="21" spans="1:30" s="3209" customFormat="1" ht="12.75">
      <c r="B21" s="3210" t="s">
        <v>2828</v>
      </c>
      <c r="C21" s="3211"/>
      <c r="D21" s="3211"/>
      <c r="E21" s="3211"/>
      <c r="F21" s="3211"/>
      <c r="G21" s="3211"/>
      <c r="H21" s="3211"/>
      <c r="I21" s="3211"/>
      <c r="J21" s="3165"/>
      <c r="K21" s="3211" t="s">
        <v>2829</v>
      </c>
      <c r="L21" s="3211"/>
      <c r="M21" s="3211"/>
      <c r="N21" s="3211"/>
      <c r="O21" s="3211"/>
      <c r="P21" s="3211"/>
      <c r="Q21" s="3165"/>
      <c r="R21" s="3787" t="s">
        <v>2830</v>
      </c>
      <c r="S21" s="3788"/>
      <c r="T21" s="3788"/>
      <c r="U21" s="3788"/>
      <c r="V21" s="3788"/>
      <c r="W21" s="3788"/>
      <c r="X21" s="3165"/>
      <c r="Y21" s="3787" t="s">
        <v>2831</v>
      </c>
      <c r="Z21" s="3788"/>
      <c r="AA21" s="3788"/>
      <c r="AB21" s="3788"/>
      <c r="AC21" s="3788"/>
      <c r="AD21" s="3788"/>
    </row>
    <row r="22" spans="1:30" s="3143" customFormat="1" ht="14.25" thickBot="1">
      <c r="B22" s="3144"/>
      <c r="C22" s="3145"/>
      <c r="D22" s="3146" t="s">
        <v>2832</v>
      </c>
      <c r="E22" s="3147" t="s">
        <v>2833</v>
      </c>
      <c r="F22" s="3147" t="s">
        <v>2834</v>
      </c>
      <c r="G22" s="3147" t="s">
        <v>2835</v>
      </c>
      <c r="H22" s="3147"/>
      <c r="I22" s="3147" t="s">
        <v>2836</v>
      </c>
      <c r="J22" s="3148"/>
      <c r="K22" s="3146" t="s">
        <v>2832</v>
      </c>
      <c r="L22" s="3147" t="s">
        <v>2833</v>
      </c>
      <c r="M22" s="3147" t="s">
        <v>2834</v>
      </c>
      <c r="N22" s="3147" t="s">
        <v>2835</v>
      </c>
      <c r="O22" s="3147"/>
      <c r="P22" s="3147" t="s">
        <v>2836</v>
      </c>
      <c r="Q22" s="3148"/>
      <c r="R22" s="3146" t="s">
        <v>2832</v>
      </c>
      <c r="S22" s="3147" t="s">
        <v>2833</v>
      </c>
      <c r="T22" s="3147" t="s">
        <v>2834</v>
      </c>
      <c r="U22" s="3147" t="s">
        <v>2835</v>
      </c>
      <c r="V22" s="3147"/>
      <c r="W22" s="3147" t="s">
        <v>2836</v>
      </c>
      <c r="X22" s="3148"/>
      <c r="Y22" s="3146" t="s">
        <v>2832</v>
      </c>
      <c r="Z22" s="3147" t="s">
        <v>2833</v>
      </c>
      <c r="AA22" s="3147" t="s">
        <v>2834</v>
      </c>
      <c r="AB22" s="3147" t="s">
        <v>2835</v>
      </c>
      <c r="AC22" s="3147"/>
      <c r="AD22" s="3147" t="s">
        <v>2836</v>
      </c>
    </row>
    <row r="23" spans="1:30" s="3161" customFormat="1" ht="12.75">
      <c r="A23" s="3149" t="s">
        <v>2837</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3372</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3375</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2838</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2839</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2840</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2841</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2826</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45037</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30">
      <c r="A4" s="1505" t="str">
        <f>项目基本情况!S2</f>
        <v>北京市出让国有建设用地使用权及在建建筑物房地产</v>
      </c>
      <c r="B4" s="854">
        <f>项目基本情况!C17</f>
        <v>205240.05</v>
      </c>
      <c r="C4" s="854">
        <f>项目基本情况!C18</f>
        <v>25131.21</v>
      </c>
      <c r="D4" s="854">
        <f ca="1">结果表!D118</f>
        <v>409734</v>
      </c>
      <c r="E4" s="854">
        <f ca="1">结果表!E118</f>
        <v>19964</v>
      </c>
      <c r="F4" s="854">
        <f ca="1">结果表!F118</f>
        <v>141725</v>
      </c>
      <c r="G4" s="854">
        <f ca="1">结果表!G118</f>
        <v>6905</v>
      </c>
      <c r="H4" s="854">
        <f ca="1">结果表!H118</f>
        <v>551459</v>
      </c>
      <c r="I4" s="854">
        <f ca="1">结果表!I118</f>
        <v>26869</v>
      </c>
    </row>
    <row r="5" spans="1:9" ht="30" customHeight="1">
      <c r="A5" s="3474" t="s">
        <v>927</v>
      </c>
      <c r="B5" s="3474"/>
      <c r="C5" s="3474"/>
      <c r="D5" s="3474" t="str">
        <f ca="1">结果表!D119</f>
        <v>肆拾亿玖仟柒佰叁拾肆万元整</v>
      </c>
      <c r="E5" s="3474"/>
      <c r="F5" s="3474" t="str">
        <f ca="1">结果表!F119</f>
        <v>壹拾肆亿壹仟柒佰贰拾伍万元整</v>
      </c>
      <c r="G5" s="3474"/>
      <c r="H5" s="3474" t="str">
        <f ca="1">结果表!H119</f>
        <v>伍拾伍亿壹仟肆佰伍拾玖万元整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551459</v>
      </c>
      <c r="E8" s="3475"/>
      <c r="F8" s="3475"/>
      <c r="G8" s="3475"/>
      <c r="H8" s="3475"/>
      <c r="I8" s="3475"/>
    </row>
    <row r="9" spans="1:9" ht="15">
      <c r="A9" s="3474" t="s">
        <v>927</v>
      </c>
      <c r="B9" s="3474"/>
      <c r="C9" s="3474"/>
      <c r="D9" s="3474" t="str">
        <f ca="1">结果表!D123</f>
        <v>伍拾伍亿壹仟肆佰伍拾玖万元整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抵押净值</v>
      </c>
      <c r="B12" s="3475"/>
      <c r="C12" s="3475"/>
      <c r="D12" s="3475">
        <f ca="1">结果表!D126</f>
        <v>521772</v>
      </c>
      <c r="E12" s="3475"/>
      <c r="F12" s="3475"/>
      <c r="G12" s="3475"/>
      <c r="H12" s="3475"/>
      <c r="I12" s="3475"/>
    </row>
    <row r="13" spans="1:9" ht="15.75" thickBot="1">
      <c r="A13" s="3479" t="s">
        <v>927</v>
      </c>
      <c r="B13" s="3479"/>
      <c r="C13" s="3479"/>
      <c r="D13" s="3479" t="str">
        <f ca="1">结果表!D127</f>
        <v>伍拾贰亿壹仟柒佰柒拾贰万元整</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45037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3"/>
      <c r="E18" s="3500" t="s">
        <v>2161</v>
      </c>
      <c r="F18" s="3499"/>
      <c r="G18" s="349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收益法(商业)</vt:lpstr>
      <vt:lpstr>收益法(公寓)</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'收益法(公寓)'!Print_Area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2023-04-21T09:27:08Z</dcterms:modified>
</cp:coreProperties>
</file>