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汇总表" sheetId="77" r:id="rId16"/>
    <sheet name="结果表-商业" sheetId="69" r:id="rId17"/>
    <sheet name="基准地价-商业" sheetId="46" r:id="rId18"/>
    <sheet name="不动产收益法-商业" sheetId="15" r:id="rId19"/>
    <sheet name="剩余法-商业" sheetId="12" r:id="rId20"/>
    <sheet name="不动产比较法-商业" sheetId="33"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结果表-办公" sheetId="9" r:id="rId34"/>
    <sheet name="基准地价-办公" sheetId="72" r:id="rId35"/>
    <sheet name="不动产收益法-办公" sheetId="78" r:id="rId36"/>
    <sheet name="剩余法-办公" sheetId="75"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商业租金案例" sheetId="80" r:id="rId44"/>
    <sheet name="系统读取表" sheetId="66" r:id="rId45"/>
    <sheet name="办公案例" sheetId="73" r:id="rId46"/>
    <sheet name="商业案例" sheetId="74" r:id="rId47"/>
    <sheet name="面积拆分" sheetId="76" r:id="rId48"/>
    <sheet name="地价" sheetId="59" r:id="rId49"/>
    <sheet name="办公租金案例" sheetId="79" r:id="rId50"/>
  </sheets>
  <definedNames>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7">'不动产比较法-办公'!$A$4:$J$51</definedName>
    <definedName name="_xlnm.Print_Area" localSheetId="20">'不动产比较法-商业'!$A$3:$J$49</definedName>
    <definedName name="_xlnm.Print_Area" localSheetId="35">'不动产收益法-办公'!$A$1:$F$43</definedName>
    <definedName name="_xlnm.Print_Area" localSheetId="18">'不动产收益法-商业'!$A$1:$F$43</definedName>
    <definedName name="_xlnm.Print_Area" localSheetId="36">'剩余法-办公'!$A$1:$K$37</definedName>
    <definedName name="_xlnm.Print_Area" localSheetId="19">'剩余法-商业'!$A$1:$K$37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'基准地价-办公'!$N$19:$AG$19</definedName>
    <definedName name="季度">'基准地价-商业'!$N$19:$AG$19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H13" i="77"/>
  <c r="D5" i="9" l="1"/>
  <c r="C5"/>
  <c r="D5" i="69"/>
  <c r="Q7" i="1" l="1"/>
  <c r="AH7" l="1"/>
  <c r="AH6"/>
  <c r="Q73" i="78"/>
  <c r="Q60"/>
  <c r="D60"/>
  <c r="Q59"/>
  <c r="K59"/>
  <c r="P75" s="1"/>
  <c r="F58"/>
  <c r="Q52"/>
  <c r="P62" l="1"/>
  <c r="J50"/>
  <c r="J51" s="1"/>
  <c r="M47"/>
  <c r="L46" l="1"/>
  <c r="F33"/>
  <c r="F60" s="1"/>
  <c r="F31"/>
  <c r="F23"/>
  <c r="D24" s="1"/>
  <c r="D23" l="1"/>
  <c r="D22"/>
  <c r="F21"/>
  <c r="F20"/>
  <c r="M19"/>
  <c r="F18"/>
  <c r="M17"/>
  <c r="F17"/>
  <c r="F15"/>
  <c r="B13" i="77" l="1"/>
  <c r="M13" s="1"/>
  <c r="B12"/>
  <c r="H12" s="1"/>
  <c r="M12" l="1"/>
  <c r="B14"/>
  <c r="B1" i="76" l="1"/>
  <c r="M9"/>
  <c r="N9"/>
  <c r="F12"/>
  <c r="E12"/>
  <c r="C34" i="34" l="1"/>
  <c r="C33" i="33" l="1"/>
  <c r="F25" i="75" l="1"/>
  <c r="F24"/>
  <c r="F23"/>
  <c r="E22"/>
  <c r="E21"/>
  <c r="E19"/>
  <c r="F17"/>
  <c r="E16"/>
  <c r="F15"/>
  <c r="F14"/>
  <c r="K9"/>
  <c r="J9"/>
  <c r="I9"/>
  <c r="H9"/>
  <c r="G9"/>
  <c r="F9"/>
  <c r="E9"/>
  <c r="D9"/>
  <c r="D29" i="46"/>
  <c r="D29" i="72"/>
  <c r="F20" i="6" l="1"/>
  <c r="F19"/>
  <c r="F113" i="72"/>
  <c r="N99"/>
  <c r="N108" s="1"/>
  <c r="M99"/>
  <c r="M108" s="1"/>
  <c r="L99"/>
  <c r="L108" s="1"/>
  <c r="K99"/>
  <c r="K108" s="1"/>
  <c r="J99"/>
  <c r="J108" s="1"/>
  <c r="I99"/>
  <c r="I108" s="1"/>
  <c r="H99"/>
  <c r="H108" s="1"/>
  <c r="G99"/>
  <c r="G108" s="1"/>
  <c r="F99"/>
  <c r="F108" s="1"/>
  <c r="E99"/>
  <c r="E108" s="1"/>
  <c r="D99"/>
  <c r="D108" s="1"/>
  <c r="C99"/>
  <c r="C108" s="1"/>
  <c r="M87"/>
  <c r="N87" s="1"/>
  <c r="K87"/>
  <c r="J87" s="1"/>
  <c r="D87"/>
  <c r="N86"/>
  <c r="M86"/>
  <c r="K86"/>
  <c r="J86" s="1"/>
  <c r="D86"/>
  <c r="M85"/>
  <c r="N85" s="1"/>
  <c r="K85"/>
  <c r="J85" s="1"/>
  <c r="D85"/>
  <c r="M84"/>
  <c r="N84" s="1"/>
  <c r="K84"/>
  <c r="J84" s="1"/>
  <c r="D84"/>
  <c r="M83"/>
  <c r="N83" s="1"/>
  <c r="K83"/>
  <c r="J83" s="1"/>
  <c r="D83"/>
  <c r="B83"/>
  <c r="M82"/>
  <c r="N82" s="1"/>
  <c r="K82"/>
  <c r="J82" s="1"/>
  <c r="D82"/>
  <c r="B82"/>
  <c r="M81"/>
  <c r="N81" s="1"/>
  <c r="K81"/>
  <c r="J81" s="1"/>
  <c r="D81"/>
  <c r="M80"/>
  <c r="N80" s="1"/>
  <c r="K80"/>
  <c r="J80" s="1"/>
  <c r="F80"/>
  <c r="H86" s="1"/>
  <c r="D80"/>
  <c r="M77"/>
  <c r="N77" s="1"/>
  <c r="K77"/>
  <c r="J77" s="1"/>
  <c r="D77"/>
  <c r="M76"/>
  <c r="N76" s="1"/>
  <c r="K76"/>
  <c r="J76" s="1"/>
  <c r="D76"/>
  <c r="N75"/>
  <c r="M75"/>
  <c r="K75"/>
  <c r="J75" s="1"/>
  <c r="D75"/>
  <c r="N74"/>
  <c r="M74"/>
  <c r="K74"/>
  <c r="J74" s="1"/>
  <c r="D74"/>
  <c r="M73"/>
  <c r="N73" s="1"/>
  <c r="K73"/>
  <c r="J73" s="1"/>
  <c r="D73"/>
  <c r="M72"/>
  <c r="N72" s="1"/>
  <c r="K72"/>
  <c r="J72" s="1"/>
  <c r="D72"/>
  <c r="M71"/>
  <c r="N71" s="1"/>
  <c r="K71"/>
  <c r="J71"/>
  <c r="D71"/>
  <c r="B71"/>
  <c r="M70"/>
  <c r="N70" s="1"/>
  <c r="K70"/>
  <c r="J70" s="1"/>
  <c r="D70"/>
  <c r="M69"/>
  <c r="N69" s="1"/>
  <c r="K69"/>
  <c r="J69" s="1"/>
  <c r="F69"/>
  <c r="H75" s="1"/>
  <c r="D69"/>
  <c r="M66"/>
  <c r="N66" s="1"/>
  <c r="K66"/>
  <c r="J66" s="1"/>
  <c r="D66"/>
  <c r="M65"/>
  <c r="N65" s="1"/>
  <c r="K65"/>
  <c r="J65" s="1"/>
  <c r="D65"/>
  <c r="M64"/>
  <c r="N64" s="1"/>
  <c r="K64"/>
  <c r="J64" s="1"/>
  <c r="D64"/>
  <c r="M63"/>
  <c r="N63" s="1"/>
  <c r="K63"/>
  <c r="J63" s="1"/>
  <c r="M62"/>
  <c r="N62" s="1"/>
  <c r="K62"/>
  <c r="J62" s="1"/>
  <c r="D62"/>
  <c r="M61"/>
  <c r="N61" s="1"/>
  <c r="K61"/>
  <c r="J61" s="1"/>
  <c r="M60"/>
  <c r="N60" s="1"/>
  <c r="K60"/>
  <c r="J60" s="1"/>
  <c r="D60"/>
  <c r="B60"/>
  <c r="N59"/>
  <c r="M59"/>
  <c r="K59"/>
  <c r="J59" s="1"/>
  <c r="M58"/>
  <c r="N58" s="1"/>
  <c r="K58"/>
  <c r="J58" s="1"/>
  <c r="D58"/>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F47"/>
  <c r="H54" s="1"/>
  <c r="D47"/>
  <c r="H39"/>
  <c r="H38"/>
  <c r="H37"/>
  <c r="H36"/>
  <c r="H35"/>
  <c r="H34"/>
  <c r="H33"/>
  <c r="J20"/>
  <c r="I19"/>
  <c r="C18"/>
  <c r="F15"/>
  <c r="E15"/>
  <c r="D15"/>
  <c r="C15"/>
  <c r="Y12"/>
  <c r="Y10"/>
  <c r="C10"/>
  <c r="C11" s="1"/>
  <c r="AJ9"/>
  <c r="AJ12" s="1"/>
  <c r="AI9"/>
  <c r="AI10" s="1"/>
  <c r="AH9"/>
  <c r="AH12" s="1"/>
  <c r="AG9"/>
  <c r="AG10" s="1"/>
  <c r="AF9"/>
  <c r="AF12" s="1"/>
  <c r="AE9"/>
  <c r="AE10" s="1"/>
  <c r="AD9"/>
  <c r="AD12" s="1"/>
  <c r="AC9"/>
  <c r="AC10" s="1"/>
  <c r="AB9"/>
  <c r="AB12" s="1"/>
  <c r="AA9"/>
  <c r="AA10" s="1"/>
  <c r="Z9"/>
  <c r="Z12" s="1"/>
  <c r="C9"/>
  <c r="A7"/>
  <c r="I2"/>
  <c r="N12" s="1"/>
  <c r="G2"/>
  <c r="F39" s="1"/>
  <c r="N1"/>
  <c r="D1"/>
  <c r="C112" i="69"/>
  <c r="C109"/>
  <c r="E108"/>
  <c r="D107"/>
  <c r="C107" s="1"/>
  <c r="C105" s="1"/>
  <c r="H95"/>
  <c r="D95"/>
  <c r="C95" s="1"/>
  <c r="C94"/>
  <c r="F77"/>
  <c r="E77"/>
  <c r="P75"/>
  <c r="O75"/>
  <c r="L75"/>
  <c r="K75"/>
  <c r="O74"/>
  <c r="F74"/>
  <c r="P74" s="1"/>
  <c r="O73"/>
  <c r="I73"/>
  <c r="F73"/>
  <c r="P73" s="1"/>
  <c r="D73"/>
  <c r="N73" s="1"/>
  <c r="E66"/>
  <c r="O72" s="1"/>
  <c r="A46"/>
  <c r="C46" s="1"/>
  <c r="A45"/>
  <c r="C45" s="1"/>
  <c r="O40" s="1"/>
  <c r="K31" s="1"/>
  <c r="K32" s="1"/>
  <c r="K44"/>
  <c r="A44"/>
  <c r="C44" s="1"/>
  <c r="K43"/>
  <c r="C43"/>
  <c r="K47" s="1"/>
  <c r="K39"/>
  <c r="K29"/>
  <c r="K30" s="1"/>
  <c r="C25"/>
  <c r="C24"/>
  <c r="N69" l="1"/>
  <c r="O39"/>
  <c r="E80" i="72"/>
  <c r="B78" s="1"/>
  <c r="C12"/>
  <c r="E47"/>
  <c r="B45" s="1"/>
  <c r="D61"/>
  <c r="D63"/>
  <c r="K40" i="69"/>
  <c r="C92"/>
  <c r="D59" i="72"/>
  <c r="E69"/>
  <c r="B67" s="1"/>
  <c r="E58"/>
  <c r="B56" s="1"/>
  <c r="C24" s="1"/>
  <c r="P13" i="77" s="1"/>
  <c r="Q13" s="1"/>
  <c r="M1" i="72"/>
  <c r="H80"/>
  <c r="E9"/>
  <c r="E8"/>
  <c r="E11"/>
  <c r="E10"/>
  <c r="M2"/>
  <c r="N3"/>
  <c r="M4"/>
  <c r="N5"/>
  <c r="C6"/>
  <c r="N6"/>
  <c r="M7"/>
  <c r="M8"/>
  <c r="M9"/>
  <c r="N10"/>
  <c r="Z10"/>
  <c r="AB10"/>
  <c r="AD10"/>
  <c r="AF10"/>
  <c r="AH10"/>
  <c r="AJ10"/>
  <c r="N11"/>
  <c r="M12"/>
  <c r="AA12"/>
  <c r="AC12"/>
  <c r="AE12"/>
  <c r="AG12"/>
  <c r="AI12"/>
  <c r="E17"/>
  <c r="H17"/>
  <c r="J17"/>
  <c r="H47"/>
  <c r="H49"/>
  <c r="H50"/>
  <c r="H53"/>
  <c r="H55"/>
  <c r="H69"/>
  <c r="H71"/>
  <c r="H73"/>
  <c r="H76"/>
  <c r="H77"/>
  <c r="H82"/>
  <c r="H84"/>
  <c r="H87"/>
  <c r="D100"/>
  <c r="F100"/>
  <c r="H100"/>
  <c r="J100"/>
  <c r="L100"/>
  <c r="N100"/>
  <c r="H113"/>
  <c r="N2"/>
  <c r="M3"/>
  <c r="N4"/>
  <c r="F58" s="1"/>
  <c r="M5"/>
  <c r="M6"/>
  <c r="N7"/>
  <c r="X7"/>
  <c r="N8"/>
  <c r="N9"/>
  <c r="M10"/>
  <c r="M11"/>
  <c r="C17"/>
  <c r="G17"/>
  <c r="I17"/>
  <c r="F33"/>
  <c r="F34"/>
  <c r="F35"/>
  <c r="F36"/>
  <c r="F37"/>
  <c r="F38"/>
  <c r="H48"/>
  <c r="H51"/>
  <c r="H52"/>
  <c r="H70"/>
  <c r="H72"/>
  <c r="H74"/>
  <c r="H81"/>
  <c r="H83"/>
  <c r="H85"/>
  <c r="C100"/>
  <c r="E100"/>
  <c r="G100"/>
  <c r="I100"/>
  <c r="K100"/>
  <c r="M100"/>
  <c r="M88" i="69"/>
  <c r="N88" s="1"/>
  <c r="M87"/>
  <c r="N87" s="1"/>
  <c r="M86"/>
  <c r="N86" s="1"/>
  <c r="M85"/>
  <c r="N85" s="1"/>
  <c r="M84"/>
  <c r="N84" s="1"/>
  <c r="M83"/>
  <c r="N83" s="1"/>
  <c r="N89" s="1"/>
  <c r="O89" s="1"/>
  <c r="O41"/>
  <c r="K33"/>
  <c r="C110"/>
  <c r="K41"/>
  <c r="H65" i="72" l="1"/>
  <c r="H60"/>
  <c r="H64"/>
  <c r="H59"/>
  <c r="H63"/>
  <c r="H58"/>
  <c r="H61"/>
  <c r="H66"/>
  <c r="H62"/>
  <c r="C16"/>
  <c r="D5" s="1"/>
  <c r="C7"/>
  <c r="C5"/>
  <c r="K34" i="69"/>
  <c r="D17" l="1"/>
  <c r="C17"/>
  <c r="M4"/>
  <c r="L4"/>
  <c r="C18" l="1"/>
  <c r="D3" i="77" s="1"/>
  <c r="D18" i="69" l="1"/>
  <c r="M44" s="1"/>
  <c r="M43"/>
  <c r="L3" i="59"/>
  <c r="K3"/>
  <c r="J3"/>
  <c r="I3"/>
  <c r="AH5"/>
  <c r="AG5"/>
  <c r="AE5"/>
  <c r="AF5" s="1"/>
  <c r="AD5"/>
  <c r="Q5"/>
  <c r="Q6"/>
  <c r="P5"/>
  <c r="P6"/>
  <c r="O5"/>
  <c r="O6"/>
  <c r="N5"/>
  <c r="N6"/>
  <c r="AH6"/>
  <c r="AG6"/>
  <c r="AE6"/>
  <c r="AF6"/>
  <c r="AD6"/>
  <c r="Q7"/>
  <c r="P7"/>
  <c r="O7"/>
  <c r="N7"/>
  <c r="J50" i="15"/>
  <c r="J51" s="1"/>
  <c r="D9" i="59"/>
  <c r="AH7"/>
  <c r="AG7"/>
  <c r="AE7"/>
  <c r="AF7" s="1"/>
  <c r="AD7"/>
  <c r="AE8"/>
  <c r="AF8" s="1"/>
  <c r="AG8"/>
  <c r="AH8"/>
  <c r="AD8"/>
  <c r="Q8"/>
  <c r="P8"/>
  <c r="E8" s="1"/>
  <c r="O8"/>
  <c r="N8"/>
  <c r="N9"/>
  <c r="Q9"/>
  <c r="P9"/>
  <c r="O9"/>
  <c r="K59" i="15"/>
  <c r="P62" s="1"/>
  <c r="P75"/>
  <c r="Q74" i="44"/>
  <c r="Q61"/>
  <c r="Q60"/>
  <c r="Q53"/>
  <c r="J51"/>
  <c r="J52" s="1"/>
  <c r="M48"/>
  <c r="A16" i="55"/>
  <c r="A15"/>
  <c r="B66" i="63" s="1"/>
  <c r="A14" i="55"/>
  <c r="A11"/>
  <c r="A10"/>
  <c r="A9"/>
  <c r="A8"/>
  <c r="A6" i="54"/>
  <c r="B49" i="63" s="1"/>
  <c r="A8" i="54"/>
  <c r="A7"/>
  <c r="A28" i="51"/>
  <c r="A27"/>
  <c r="B20" i="63" s="1"/>
  <c r="Q10" i="59"/>
  <c r="O10"/>
  <c r="N11"/>
  <c r="O11"/>
  <c r="P11"/>
  <c r="Q11"/>
  <c r="N10"/>
  <c r="P10"/>
  <c r="K75" i="9"/>
  <c r="K6" i="4"/>
  <c r="O76" i="9" s="1"/>
  <c r="B22" i="31"/>
  <c r="E15" i="66"/>
  <c r="F15"/>
  <c r="E16"/>
  <c r="F16"/>
  <c r="E17"/>
  <c r="F17"/>
  <c r="E18"/>
  <c r="F18"/>
  <c r="E19"/>
  <c r="F19"/>
  <c r="E20"/>
  <c r="F20"/>
  <c r="E21"/>
  <c r="F21"/>
  <c r="E22"/>
  <c r="F22"/>
  <c r="E23"/>
  <c r="F23"/>
  <c r="B3"/>
  <c r="B8" i="59"/>
  <c r="B7" s="1"/>
  <c r="B6" s="1"/>
  <c r="B5" s="1"/>
  <c r="F8"/>
  <c r="F7" s="1"/>
  <c r="F6" s="1"/>
  <c r="F5" s="1"/>
  <c r="S8"/>
  <c r="AD3"/>
  <c r="AE3"/>
  <c r="AF3" s="1"/>
  <c r="AG3"/>
  <c r="AH3"/>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c r="AG22"/>
  <c r="AH22"/>
  <c r="AH23"/>
  <c r="AG23"/>
  <c r="AE23"/>
  <c r="AF23"/>
  <c r="AD23"/>
  <c r="AD24"/>
  <c r="AE24"/>
  <c r="AF24"/>
  <c r="AG24"/>
  <c r="AH24"/>
  <c r="S2" i="31"/>
  <c r="M2"/>
  <c r="N2"/>
  <c r="O2"/>
  <c r="P2"/>
  <c r="Q2"/>
  <c r="R2"/>
  <c r="C8" i="59"/>
  <c r="C7" s="1"/>
  <c r="C3" i="65"/>
  <c r="C1"/>
  <c r="N1" s="1"/>
  <c r="B76" i="63"/>
  <c r="M5" i="54"/>
  <c r="A23" i="51"/>
  <c r="Y12" i="46"/>
  <c r="AA9"/>
  <c r="AA10" s="1"/>
  <c r="AB9"/>
  <c r="AC9"/>
  <c r="AC10" s="1"/>
  <c r="AD9"/>
  <c r="AE9"/>
  <c r="AE10" s="1"/>
  <c r="AF9"/>
  <c r="AG9"/>
  <c r="AG10" s="1"/>
  <c r="AH9"/>
  <c r="AI9"/>
  <c r="AI10" s="1"/>
  <c r="AJ9"/>
  <c r="Z9"/>
  <c r="Z10" s="1"/>
  <c r="AJ10"/>
  <c r="AH10"/>
  <c r="AF10"/>
  <c r="AD10"/>
  <c r="AB10"/>
  <c r="Y10"/>
  <c r="AJ12"/>
  <c r="AH12"/>
  <c r="AF12"/>
  <c r="AD12"/>
  <c r="AB12"/>
  <c r="Z12"/>
  <c r="AC12"/>
  <c r="B73" i="63"/>
  <c r="A21" i="64"/>
  <c r="B75" i="63" s="1"/>
  <c r="A27" i="64"/>
  <c r="A15"/>
  <c r="A14"/>
  <c r="A11"/>
  <c r="A3"/>
  <c r="A45" i="9"/>
  <c r="K40" s="1"/>
  <c r="A44"/>
  <c r="C57" i="10"/>
  <c r="A28" i="64" s="1"/>
  <c r="C56" i="10"/>
  <c r="C55"/>
  <c r="C54"/>
  <c r="B44" i="63"/>
  <c r="B40"/>
  <c r="B30"/>
  <c r="B27"/>
  <c r="B25"/>
  <c r="A11" i="51"/>
  <c r="A26" i="64"/>
  <c r="A26" i="51"/>
  <c r="K39" i="9"/>
  <c r="B58" i="63"/>
  <c r="B53"/>
  <c r="B51"/>
  <c r="A46" i="9"/>
  <c r="K41" s="1"/>
  <c r="B8" i="63"/>
  <c r="A21" i="55"/>
  <c r="B71" i="63" s="1"/>
  <c r="A20" i="55"/>
  <c r="B69" i="63" s="1"/>
  <c r="B26"/>
  <c r="B28"/>
  <c r="B29"/>
  <c r="B31"/>
  <c r="B33"/>
  <c r="B35"/>
  <c r="B36"/>
  <c r="B37"/>
  <c r="B63"/>
  <c r="B64"/>
  <c r="B68"/>
  <c r="D51" i="10"/>
  <c r="B61" i="63"/>
  <c r="B60"/>
  <c r="B59"/>
  <c r="B10"/>
  <c r="B51" i="10"/>
  <c r="B17" i="63"/>
  <c r="A15" i="51"/>
  <c r="B12" i="63"/>
  <c r="A14" i="51"/>
  <c r="B11" i="63"/>
  <c r="A4" i="55"/>
  <c r="B57" i="63"/>
  <c r="B41"/>
  <c r="G5" i="54"/>
  <c r="B34" i="63" s="1"/>
  <c r="E5" i="54"/>
  <c r="B32" i="63" s="1"/>
  <c r="R2" i="54"/>
  <c r="B24" i="63" s="1"/>
  <c r="B19"/>
  <c r="B49" i="50"/>
  <c r="B5" i="63" s="1"/>
  <c r="B40" i="50"/>
  <c r="B3" i="63" s="1"/>
  <c r="N4"/>
  <c r="B21"/>
  <c r="B67"/>
  <c r="I19" i="46"/>
  <c r="Q12" i="59"/>
  <c r="P12"/>
  <c r="E12" s="1"/>
  <c r="O12"/>
  <c r="N12"/>
  <c r="B12" s="1"/>
  <c r="D73"/>
  <c r="F72"/>
  <c r="F71" s="1"/>
  <c r="F70" s="1"/>
  <c r="E72"/>
  <c r="E71" s="1"/>
  <c r="E70" s="1"/>
  <c r="C72"/>
  <c r="D72" s="1"/>
  <c r="B72"/>
  <c r="B71"/>
  <c r="B70" s="1"/>
  <c r="D69"/>
  <c r="F68"/>
  <c r="F67" s="1"/>
  <c r="F66" s="1"/>
  <c r="E68"/>
  <c r="E67" s="1"/>
  <c r="E66" s="1"/>
  <c r="C68"/>
  <c r="D68" s="1"/>
  <c r="B68"/>
  <c r="B67"/>
  <c r="B66" s="1"/>
  <c r="D65"/>
  <c r="Q64"/>
  <c r="P64"/>
  <c r="O64"/>
  <c r="N64"/>
  <c r="F64"/>
  <c r="V64" s="1"/>
  <c r="E64"/>
  <c r="U64" s="1"/>
  <c r="C64"/>
  <c r="T64" s="1"/>
  <c r="B64"/>
  <c r="S64" s="1"/>
  <c r="Q63"/>
  <c r="P63"/>
  <c r="O63"/>
  <c r="N63"/>
  <c r="F63"/>
  <c r="F62" s="1"/>
  <c r="B63"/>
  <c r="B62" s="1"/>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F52"/>
  <c r="V52" s="1"/>
  <c r="E52"/>
  <c r="E51" s="1"/>
  <c r="C52"/>
  <c r="B52"/>
  <c r="N52" s="1"/>
  <c r="F51"/>
  <c r="F50" s="1"/>
  <c r="D49"/>
  <c r="Q48"/>
  <c r="P48"/>
  <c r="O48"/>
  <c r="N48"/>
  <c r="Q47"/>
  <c r="P47"/>
  <c r="O47"/>
  <c r="N47"/>
  <c r="Q46"/>
  <c r="P46"/>
  <c r="O46"/>
  <c r="N46"/>
  <c r="Q45"/>
  <c r="F46" s="1"/>
  <c r="F47" s="1"/>
  <c r="F48" s="1"/>
  <c r="V48" s="1"/>
  <c r="P45"/>
  <c r="E46" s="1"/>
  <c r="E47" s="1"/>
  <c r="E48" s="1"/>
  <c r="U48" s="1"/>
  <c r="O45"/>
  <c r="C46"/>
  <c r="N45"/>
  <c r="B46"/>
  <c r="B47" s="1"/>
  <c r="B48" s="1"/>
  <c r="S48" s="1"/>
  <c r="D45"/>
  <c r="Q44"/>
  <c r="P44"/>
  <c r="O44"/>
  <c r="N44"/>
  <c r="Q43"/>
  <c r="P43"/>
  <c r="O43"/>
  <c r="N43"/>
  <c r="Q42"/>
  <c r="P42"/>
  <c r="O42"/>
  <c r="N42"/>
  <c r="Q41"/>
  <c r="F42" s="1"/>
  <c r="F43" s="1"/>
  <c r="F44" s="1"/>
  <c r="V44" s="1"/>
  <c r="P41"/>
  <c r="E42" s="1"/>
  <c r="E43" s="1"/>
  <c r="E44" s="1"/>
  <c r="U44" s="1"/>
  <c r="O41"/>
  <c r="C42" s="1"/>
  <c r="N41"/>
  <c r="B42" s="1"/>
  <c r="B43" s="1"/>
  <c r="B44" s="1"/>
  <c r="S44" s="1"/>
  <c r="D41"/>
  <c r="Q40"/>
  <c r="P40"/>
  <c r="O40"/>
  <c r="N40"/>
  <c r="Q39"/>
  <c r="P39"/>
  <c r="O39"/>
  <c r="N39"/>
  <c r="Q38"/>
  <c r="P38"/>
  <c r="O38"/>
  <c r="N38"/>
  <c r="Q37"/>
  <c r="F38" s="1"/>
  <c r="F39" s="1"/>
  <c r="F40" s="1"/>
  <c r="V40" s="1"/>
  <c r="P37"/>
  <c r="E38" s="1"/>
  <c r="E39" s="1"/>
  <c r="E40" s="1"/>
  <c r="U40" s="1"/>
  <c r="O37"/>
  <c r="C38"/>
  <c r="N37"/>
  <c r="B38"/>
  <c r="B39" s="1"/>
  <c r="B40" s="1"/>
  <c r="S40" s="1"/>
  <c r="D37"/>
  <c r="Q36"/>
  <c r="P36"/>
  <c r="O36"/>
  <c r="N36"/>
  <c r="Q35"/>
  <c r="P35"/>
  <c r="O35"/>
  <c r="N35"/>
  <c r="Q34"/>
  <c r="P34"/>
  <c r="O34"/>
  <c r="N34"/>
  <c r="Q33"/>
  <c r="F34" s="1"/>
  <c r="F35" s="1"/>
  <c r="F36" s="1"/>
  <c r="V36" s="1"/>
  <c r="P33"/>
  <c r="E34" s="1"/>
  <c r="E35" s="1"/>
  <c r="E36" s="1"/>
  <c r="U36" s="1"/>
  <c r="O33"/>
  <c r="C34" s="1"/>
  <c r="N33"/>
  <c r="B34" s="1"/>
  <c r="B35" s="1"/>
  <c r="B36" s="1"/>
  <c r="S36" s="1"/>
  <c r="D33"/>
  <c r="T32"/>
  <c r="Q32"/>
  <c r="P32"/>
  <c r="O32"/>
  <c r="N32"/>
  <c r="D32"/>
  <c r="Q31"/>
  <c r="P31"/>
  <c r="O31"/>
  <c r="N31"/>
  <c r="Q30"/>
  <c r="P30"/>
  <c r="O30"/>
  <c r="N30"/>
  <c r="Q29"/>
  <c r="F30" s="1"/>
  <c r="F31" s="1"/>
  <c r="F32" s="1"/>
  <c r="V32" s="1"/>
  <c r="P29"/>
  <c r="E30" s="1"/>
  <c r="E31" s="1"/>
  <c r="E32" s="1"/>
  <c r="U32" s="1"/>
  <c r="O29"/>
  <c r="C30" s="1"/>
  <c r="N29"/>
  <c r="B30" s="1"/>
  <c r="B31" s="1"/>
  <c r="B32" s="1"/>
  <c r="S32" s="1"/>
  <c r="D29"/>
  <c r="Q28"/>
  <c r="P28"/>
  <c r="O28"/>
  <c r="N28"/>
  <c r="Q27"/>
  <c r="P27"/>
  <c r="O27"/>
  <c r="N27"/>
  <c r="Q26"/>
  <c r="P26"/>
  <c r="O26"/>
  <c r="N26"/>
  <c r="Q25"/>
  <c r="F26" s="1"/>
  <c r="F27" s="1"/>
  <c r="F28" s="1"/>
  <c r="V28" s="1"/>
  <c r="P25"/>
  <c r="E26" s="1"/>
  <c r="E27" s="1"/>
  <c r="E28" s="1"/>
  <c r="U28" s="1"/>
  <c r="O25"/>
  <c r="C26"/>
  <c r="N25"/>
  <c r="B26"/>
  <c r="B27" s="1"/>
  <c r="B28" s="1"/>
  <c r="S28" s="1"/>
  <c r="D25"/>
  <c r="Q24"/>
  <c r="P24"/>
  <c r="O24"/>
  <c r="N24"/>
  <c r="Q23"/>
  <c r="AB23" s="1"/>
  <c r="P23"/>
  <c r="O23"/>
  <c r="Y23" s="1"/>
  <c r="Z23" s="1"/>
  <c r="N23"/>
  <c r="X23" s="1"/>
  <c r="Q22"/>
  <c r="AB22" s="1"/>
  <c r="P22"/>
  <c r="O22"/>
  <c r="N22"/>
  <c r="X22" s="1"/>
  <c r="Q21"/>
  <c r="AB21" s="1"/>
  <c r="F22"/>
  <c r="P21"/>
  <c r="E22" s="1"/>
  <c r="E23" s="1"/>
  <c r="E24" s="1"/>
  <c r="U24" s="1"/>
  <c r="O21"/>
  <c r="Y21" s="1"/>
  <c r="Z21" s="1"/>
  <c r="N21"/>
  <c r="X21" s="1"/>
  <c r="D21"/>
  <c r="Q20"/>
  <c r="AB20" s="1"/>
  <c r="P20"/>
  <c r="O20"/>
  <c r="Y20" s="1"/>
  <c r="Z20" s="1"/>
  <c r="N20"/>
  <c r="Q19"/>
  <c r="AB19" s="1"/>
  <c r="P19"/>
  <c r="O19"/>
  <c r="Y19" s="1"/>
  <c r="Z19" s="1"/>
  <c r="N19"/>
  <c r="Q18"/>
  <c r="AB18" s="1"/>
  <c r="P18"/>
  <c r="O18"/>
  <c r="Y18" s="1"/>
  <c r="Z18" s="1"/>
  <c r="N18"/>
  <c r="Q17"/>
  <c r="AB17" s="1"/>
  <c r="P17"/>
  <c r="AA17" s="1"/>
  <c r="O17"/>
  <c r="C18" s="1"/>
  <c r="N17"/>
  <c r="B18" s="1"/>
  <c r="B19" s="1"/>
  <c r="B20" s="1"/>
  <c r="S20" s="1"/>
  <c r="D17"/>
  <c r="Q16"/>
  <c r="P16"/>
  <c r="AA16" s="1"/>
  <c r="O16"/>
  <c r="N16"/>
  <c r="X16" s="1"/>
  <c r="Q15"/>
  <c r="P15"/>
  <c r="AA15" s="1"/>
  <c r="O15"/>
  <c r="N15"/>
  <c r="X15" s="1"/>
  <c r="Q14"/>
  <c r="P14"/>
  <c r="AA14" s="1"/>
  <c r="O14"/>
  <c r="N14"/>
  <c r="X14" s="1"/>
  <c r="Q13"/>
  <c r="F14"/>
  <c r="F15" s="1"/>
  <c r="F16" s="1"/>
  <c r="V16" s="1"/>
  <c r="P13"/>
  <c r="O13"/>
  <c r="Y13" s="1"/>
  <c r="Z13" s="1"/>
  <c r="N13"/>
  <c r="D13"/>
  <c r="X11"/>
  <c r="AA10"/>
  <c r="AB12"/>
  <c r="AB3"/>
  <c r="AB9"/>
  <c r="AB10"/>
  <c r="AB11"/>
  <c r="E14"/>
  <c r="E15"/>
  <c r="E16" s="1"/>
  <c r="U16" s="1"/>
  <c r="S52"/>
  <c r="AA23"/>
  <c r="F23"/>
  <c r="F24" s="1"/>
  <c r="V24" s="1"/>
  <c r="C27"/>
  <c r="D27" s="1"/>
  <c r="D26"/>
  <c r="C39"/>
  <c r="D38"/>
  <c r="C47"/>
  <c r="D46"/>
  <c r="Q51"/>
  <c r="T52"/>
  <c r="O52"/>
  <c r="D52"/>
  <c r="C51"/>
  <c r="C50" s="1"/>
  <c r="P52"/>
  <c r="U52"/>
  <c r="Q52"/>
  <c r="C55"/>
  <c r="C54" s="1"/>
  <c r="D54" s="1"/>
  <c r="E55"/>
  <c r="E54" s="1"/>
  <c r="D56"/>
  <c r="C59"/>
  <c r="D59" s="1"/>
  <c r="E59"/>
  <c r="E58" s="1"/>
  <c r="D60"/>
  <c r="C63"/>
  <c r="D63" s="1"/>
  <c r="E63"/>
  <c r="E62" s="1"/>
  <c r="D64"/>
  <c r="C67"/>
  <c r="C66" s="1"/>
  <c r="D66" s="1"/>
  <c r="C71"/>
  <c r="D71" s="1"/>
  <c r="U16" i="4"/>
  <c r="S16"/>
  <c r="Q16"/>
  <c r="O16"/>
  <c r="M16"/>
  <c r="K16"/>
  <c r="C70" i="59"/>
  <c r="D70" s="1"/>
  <c r="C62"/>
  <c r="D62" s="1"/>
  <c r="D55"/>
  <c r="O51"/>
  <c r="D67"/>
  <c r="C58"/>
  <c r="D58" s="1"/>
  <c r="C48"/>
  <c r="D48" s="1"/>
  <c r="D47"/>
  <c r="C40"/>
  <c r="D40" s="1"/>
  <c r="D39"/>
  <c r="C28"/>
  <c r="D28" s="1"/>
  <c r="T28"/>
  <c r="T40"/>
  <c r="T48"/>
  <c r="O27" i="6"/>
  <c r="N27"/>
  <c r="P26"/>
  <c r="L26"/>
  <c r="P25"/>
  <c r="L25"/>
  <c r="P24"/>
  <c r="L24"/>
  <c r="P23"/>
  <c r="L23"/>
  <c r="P22"/>
  <c r="L22"/>
  <c r="P21"/>
  <c r="L21"/>
  <c r="P20"/>
  <c r="P19"/>
  <c r="P27" s="1"/>
  <c r="Q18" i="36"/>
  <c r="Z18" s="1"/>
  <c r="C18"/>
  <c r="D66"/>
  <c r="F18"/>
  <c r="AA18" s="1"/>
  <c r="Q18" i="35"/>
  <c r="Z18" s="1"/>
  <c r="F18"/>
  <c r="AA18" s="1"/>
  <c r="C18"/>
  <c r="D68"/>
  <c r="E68"/>
  <c r="F68" s="1"/>
  <c r="G68" s="1"/>
  <c r="Q21" i="37"/>
  <c r="Z21" s="1"/>
  <c r="F21"/>
  <c r="AA21" s="1"/>
  <c r="C21"/>
  <c r="D77"/>
  <c r="E77" s="1"/>
  <c r="F77" s="1"/>
  <c r="G77" s="1"/>
  <c r="Q21" i="34"/>
  <c r="Z21" s="1"/>
  <c r="C21"/>
  <c r="D84"/>
  <c r="F21"/>
  <c r="AA21" s="1"/>
  <c r="Q21" i="33"/>
  <c r="Z21" s="1"/>
  <c r="C21"/>
  <c r="D83"/>
  <c r="E83" s="1"/>
  <c r="F83" s="1"/>
  <c r="G83" s="1"/>
  <c r="Q21" i="21"/>
  <c r="Z21" s="1"/>
  <c r="D83"/>
  <c r="E83" s="1"/>
  <c r="F83" s="1"/>
  <c r="G83" s="1"/>
  <c r="F21"/>
  <c r="AA21" s="1"/>
  <c r="C21"/>
  <c r="Q27" i="40"/>
  <c r="Z27" s="1"/>
  <c r="D96"/>
  <c r="E96"/>
  <c r="F27"/>
  <c r="AA27"/>
  <c r="Q31" i="39"/>
  <c r="Z31" s="1"/>
  <c r="D105"/>
  <c r="E105" s="1"/>
  <c r="F105" s="1"/>
  <c r="F31"/>
  <c r="AA31" s="1"/>
  <c r="G20" i="20"/>
  <c r="B85" i="72" s="1"/>
  <c r="C22" i="20"/>
  <c r="C31" i="39" s="1"/>
  <c r="S18" i="36"/>
  <c r="S18" i="35"/>
  <c r="S21" i="37"/>
  <c r="S27" i="40"/>
  <c r="C27"/>
  <c r="B74" i="46"/>
  <c r="E66" i="36"/>
  <c r="H18" i="35"/>
  <c r="J18"/>
  <c r="H21" i="37"/>
  <c r="J21"/>
  <c r="E84" i="34"/>
  <c r="F84" s="1"/>
  <c r="G84" s="1"/>
  <c r="J21"/>
  <c r="H21"/>
  <c r="F21" i="33"/>
  <c r="H21"/>
  <c r="J21"/>
  <c r="H21" i="21"/>
  <c r="J21"/>
  <c r="F96" i="40"/>
  <c r="H27"/>
  <c r="H31" i="39"/>
  <c r="F23" i="15"/>
  <c r="D22" s="1"/>
  <c r="G17" i="11"/>
  <c r="F15" i="15"/>
  <c r="F17"/>
  <c r="F18"/>
  <c r="F20"/>
  <c r="F21"/>
  <c r="F33"/>
  <c r="F60" s="1"/>
  <c r="K2" i="4"/>
  <c r="A2" i="69" s="1"/>
  <c r="K1" i="4"/>
  <c r="B1"/>
  <c r="B37" i="50" s="1"/>
  <c r="B2" i="63" s="1"/>
  <c r="C31" i="57"/>
  <c r="C32"/>
  <c r="I23"/>
  <c r="D20"/>
  <c r="I19"/>
  <c r="I18"/>
  <c r="I17"/>
  <c r="I20" s="1"/>
  <c r="E15"/>
  <c r="I14"/>
  <c r="I13"/>
  <c r="I12"/>
  <c r="I9"/>
  <c r="I8"/>
  <c r="I7"/>
  <c r="I6"/>
  <c r="I5"/>
  <c r="I4"/>
  <c r="I3"/>
  <c r="I10" s="1"/>
  <c r="C30"/>
  <c r="E26"/>
  <c r="C112" i="9"/>
  <c r="C7" i="11"/>
  <c r="F80" i="46"/>
  <c r="H81" s="1"/>
  <c r="D1"/>
  <c r="F113"/>
  <c r="D99"/>
  <c r="D108" s="1"/>
  <c r="E99"/>
  <c r="E108" s="1"/>
  <c r="F99"/>
  <c r="F100" s="1"/>
  <c r="G99"/>
  <c r="G108" s="1"/>
  <c r="H99"/>
  <c r="H108" s="1"/>
  <c r="I99"/>
  <c r="I108" s="1"/>
  <c r="J99"/>
  <c r="J108" s="1"/>
  <c r="K99"/>
  <c r="K108" s="1"/>
  <c r="L99"/>
  <c r="L108" s="1"/>
  <c r="M99"/>
  <c r="M108"/>
  <c r="N99"/>
  <c r="N108"/>
  <c r="C99"/>
  <c r="C108"/>
  <c r="K100"/>
  <c r="L100"/>
  <c r="K58"/>
  <c r="J58" s="1"/>
  <c r="D58"/>
  <c r="K50"/>
  <c r="D83"/>
  <c r="D77"/>
  <c r="B83"/>
  <c r="B82"/>
  <c r="B71"/>
  <c r="B60"/>
  <c r="B49"/>
  <c r="M87"/>
  <c r="N87" s="1"/>
  <c r="K87"/>
  <c r="J87" s="1"/>
  <c r="D87"/>
  <c r="M86"/>
  <c r="D86"/>
  <c r="K86"/>
  <c r="J86" s="1"/>
  <c r="M85"/>
  <c r="N85" s="1"/>
  <c r="D85"/>
  <c r="K85"/>
  <c r="J85" s="1"/>
  <c r="M84"/>
  <c r="N84" s="1"/>
  <c r="K84"/>
  <c r="J84" s="1"/>
  <c r="M83"/>
  <c r="N83" s="1"/>
  <c r="K83"/>
  <c r="J83" s="1"/>
  <c r="M82"/>
  <c r="N82" s="1"/>
  <c r="K82"/>
  <c r="J82" s="1"/>
  <c r="D82"/>
  <c r="M81"/>
  <c r="N81" s="1"/>
  <c r="K81"/>
  <c r="J81" s="1"/>
  <c r="M80"/>
  <c r="N80" s="1"/>
  <c r="K80"/>
  <c r="J80" s="1"/>
  <c r="M77"/>
  <c r="N77" s="1"/>
  <c r="K77"/>
  <c r="J77" s="1"/>
  <c r="M76"/>
  <c r="N76" s="1"/>
  <c r="D76"/>
  <c r="K76"/>
  <c r="J76" s="1"/>
  <c r="M75"/>
  <c r="N75" s="1"/>
  <c r="K75"/>
  <c r="J75" s="1"/>
  <c r="M74"/>
  <c r="N74" s="1"/>
  <c r="K74"/>
  <c r="J74" s="1"/>
  <c r="D74"/>
  <c r="M73"/>
  <c r="D73"/>
  <c r="K73"/>
  <c r="J73"/>
  <c r="M72"/>
  <c r="N72"/>
  <c r="K72"/>
  <c r="J72"/>
  <c r="D72"/>
  <c r="M71"/>
  <c r="N71" s="1"/>
  <c r="K71"/>
  <c r="J71" s="1"/>
  <c r="M70"/>
  <c r="N70" s="1"/>
  <c r="K70"/>
  <c r="J70" s="1"/>
  <c r="D70"/>
  <c r="M69"/>
  <c r="N69"/>
  <c r="K69"/>
  <c r="J69"/>
  <c r="M66"/>
  <c r="N66"/>
  <c r="K66"/>
  <c r="M65"/>
  <c r="N65" s="1"/>
  <c r="K65"/>
  <c r="J65" s="1"/>
  <c r="D65"/>
  <c r="M64"/>
  <c r="N64"/>
  <c r="K64"/>
  <c r="J64"/>
  <c r="D64"/>
  <c r="M63"/>
  <c r="N63" s="1"/>
  <c r="K63"/>
  <c r="J63" s="1"/>
  <c r="D63"/>
  <c r="M62"/>
  <c r="N62"/>
  <c r="K62"/>
  <c r="J62"/>
  <c r="D62"/>
  <c r="M61"/>
  <c r="N61" s="1"/>
  <c r="K61"/>
  <c r="J61" s="1"/>
  <c r="D61"/>
  <c r="M60"/>
  <c r="N60"/>
  <c r="K60"/>
  <c r="J60"/>
  <c r="D60"/>
  <c r="M59"/>
  <c r="N59" s="1"/>
  <c r="K59"/>
  <c r="J59" s="1"/>
  <c r="D59"/>
  <c r="M58"/>
  <c r="N58"/>
  <c r="M55"/>
  <c r="N55" s="1"/>
  <c r="K55"/>
  <c r="M54"/>
  <c r="N54" s="1"/>
  <c r="K54"/>
  <c r="J54" s="1"/>
  <c r="M53"/>
  <c r="N53" s="1"/>
  <c r="K53"/>
  <c r="J53" s="1"/>
  <c r="M52"/>
  <c r="N52" s="1"/>
  <c r="K52"/>
  <c r="M51"/>
  <c r="N51" s="1"/>
  <c r="K51"/>
  <c r="M50"/>
  <c r="N50" s="1"/>
  <c r="M49"/>
  <c r="N49" s="1"/>
  <c r="K49"/>
  <c r="J49" s="1"/>
  <c r="M48"/>
  <c r="N48" s="1"/>
  <c r="K48"/>
  <c r="J48" s="1"/>
  <c r="D48"/>
  <c r="M47"/>
  <c r="N47" s="1"/>
  <c r="K47"/>
  <c r="J47" s="1"/>
  <c r="J51"/>
  <c r="N86"/>
  <c r="D80"/>
  <c r="D81"/>
  <c r="N73"/>
  <c r="D75"/>
  <c r="J66"/>
  <c r="D66"/>
  <c r="J50"/>
  <c r="D50"/>
  <c r="D54"/>
  <c r="Q73" i="15"/>
  <c r="Q60"/>
  <c r="Q59"/>
  <c r="Q52"/>
  <c r="AE9" i="1"/>
  <c r="AE10"/>
  <c r="AE11"/>
  <c r="AE12"/>
  <c r="AE13"/>
  <c r="M47" i="15"/>
  <c r="AG8" i="1"/>
  <c r="AG9"/>
  <c r="AG10"/>
  <c r="AG11"/>
  <c r="AG12"/>
  <c r="AG13"/>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1" i="1"/>
  <c r="F12"/>
  <c r="AP12" s="1"/>
  <c r="F13"/>
  <c r="AP13" s="1"/>
  <c r="D11"/>
  <c r="D12"/>
  <c r="D13"/>
  <c r="D6"/>
  <c r="D7"/>
  <c r="D8"/>
  <c r="D9"/>
  <c r="F10"/>
  <c r="AP10" s="1"/>
  <c r="D10"/>
  <c r="B2"/>
  <c r="C42"/>
  <c r="C25" i="75" s="1"/>
  <c r="A12" i="1"/>
  <c r="R12"/>
  <c r="A13"/>
  <c r="B13"/>
  <c r="E13" s="1"/>
  <c r="A7"/>
  <c r="A8"/>
  <c r="A9"/>
  <c r="A10"/>
  <c r="R10" s="1"/>
  <c r="A11"/>
  <c r="A6"/>
  <c r="T4"/>
  <c r="K12"/>
  <c r="M12" s="1"/>
  <c r="K13"/>
  <c r="M13" s="1"/>
  <c r="G79" i="36"/>
  <c r="G85" i="35"/>
  <c r="G97" i="37"/>
  <c r="G110" i="34"/>
  <c r="G109" i="33"/>
  <c r="L2" i="31"/>
  <c r="K2"/>
  <c r="J2"/>
  <c r="I2"/>
  <c r="H2"/>
  <c r="G2"/>
  <c r="F2"/>
  <c r="E2"/>
  <c r="D2"/>
  <c r="C2"/>
  <c r="D60" i="15"/>
  <c r="G19" i="20"/>
  <c r="B84" i="72"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L104" s="1"/>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BA102" s="1"/>
  <c r="AX102"/>
  <c r="AW102"/>
  <c r="AV102"/>
  <c r="AC102"/>
  <c r="H102"/>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G91" s="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BA86" s="1"/>
  <c r="AX86"/>
  <c r="AW86"/>
  <c r="AV86"/>
  <c r="AC86"/>
  <c r="H86"/>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s="1"/>
  <c r="AX84"/>
  <c r="AW84"/>
  <c r="AV84"/>
  <c r="AC84"/>
  <c r="H84"/>
  <c r="G84" s="1"/>
  <c r="BT83"/>
  <c r="BS83"/>
  <c r="BR83"/>
  <c r="BQ83"/>
  <c r="BP83"/>
  <c r="BO83"/>
  <c r="BN83"/>
  <c r="BM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s="1"/>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X78"/>
  <c r="AW78"/>
  <c r="AV78"/>
  <c r="AC78"/>
  <c r="H78"/>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s="1"/>
  <c r="AX73"/>
  <c r="AW73"/>
  <c r="AV73"/>
  <c r="AC73"/>
  <c r="H73"/>
  <c r="G73" s="1"/>
  <c r="BT72"/>
  <c r="BS72"/>
  <c r="BR72"/>
  <c r="BQ72"/>
  <c r="BP72"/>
  <c r="BO72"/>
  <c r="BN72"/>
  <c r="BM72"/>
  <c r="BL72" s="1"/>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s="1"/>
  <c r="AX69"/>
  <c r="AW69"/>
  <c r="AV69"/>
  <c r="AC69"/>
  <c r="H69"/>
  <c r="G69" s="1"/>
  <c r="BT68"/>
  <c r="BS68"/>
  <c r="BR68"/>
  <c r="BQ68"/>
  <c r="BP68"/>
  <c r="BO68"/>
  <c r="BN68"/>
  <c r="BM68"/>
  <c r="BL68" s="1"/>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L66" s="1"/>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s="1"/>
  <c r="AX64"/>
  <c r="AW64"/>
  <c r="AV64"/>
  <c r="AC64"/>
  <c r="H64"/>
  <c r="G64" s="1"/>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s="1"/>
  <c r="AX61"/>
  <c r="AW61"/>
  <c r="AV61"/>
  <c r="AC61"/>
  <c r="H61"/>
  <c r="G61" s="1"/>
  <c r="BT60"/>
  <c r="BS60"/>
  <c r="BR60"/>
  <c r="BQ60"/>
  <c r="BP60"/>
  <c r="BO60"/>
  <c r="BN60"/>
  <c r="BM60"/>
  <c r="BL60" s="1"/>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s="1"/>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BA51" s="1"/>
  <c r="AX51"/>
  <c r="AW51"/>
  <c r="AV51"/>
  <c r="AC51"/>
  <c r="H5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s="1"/>
  <c r="AZ44" s="1"/>
  <c r="AX44"/>
  <c r="AW44"/>
  <c r="AV44"/>
  <c r="AC44"/>
  <c r="H44"/>
  <c r="G44" s="1"/>
  <c r="BT43"/>
  <c r="BS43"/>
  <c r="BR43"/>
  <c r="BQ43"/>
  <c r="BP43"/>
  <c r="BO43"/>
  <c r="BN43"/>
  <c r="BM43"/>
  <c r="BL43" s="1"/>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X40"/>
  <c r="AW40"/>
  <c r="AV40"/>
  <c r="AC40"/>
  <c r="H40"/>
  <c r="BT39"/>
  <c r="BS39"/>
  <c r="BR39"/>
  <c r="BQ39"/>
  <c r="BP39"/>
  <c r="BO39"/>
  <c r="BN39"/>
  <c r="BM39"/>
  <c r="BL39"/>
  <c r="BK39"/>
  <c r="BJ39"/>
  <c r="BI39"/>
  <c r="BH39"/>
  <c r="BG39"/>
  <c r="BF39"/>
  <c r="BE39"/>
  <c r="BD39"/>
  <c r="BC39"/>
  <c r="BB39"/>
  <c r="BA39" s="1"/>
  <c r="AX39"/>
  <c r="AW39"/>
  <c r="AV39"/>
  <c r="AC39"/>
  <c r="H39"/>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s="1"/>
  <c r="AZ37" s="1"/>
  <c r="AX37"/>
  <c r="AW37"/>
  <c r="AV37"/>
  <c r="AC37"/>
  <c r="H37"/>
  <c r="G37" s="1"/>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s="1"/>
  <c r="AZ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s="1"/>
  <c r="AZ28" s="1"/>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s="1"/>
  <c r="AX25"/>
  <c r="AW25"/>
  <c r="AV25"/>
  <c r="AC25"/>
  <c r="H25"/>
  <c r="G25" s="1"/>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c r="AX21"/>
  <c r="AW21"/>
  <c r="AV21"/>
  <c r="AC21"/>
  <c r="H2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s="1"/>
  <c r="AX203"/>
  <c r="AW203"/>
  <c r="AV203"/>
  <c r="AC203"/>
  <c r="H203"/>
  <c r="G203" s="1"/>
  <c r="BT202"/>
  <c r="BS202"/>
  <c r="BR202"/>
  <c r="BQ202"/>
  <c r="BP202"/>
  <c r="BO202"/>
  <c r="BN202"/>
  <c r="BM202"/>
  <c r="BK202"/>
  <c r="BJ202"/>
  <c r="BI202"/>
  <c r="BH202"/>
  <c r="BG202"/>
  <c r="BF202"/>
  <c r="BE202"/>
  <c r="BD202"/>
  <c r="BC202"/>
  <c r="BB202"/>
  <c r="BA202"/>
  <c r="AX202"/>
  <c r="AW202"/>
  <c r="AV202"/>
  <c r="AC202"/>
  <c r="H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BA199" s="1"/>
  <c r="AX199"/>
  <c r="AW199"/>
  <c r="AV199"/>
  <c r="AC199"/>
  <c r="H199"/>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c r="BK195"/>
  <c r="BJ195"/>
  <c r="BI195"/>
  <c r="BH195"/>
  <c r="BG195"/>
  <c r="BF195"/>
  <c r="BE195"/>
  <c r="BD195"/>
  <c r="BC195"/>
  <c r="BB195"/>
  <c r="BA195" s="1"/>
  <c r="AX195"/>
  <c r="AW195"/>
  <c r="AV195"/>
  <c r="AC195"/>
  <c r="H195"/>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L191"/>
  <c r="BK191"/>
  <c r="BJ191"/>
  <c r="BI191"/>
  <c r="BH191"/>
  <c r="BG191"/>
  <c r="BF191"/>
  <c r="BE191"/>
  <c r="BD191"/>
  <c r="BC191"/>
  <c r="BB191"/>
  <c r="BA191" s="1"/>
  <c r="AX191"/>
  <c r="AW191"/>
  <c r="AV191"/>
  <c r="AC191"/>
  <c r="H19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L187"/>
  <c r="BK187"/>
  <c r="BJ187"/>
  <c r="BI187"/>
  <c r="BH187"/>
  <c r="BG187"/>
  <c r="BF187"/>
  <c r="BE187"/>
  <c r="BD187"/>
  <c r="BC187"/>
  <c r="BB187"/>
  <c r="BA187" s="1"/>
  <c r="AX187"/>
  <c r="AW187"/>
  <c r="AV187"/>
  <c r="AC187"/>
  <c r="H187"/>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s="1"/>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X292"/>
  <c r="AW292"/>
  <c r="AV292"/>
  <c r="AC292"/>
  <c r="H292"/>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s="1"/>
  <c r="AZ285" s="1"/>
  <c r="AX285"/>
  <c r="AW285"/>
  <c r="AV285"/>
  <c r="AC285"/>
  <c r="H285"/>
  <c r="G285" s="1"/>
  <c r="BT284"/>
  <c r="BS284"/>
  <c r="BR284"/>
  <c r="BQ284"/>
  <c r="BP284"/>
  <c r="BO284"/>
  <c r="BN284"/>
  <c r="BM284"/>
  <c r="BL284" s="1"/>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K280"/>
  <c r="BJ280"/>
  <c r="BI280"/>
  <c r="BH280"/>
  <c r="BG280"/>
  <c r="BF280"/>
  <c r="BE280"/>
  <c r="BD280"/>
  <c r="BC280"/>
  <c r="BB280"/>
  <c r="BA280"/>
  <c r="AX280"/>
  <c r="AW280"/>
  <c r="AV280"/>
  <c r="AC280"/>
  <c r="H280"/>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X276"/>
  <c r="AW276"/>
  <c r="AV276"/>
  <c r="AC276"/>
  <c r="H276"/>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s="1"/>
  <c r="AX274"/>
  <c r="AW274"/>
  <c r="AV274"/>
  <c r="AC274"/>
  <c r="H274"/>
  <c r="G274" s="1"/>
  <c r="BT273"/>
  <c r="BS273"/>
  <c r="BR273"/>
  <c r="BQ273"/>
  <c r="BP273"/>
  <c r="BO273"/>
  <c r="BN273"/>
  <c r="BM273"/>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s="1"/>
  <c r="AX272"/>
  <c r="AW272"/>
  <c r="AV272"/>
  <c r="AC272"/>
  <c r="H272"/>
  <c r="G272" s="1"/>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Z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X260"/>
  <c r="AW260"/>
  <c r="AV260"/>
  <c r="AC260"/>
  <c r="H260"/>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BA252" s="1"/>
  <c r="AX252"/>
  <c r="AW252"/>
  <c r="AV252"/>
  <c r="AC252"/>
  <c r="H252"/>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s="1"/>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X236"/>
  <c r="AW236"/>
  <c r="AV236"/>
  <c r="AC236"/>
  <c r="H236"/>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s="1"/>
  <c r="AX479"/>
  <c r="AW479"/>
  <c r="AV479"/>
  <c r="AC479"/>
  <c r="H479"/>
  <c r="G479" s="1"/>
  <c r="BT478"/>
  <c r="BS478"/>
  <c r="BR478"/>
  <c r="BQ478"/>
  <c r="BP478"/>
  <c r="BO478"/>
  <c r="BN478"/>
  <c r="BM478"/>
  <c r="BK478"/>
  <c r="BJ478"/>
  <c r="BI478"/>
  <c r="BH478"/>
  <c r="BG478"/>
  <c r="BF478"/>
  <c r="BE478"/>
  <c r="BD478"/>
  <c r="BC478"/>
  <c r="BB478"/>
  <c r="BA478"/>
  <c r="AX478"/>
  <c r="AW478"/>
  <c r="AV478"/>
  <c r="AC478"/>
  <c r="H478"/>
  <c r="BT477"/>
  <c r="BS477"/>
  <c r="BR477"/>
  <c r="BQ477"/>
  <c r="BP477"/>
  <c r="BO477"/>
  <c r="BN477"/>
  <c r="BM477"/>
  <c r="BL477"/>
  <c r="BK477"/>
  <c r="BJ477"/>
  <c r="BI477"/>
  <c r="BH477"/>
  <c r="BG477"/>
  <c r="BF477"/>
  <c r="BE477"/>
  <c r="BD477"/>
  <c r="BC477"/>
  <c r="BB477"/>
  <c r="BA477" s="1"/>
  <c r="AX477"/>
  <c r="AW477"/>
  <c r="AV477"/>
  <c r="AC477"/>
  <c r="H477"/>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s="1"/>
  <c r="AX475"/>
  <c r="AW475"/>
  <c r="AV475"/>
  <c r="AC475"/>
  <c r="H475"/>
  <c r="G475" s="1"/>
  <c r="BT474"/>
  <c r="BS474"/>
  <c r="BR474"/>
  <c r="BQ474"/>
  <c r="BP474"/>
  <c r="BO474"/>
  <c r="BN474"/>
  <c r="BM474"/>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s="1"/>
  <c r="AX470"/>
  <c r="AW470"/>
  <c r="AV470"/>
  <c r="AC470"/>
  <c r="H470"/>
  <c r="G470" s="1"/>
  <c r="BT469"/>
  <c r="BS469"/>
  <c r="BR469"/>
  <c r="BQ469"/>
  <c r="BP469"/>
  <c r="BO469"/>
  <c r="BN469"/>
  <c r="BM469"/>
  <c r="BL469" s="1"/>
  <c r="BK469"/>
  <c r="BJ469"/>
  <c r="BI469"/>
  <c r="BH469"/>
  <c r="BG469"/>
  <c r="BF469"/>
  <c r="BE469"/>
  <c r="BD469"/>
  <c r="BC469"/>
  <c r="BB469"/>
  <c r="AX469"/>
  <c r="AW469"/>
  <c r="AV469"/>
  <c r="AC469"/>
  <c r="H469"/>
  <c r="G469" s="1"/>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s="1"/>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s="1"/>
  <c r="AX463"/>
  <c r="AW463"/>
  <c r="AV463"/>
  <c r="AC463"/>
  <c r="H463"/>
  <c r="G463" s="1"/>
  <c r="BT462"/>
  <c r="BS462"/>
  <c r="BR462"/>
  <c r="BQ462"/>
  <c r="BP462"/>
  <c r="BO462"/>
  <c r="BN462"/>
  <c r="BM462"/>
  <c r="BK462"/>
  <c r="BJ462"/>
  <c r="BI462"/>
  <c r="BH462"/>
  <c r="BG462"/>
  <c r="BF462"/>
  <c r="BE462"/>
  <c r="BD462"/>
  <c r="BC462"/>
  <c r="BB462"/>
  <c r="BA462"/>
  <c r="AX462"/>
  <c r="AW462"/>
  <c r="AV462"/>
  <c r="AC462"/>
  <c r="H462"/>
  <c r="BT461"/>
  <c r="BS461"/>
  <c r="BR461"/>
  <c r="BQ461"/>
  <c r="BP461"/>
  <c r="BO461"/>
  <c r="BN461"/>
  <c r="BM461"/>
  <c r="BL461"/>
  <c r="BK461"/>
  <c r="BJ461"/>
  <c r="BI461"/>
  <c r="BH461"/>
  <c r="BG461"/>
  <c r="BF461"/>
  <c r="BE461"/>
  <c r="BD461"/>
  <c r="BC461"/>
  <c r="BB461"/>
  <c r="BA461" s="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L454" s="1"/>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BA447"/>
  <c r="AX447"/>
  <c r="AW447"/>
  <c r="AV447"/>
  <c r="AC447"/>
  <c r="H447"/>
  <c r="BT446"/>
  <c r="BS446"/>
  <c r="BR446"/>
  <c r="BQ446"/>
  <c r="BP446"/>
  <c r="BO446"/>
  <c r="BN446"/>
  <c r="BM446"/>
  <c r="BL446"/>
  <c r="BK446"/>
  <c r="BJ446"/>
  <c r="BI446"/>
  <c r="BH446"/>
  <c r="BG446"/>
  <c r="BF446"/>
  <c r="BE446"/>
  <c r="BD446"/>
  <c r="BC446"/>
  <c r="BB446"/>
  <c r="BA446" s="1"/>
  <c r="AX446"/>
  <c r="AW446"/>
  <c r="AV446"/>
  <c r="AC446"/>
  <c r="H446"/>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G444" s="1"/>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s="1"/>
  <c r="AZ439" s="1"/>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Z433" s="1"/>
  <c r="AX433"/>
  <c r="AW433"/>
  <c r="AV433"/>
  <c r="AC433"/>
  <c r="H433"/>
  <c r="G433" s="1"/>
  <c r="BT432"/>
  <c r="BS432"/>
  <c r="BR432"/>
  <c r="BQ432"/>
  <c r="BP432"/>
  <c r="BO432"/>
  <c r="BN432"/>
  <c r="BM432"/>
  <c r="BK432"/>
  <c r="BJ432"/>
  <c r="BI432"/>
  <c r="BH432"/>
  <c r="BG432"/>
  <c r="BF432"/>
  <c r="BE432"/>
  <c r="BD432"/>
  <c r="BC432"/>
  <c r="BB432"/>
  <c r="BA432"/>
  <c r="AX432"/>
  <c r="AW432"/>
  <c r="AV432"/>
  <c r="AC432"/>
  <c r="H432"/>
  <c r="BT431"/>
  <c r="BS431"/>
  <c r="BR431"/>
  <c r="BQ431"/>
  <c r="BP431"/>
  <c r="BO431"/>
  <c r="BN431"/>
  <c r="BM431"/>
  <c r="BL431"/>
  <c r="BK431"/>
  <c r="BJ431"/>
  <c r="BI431"/>
  <c r="BH431"/>
  <c r="BG431"/>
  <c r="BF431"/>
  <c r="BE431"/>
  <c r="BD431"/>
  <c r="BC431"/>
  <c r="BB431"/>
  <c r="BA431" s="1"/>
  <c r="AX431"/>
  <c r="AW431"/>
  <c r="AV431"/>
  <c r="AC431"/>
  <c r="H431"/>
  <c r="BT430"/>
  <c r="BS430"/>
  <c r="BR430"/>
  <c r="BQ430"/>
  <c r="BP430"/>
  <c r="BO430"/>
  <c r="BN430"/>
  <c r="BM430"/>
  <c r="BL430"/>
  <c r="BK430"/>
  <c r="BJ430"/>
  <c r="BI430"/>
  <c r="BH430"/>
  <c r="BG430"/>
  <c r="BF430"/>
  <c r="BE430"/>
  <c r="BD430"/>
  <c r="BC430"/>
  <c r="BB430"/>
  <c r="BA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Z428" s="1"/>
  <c r="AX428"/>
  <c r="AW428"/>
  <c r="AV428"/>
  <c r="AC428"/>
  <c r="H428"/>
  <c r="G428" s="1"/>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M426"/>
  <c r="BL426"/>
  <c r="BK426"/>
  <c r="BJ426"/>
  <c r="BI426"/>
  <c r="BH426"/>
  <c r="BG426"/>
  <c r="BF426"/>
  <c r="BE426"/>
  <c r="BD426"/>
  <c r="BC426"/>
  <c r="BB426"/>
  <c r="BA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s="1"/>
  <c r="AZ424" s="1"/>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L422" s="1"/>
  <c r="BK422"/>
  <c r="BJ422"/>
  <c r="BI422"/>
  <c r="BH422"/>
  <c r="BG422"/>
  <c r="BF422"/>
  <c r="BE422"/>
  <c r="BD422"/>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BA420"/>
  <c r="AX420"/>
  <c r="AW420"/>
  <c r="AV420"/>
  <c r="AC420"/>
  <c r="H420"/>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s="1"/>
  <c r="AZ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s="1"/>
  <c r="AZ413" s="1"/>
  <c r="AX413"/>
  <c r="AW413"/>
  <c r="AV413"/>
  <c r="AC413"/>
  <c r="H413"/>
  <c r="G413" s="1"/>
  <c r="BT412"/>
  <c r="BS412"/>
  <c r="BR412"/>
  <c r="BQ412"/>
  <c r="BP412"/>
  <c r="BO412"/>
  <c r="BN412"/>
  <c r="BM412"/>
  <c r="BL412" s="1"/>
  <c r="BK412"/>
  <c r="BJ412"/>
  <c r="BI412"/>
  <c r="BH412"/>
  <c r="BG412"/>
  <c r="BF412"/>
  <c r="BE412"/>
  <c r="BD412"/>
  <c r="BC412"/>
  <c r="BB412"/>
  <c r="AX412"/>
  <c r="AW412"/>
  <c r="AV412"/>
  <c r="AC412"/>
  <c r="H412"/>
  <c r="G412" s="1"/>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Z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Z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BT401"/>
  <c r="BS401"/>
  <c r="BR401"/>
  <c r="BQ401"/>
  <c r="BP401"/>
  <c r="BO401"/>
  <c r="BN401"/>
  <c r="BM401"/>
  <c r="BL401"/>
  <c r="BK401"/>
  <c r="BJ401"/>
  <c r="BI401"/>
  <c r="BH401"/>
  <c r="BG401"/>
  <c r="BF401"/>
  <c r="BE401"/>
  <c r="BD401"/>
  <c r="BC401"/>
  <c r="BB401"/>
  <c r="BA401" s="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s="1"/>
  <c r="AZ397" s="1"/>
  <c r="AX397"/>
  <c r="AW397"/>
  <c r="AV397"/>
  <c r="AC397"/>
  <c r="H397"/>
  <c r="G397" s="1"/>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L394"/>
  <c r="BK394"/>
  <c r="BJ394"/>
  <c r="BI394"/>
  <c r="BH394"/>
  <c r="BG394"/>
  <c r="BF394"/>
  <c r="BE394"/>
  <c r="BD394"/>
  <c r="BC394"/>
  <c r="BB394"/>
  <c r="BA394" s="1"/>
  <c r="AX394"/>
  <c r="AW394"/>
  <c r="AV394"/>
  <c r="AC394"/>
  <c r="H394"/>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s="1"/>
  <c r="AZ392" s="1"/>
  <c r="AX392"/>
  <c r="AW392"/>
  <c r="AV392"/>
  <c r="AC392"/>
  <c r="H392"/>
  <c r="G392" s="1"/>
  <c r="BT391"/>
  <c r="BS391"/>
  <c r="BR391"/>
  <c r="BQ391"/>
  <c r="BP391"/>
  <c r="BO391"/>
  <c r="BN391"/>
  <c r="BM391"/>
  <c r="BL391" s="1"/>
  <c r="BK391"/>
  <c r="BJ391"/>
  <c r="BI391"/>
  <c r="BH391"/>
  <c r="BG391"/>
  <c r="BF391"/>
  <c r="BE391"/>
  <c r="BD391"/>
  <c r="BC391"/>
  <c r="BB391"/>
  <c r="AX391"/>
  <c r="AW391"/>
  <c r="AV391"/>
  <c r="AC391"/>
  <c r="H391"/>
  <c r="G391" s="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c r="C66" s="1"/>
  <c r="H65"/>
  <c r="I65" s="1"/>
  <c r="C65" s="1"/>
  <c r="H64"/>
  <c r="I64" s="1"/>
  <c r="C64" s="1"/>
  <c r="H62"/>
  <c r="I62" s="1"/>
  <c r="C62" s="1"/>
  <c r="H61"/>
  <c r="I61"/>
  <c r="C61" s="1"/>
  <c r="H60"/>
  <c r="I60" s="1"/>
  <c r="C60" s="1"/>
  <c r="L25" i="4"/>
  <c r="C109" i="9"/>
  <c r="C145" i="21"/>
  <c r="K139" s="1"/>
  <c r="J142"/>
  <c r="J140"/>
  <c r="M87"/>
  <c r="L87"/>
  <c r="K87"/>
  <c r="J87"/>
  <c r="I87"/>
  <c r="H87"/>
  <c r="G87"/>
  <c r="F87"/>
  <c r="E87"/>
  <c r="D87"/>
  <c r="G2" i="46"/>
  <c r="X7" s="1"/>
  <c r="G19"/>
  <c r="R26" i="31"/>
  <c r="S26" s="1"/>
  <c r="R27"/>
  <c r="R28"/>
  <c r="S28" s="1"/>
  <c r="R29"/>
  <c r="R30"/>
  <c r="S30"/>
  <c r="R31"/>
  <c r="R32"/>
  <c r="S32" s="1"/>
  <c r="R33"/>
  <c r="R34"/>
  <c r="S34" s="1"/>
  <c r="R35"/>
  <c r="R36"/>
  <c r="S36" s="1"/>
  <c r="R37"/>
  <c r="R38"/>
  <c r="S38"/>
  <c r="R39"/>
  <c r="R40"/>
  <c r="S40" s="1"/>
  <c r="R41"/>
  <c r="R42"/>
  <c r="S42" s="1"/>
  <c r="R43"/>
  <c r="R44"/>
  <c r="S44" s="1"/>
  <c r="R45"/>
  <c r="R46"/>
  <c r="S46"/>
  <c r="R47"/>
  <c r="R48"/>
  <c r="S48" s="1"/>
  <c r="R49"/>
  <c r="R50"/>
  <c r="S50" s="1"/>
  <c r="R51"/>
  <c r="R52"/>
  <c r="S52" s="1"/>
  <c r="R53"/>
  <c r="R54"/>
  <c r="S54"/>
  <c r="R55"/>
  <c r="R56"/>
  <c r="S56" s="1"/>
  <c r="R57"/>
  <c r="R58"/>
  <c r="S58" s="1"/>
  <c r="R59"/>
  <c r="R60"/>
  <c r="S60" s="1"/>
  <c r="R61"/>
  <c r="R62"/>
  <c r="S62"/>
  <c r="R63"/>
  <c r="R64"/>
  <c r="S64" s="1"/>
  <c r="R65"/>
  <c r="R66"/>
  <c r="S66" s="1"/>
  <c r="R67"/>
  <c r="R68"/>
  <c r="S68" s="1"/>
  <c r="R69"/>
  <c r="R70"/>
  <c r="S70"/>
  <c r="R71"/>
  <c r="R72"/>
  <c r="S72" s="1"/>
  <c r="R73"/>
  <c r="R74"/>
  <c r="S74" s="1"/>
  <c r="R75"/>
  <c r="R76"/>
  <c r="S76" s="1"/>
  <c r="R77"/>
  <c r="R78"/>
  <c r="S78"/>
  <c r="R79"/>
  <c r="R80"/>
  <c r="S80" s="1"/>
  <c r="R81"/>
  <c r="R82"/>
  <c r="S82" s="1"/>
  <c r="R83"/>
  <c r="R84"/>
  <c r="S84" s="1"/>
  <c r="R85"/>
  <c r="R86"/>
  <c r="S86"/>
  <c r="R87"/>
  <c r="R88"/>
  <c r="S88" s="1"/>
  <c r="R89"/>
  <c r="R90"/>
  <c r="S90" s="1"/>
  <c r="R91"/>
  <c r="R92"/>
  <c r="S92" s="1"/>
  <c r="R93"/>
  <c r="R94"/>
  <c r="S94"/>
  <c r="R95"/>
  <c r="R96"/>
  <c r="S96" s="1"/>
  <c r="R97"/>
  <c r="R98"/>
  <c r="S98" s="1"/>
  <c r="R99"/>
  <c r="R100"/>
  <c r="S100" s="1"/>
  <c r="R101"/>
  <c r="R102"/>
  <c r="S102"/>
  <c r="R103"/>
  <c r="R104"/>
  <c r="S104" s="1"/>
  <c r="R105"/>
  <c r="R106"/>
  <c r="S106" s="1"/>
  <c r="R107"/>
  <c r="R108"/>
  <c r="S108" s="1"/>
  <c r="R109"/>
  <c r="R110"/>
  <c r="S110"/>
  <c r="R111"/>
  <c r="R112"/>
  <c r="S112" s="1"/>
  <c r="R113"/>
  <c r="R114"/>
  <c r="S114" s="1"/>
  <c r="R115"/>
  <c r="R116"/>
  <c r="S116" s="1"/>
  <c r="R117"/>
  <c r="R118"/>
  <c r="S118"/>
  <c r="R119"/>
  <c r="R120"/>
  <c r="S120" s="1"/>
  <c r="R121"/>
  <c r="R122"/>
  <c r="S122" s="1"/>
  <c r="R123"/>
  <c r="R124"/>
  <c r="S124" s="1"/>
  <c r="R125"/>
  <c r="R126"/>
  <c r="S126"/>
  <c r="R127"/>
  <c r="R128"/>
  <c r="S128" s="1"/>
  <c r="R129"/>
  <c r="R130"/>
  <c r="S130" s="1"/>
  <c r="R131"/>
  <c r="R132"/>
  <c r="S132" s="1"/>
  <c r="R133"/>
  <c r="R134"/>
  <c r="S134"/>
  <c r="R135"/>
  <c r="R136"/>
  <c r="S136" s="1"/>
  <c r="R137"/>
  <c r="R138"/>
  <c r="S138" s="1"/>
  <c r="R139"/>
  <c r="R140"/>
  <c r="S140" s="1"/>
  <c r="R141"/>
  <c r="R142"/>
  <c r="S142"/>
  <c r="R143"/>
  <c r="R144"/>
  <c r="S144" s="1"/>
  <c r="R145"/>
  <c r="R146"/>
  <c r="S146" s="1"/>
  <c r="R147"/>
  <c r="R148"/>
  <c r="S148" s="1"/>
  <c r="R149"/>
  <c r="R150"/>
  <c r="S150"/>
  <c r="R151"/>
  <c r="R152"/>
  <c r="S152" s="1"/>
  <c r="R153"/>
  <c r="R154"/>
  <c r="S154" s="1"/>
  <c r="R155"/>
  <c r="R156"/>
  <c r="S156" s="1"/>
  <c r="R157"/>
  <c r="R158"/>
  <c r="S158"/>
  <c r="R159"/>
  <c r="R160"/>
  <c r="S160" s="1"/>
  <c r="R161"/>
  <c r="R162"/>
  <c r="S162" s="1"/>
  <c r="R163"/>
  <c r="R164"/>
  <c r="S164" s="1"/>
  <c r="R165"/>
  <c r="R166"/>
  <c r="S166"/>
  <c r="R167"/>
  <c r="R168"/>
  <c r="S168" s="1"/>
  <c r="R169"/>
  <c r="R170"/>
  <c r="S170" s="1"/>
  <c r="R171"/>
  <c r="R172"/>
  <c r="S172" s="1"/>
  <c r="R173"/>
  <c r="R174"/>
  <c r="S174"/>
  <c r="R175"/>
  <c r="R176"/>
  <c r="S176" s="1"/>
  <c r="R177"/>
  <c r="R178"/>
  <c r="S178" s="1"/>
  <c r="R179"/>
  <c r="R180"/>
  <c r="S180" s="1"/>
  <c r="R181"/>
  <c r="R182"/>
  <c r="S182"/>
  <c r="R183"/>
  <c r="R184"/>
  <c r="S184" s="1"/>
  <c r="R185"/>
  <c r="R186"/>
  <c r="S186" s="1"/>
  <c r="R187"/>
  <c r="R188"/>
  <c r="S188" s="1"/>
  <c r="R189"/>
  <c r="R190"/>
  <c r="S190"/>
  <c r="R191"/>
  <c r="R192"/>
  <c r="S192" s="1"/>
  <c r="R193"/>
  <c r="R194"/>
  <c r="S194" s="1"/>
  <c r="R195"/>
  <c r="R196"/>
  <c r="S196" s="1"/>
  <c r="R197"/>
  <c r="R198"/>
  <c r="S198"/>
  <c r="R199"/>
  <c r="R200"/>
  <c r="S200" s="1"/>
  <c r="R201"/>
  <c r="R202"/>
  <c r="S202" s="1"/>
  <c r="R203"/>
  <c r="R204"/>
  <c r="S204" s="1"/>
  <c r="R205"/>
  <c r="R206"/>
  <c r="S206"/>
  <c r="R207"/>
  <c r="R208"/>
  <c r="S208" s="1"/>
  <c r="R209"/>
  <c r="R210"/>
  <c r="S210" s="1"/>
  <c r="R211"/>
  <c r="R212"/>
  <c r="S212" s="1"/>
  <c r="R213"/>
  <c r="R214"/>
  <c r="S214"/>
  <c r="R215"/>
  <c r="R216"/>
  <c r="S216" s="1"/>
  <c r="R217"/>
  <c r="R218"/>
  <c r="S218" s="1"/>
  <c r="R219"/>
  <c r="R220"/>
  <c r="S220" s="1"/>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c r="R433"/>
  <c r="R434"/>
  <c r="S434" s="1"/>
  <c r="R435"/>
  <c r="R436"/>
  <c r="S436" s="1"/>
  <c r="R437"/>
  <c r="R438"/>
  <c r="S438" s="1"/>
  <c r="R439"/>
  <c r="R440"/>
  <c r="S440"/>
  <c r="R441"/>
  <c r="R442"/>
  <c r="S442" s="1"/>
  <c r="R443"/>
  <c r="R444"/>
  <c r="S444" s="1"/>
  <c r="R445"/>
  <c r="R446"/>
  <c r="S446" s="1"/>
  <c r="R447"/>
  <c r="R448"/>
  <c r="S448"/>
  <c r="R449"/>
  <c r="R450"/>
  <c r="S450" s="1"/>
  <c r="R451"/>
  <c r="R452"/>
  <c r="S452" s="1"/>
  <c r="R453"/>
  <c r="R454"/>
  <c r="S454" s="1"/>
  <c r="R455"/>
  <c r="R456"/>
  <c r="S456"/>
  <c r="R457"/>
  <c r="R458"/>
  <c r="S458" s="1"/>
  <c r="R459"/>
  <c r="R460"/>
  <c r="S460" s="1"/>
  <c r="R461"/>
  <c r="R462"/>
  <c r="S462" s="1"/>
  <c r="R463"/>
  <c r="R464"/>
  <c r="S464"/>
  <c r="R465"/>
  <c r="R466"/>
  <c r="S466" s="1"/>
  <c r="R467"/>
  <c r="R468"/>
  <c r="S468" s="1"/>
  <c r="R469"/>
  <c r="R470"/>
  <c r="S470" s="1"/>
  <c r="R471"/>
  <c r="R472"/>
  <c r="S472"/>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c r="R503"/>
  <c r="R504"/>
  <c r="S504" s="1"/>
  <c r="R505"/>
  <c r="R506"/>
  <c r="S506" s="1"/>
  <c r="R507"/>
  <c r="R508"/>
  <c r="S508" s="1"/>
  <c r="R509"/>
  <c r="R510"/>
  <c r="S510"/>
  <c r="R511"/>
  <c r="R512"/>
  <c r="S512" s="1"/>
  <c r="R513"/>
  <c r="R514"/>
  <c r="S514" s="1"/>
  <c r="R515"/>
  <c r="R516"/>
  <c r="S516" s="1"/>
  <c r="R517"/>
  <c r="R518"/>
  <c r="S518"/>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s="1"/>
  <c r="B55" i="63" s="1"/>
  <c r="N3" i="54"/>
  <c r="B42" i="63"/>
  <c r="A2" i="9"/>
  <c r="T16" i="4"/>
  <c r="D14"/>
  <c r="M4" i="9"/>
  <c r="L4"/>
  <c r="G36" i="4"/>
  <c r="K2" i="54"/>
  <c r="B23" i="63" s="1"/>
  <c r="A3" i="51"/>
  <c r="R41" i="4"/>
  <c r="Q41"/>
  <c r="P41"/>
  <c r="O41"/>
  <c r="N41"/>
  <c r="M41"/>
  <c r="L41"/>
  <c r="K40"/>
  <c r="T40" s="1"/>
  <c r="F23"/>
  <c r="D19"/>
  <c r="I19"/>
  <c r="H19"/>
  <c r="G19"/>
  <c r="F9" i="1"/>
  <c r="F19" i="4"/>
  <c r="F7" i="1" s="1"/>
  <c r="I20" i="72" s="1"/>
  <c r="F8" i="1"/>
  <c r="E19" i="4"/>
  <c r="B2" i="52"/>
  <c r="B15" s="1"/>
  <c r="I2" i="46"/>
  <c r="N12"/>
  <c r="A7"/>
  <c r="F41" i="4"/>
  <c r="J52" i="40" s="1"/>
  <c r="H61" i="49"/>
  <c r="H39" i="46"/>
  <c r="H38"/>
  <c r="H37"/>
  <c r="H36"/>
  <c r="H35"/>
  <c r="H34"/>
  <c r="H33"/>
  <c r="J20"/>
  <c r="C18"/>
  <c r="F15"/>
  <c r="E15"/>
  <c r="D15"/>
  <c r="C15"/>
  <c r="C10"/>
  <c r="C11" s="1"/>
  <c r="C9"/>
  <c r="E19" i="6"/>
  <c r="E32"/>
  <c r="E20"/>
  <c r="C9" i="75" s="1"/>
  <c r="E21" i="6"/>
  <c r="K8" i="1"/>
  <c r="M8" s="1"/>
  <c r="E22" i="6"/>
  <c r="E23"/>
  <c r="E24"/>
  <c r="E25"/>
  <c r="E26"/>
  <c r="D38" i="4"/>
  <c r="C39"/>
  <c r="C35"/>
  <c r="E16" i="12"/>
  <c r="F14"/>
  <c r="F15"/>
  <c r="F17"/>
  <c r="E19"/>
  <c r="E21"/>
  <c r="E22"/>
  <c r="F23"/>
  <c r="F24"/>
  <c r="F25"/>
  <c r="C43" i="9"/>
  <c r="K47" s="1"/>
  <c r="B65" i="63"/>
  <c r="I73" i="9"/>
  <c r="F73"/>
  <c r="P73" s="1"/>
  <c r="D107"/>
  <c r="C107" s="1"/>
  <c r="C105" s="1"/>
  <c r="C110" s="1"/>
  <c r="C17"/>
  <c r="D17"/>
  <c r="C18" s="1"/>
  <c r="D5" i="77" s="1"/>
  <c r="F17" i="44"/>
  <c r="F19"/>
  <c r="F22"/>
  <c r="F25"/>
  <c r="D25" s="1"/>
  <c r="F23"/>
  <c r="E16" i="43"/>
  <c r="F14"/>
  <c r="F15"/>
  <c r="F17"/>
  <c r="F19"/>
  <c r="F20"/>
  <c r="F10" i="40"/>
  <c r="AA10"/>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c r="L75"/>
  <c r="F77"/>
  <c r="P75" s="1"/>
  <c r="O74"/>
  <c r="O73"/>
  <c r="E66"/>
  <c r="O72" s="1"/>
  <c r="F74"/>
  <c r="P74" s="1"/>
  <c r="N67"/>
  <c r="K44"/>
  <c r="K43"/>
  <c r="B31" i="1"/>
  <c r="E10" i="11" s="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3" i="1"/>
  <c r="G12"/>
  <c r="D95" i="9"/>
  <c r="C95"/>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G10"/>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AC31" s="1"/>
  <c r="H31"/>
  <c r="F31"/>
  <c r="AA31" s="1"/>
  <c r="D87"/>
  <c r="E87" s="1"/>
  <c r="F87"/>
  <c r="G87" s="1"/>
  <c r="H87" s="1"/>
  <c r="I87" s="1"/>
  <c r="J87" s="1"/>
  <c r="K87" s="1"/>
  <c r="L87" s="1"/>
  <c r="M87" s="1"/>
  <c r="H34" i="37"/>
  <c r="AB34" s="1"/>
  <c r="D101"/>
  <c r="F34"/>
  <c r="D99"/>
  <c r="E99" s="1"/>
  <c r="H42" i="34"/>
  <c r="J42"/>
  <c r="F42"/>
  <c r="J38"/>
  <c r="D114"/>
  <c r="F38"/>
  <c r="D112"/>
  <c r="E112" s="1"/>
  <c r="F112" s="1"/>
  <c r="F40" i="33"/>
  <c r="AA40" s="1"/>
  <c r="J41"/>
  <c r="AC41" s="1"/>
  <c r="D113"/>
  <c r="F37" s="1"/>
  <c r="AA37" s="1"/>
  <c r="D111"/>
  <c r="E111" s="1"/>
  <c r="F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J17"/>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s="1"/>
  <c r="G126" s="1"/>
  <c r="H126" s="1"/>
  <c r="I126" s="1"/>
  <c r="J126" s="1"/>
  <c r="K126" s="1"/>
  <c r="L126" s="1"/>
  <c r="M126" s="1"/>
  <c r="D122"/>
  <c r="E122"/>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J26" s="1"/>
  <c r="D79"/>
  <c r="E79" s="1"/>
  <c r="F79" s="1"/>
  <c r="G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c r="Q28"/>
  <c r="Z28"/>
  <c r="Q27"/>
  <c r="Z27"/>
  <c r="Q26"/>
  <c r="Z26"/>
  <c r="H26"/>
  <c r="AB26" s="1"/>
  <c r="F26"/>
  <c r="AA26" s="1"/>
  <c r="Q25"/>
  <c r="Z25" s="1"/>
  <c r="J25"/>
  <c r="W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s="1"/>
  <c r="W24" s="1"/>
  <c r="B71"/>
  <c r="J23" s="1"/>
  <c r="D70"/>
  <c r="H22"/>
  <c r="AB22" s="1"/>
  <c r="D68"/>
  <c r="E68" s="1"/>
  <c r="F68" s="1"/>
  <c r="G68" s="1"/>
  <c r="D64"/>
  <c r="E64" s="1"/>
  <c r="F64" s="1"/>
  <c r="G64" s="1"/>
  <c r="J16"/>
  <c r="D62"/>
  <c r="E62" s="1"/>
  <c r="B59"/>
  <c r="B57"/>
  <c r="J12"/>
  <c r="B55"/>
  <c r="F54"/>
  <c r="G54" s="1"/>
  <c r="H54" s="1"/>
  <c r="I54" s="1"/>
  <c r="J10"/>
  <c r="W10" s="1"/>
  <c r="C51"/>
  <c r="J9" s="1"/>
  <c r="AC9" s="1"/>
  <c r="P37"/>
  <c r="P36"/>
  <c r="V35"/>
  <c r="T35"/>
  <c r="R35"/>
  <c r="P35"/>
  <c r="Q34"/>
  <c r="Z34"/>
  <c r="Q33"/>
  <c r="Z33"/>
  <c r="Q32"/>
  <c r="Z32"/>
  <c r="Q31"/>
  <c r="Z31"/>
  <c r="Q30"/>
  <c r="Z30"/>
  <c r="Q29"/>
  <c r="Z29"/>
  <c r="Q28"/>
  <c r="Z28"/>
  <c r="J28"/>
  <c r="AC28"/>
  <c r="Q27"/>
  <c r="Z27"/>
  <c r="Q26"/>
  <c r="Z26"/>
  <c r="H26"/>
  <c r="AB26"/>
  <c r="Q25"/>
  <c r="Z25"/>
  <c r="Q24"/>
  <c r="Z24"/>
  <c r="Q23"/>
  <c r="Z23"/>
  <c r="Q22"/>
  <c r="Z22"/>
  <c r="J22"/>
  <c r="AC22"/>
  <c r="Q20"/>
  <c r="Z20"/>
  <c r="Q16"/>
  <c r="Z16"/>
  <c r="Q14"/>
  <c r="Z14"/>
  <c r="Q13"/>
  <c r="Z13"/>
  <c r="Q12"/>
  <c r="Z12"/>
  <c r="H12"/>
  <c r="U12"/>
  <c r="Q11"/>
  <c r="Z11"/>
  <c r="Q10"/>
  <c r="Z10"/>
  <c r="F10"/>
  <c r="AA10"/>
  <c r="Q9"/>
  <c r="Z9"/>
  <c r="J8"/>
  <c r="AC8"/>
  <c r="H8"/>
  <c r="U8"/>
  <c r="F8"/>
  <c r="AA8"/>
  <c r="C7"/>
  <c r="D89" i="35"/>
  <c r="H30"/>
  <c r="U30"/>
  <c r="M90"/>
  <c r="L90"/>
  <c r="K90"/>
  <c r="J90"/>
  <c r="I90"/>
  <c r="H90"/>
  <c r="G90"/>
  <c r="F90"/>
  <c r="E90"/>
  <c r="D90"/>
  <c r="C90"/>
  <c r="F85"/>
  <c r="E85"/>
  <c r="D85"/>
  <c r="C85"/>
  <c r="J27"/>
  <c r="W27" s="1"/>
  <c r="H27"/>
  <c r="U27" s="1"/>
  <c r="F27"/>
  <c r="AA27" s="1"/>
  <c r="J22"/>
  <c r="AC22" s="1"/>
  <c r="B101"/>
  <c r="H36" s="1"/>
  <c r="B99"/>
  <c r="B97"/>
  <c r="J34" s="1"/>
  <c r="AC34" s="1"/>
  <c r="B77"/>
  <c r="B75"/>
  <c r="J24" s="1"/>
  <c r="B73"/>
  <c r="J23" s="1"/>
  <c r="B57"/>
  <c r="B61"/>
  <c r="B59"/>
  <c r="H12"/>
  <c r="B131" i="34"/>
  <c r="B129"/>
  <c r="B127"/>
  <c r="B99"/>
  <c r="B97"/>
  <c r="B95"/>
  <c r="B93"/>
  <c r="B75"/>
  <c r="B73"/>
  <c r="B71"/>
  <c r="B130" i="33"/>
  <c r="B128"/>
  <c r="H45" s="1"/>
  <c r="U45" s="1"/>
  <c r="B126"/>
  <c r="B98"/>
  <c r="F31" s="1"/>
  <c r="AA31" s="1"/>
  <c r="B96"/>
  <c r="B94"/>
  <c r="B74"/>
  <c r="B72"/>
  <c r="B70"/>
  <c r="J12" s="1"/>
  <c r="W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c r="Q35"/>
  <c r="Z35"/>
  <c r="Q34"/>
  <c r="Z34"/>
  <c r="Q33"/>
  <c r="Z33"/>
  <c r="Q32"/>
  <c r="Z32"/>
  <c r="H32"/>
  <c r="AB32"/>
  <c r="F32"/>
  <c r="AA32"/>
  <c r="Q31"/>
  <c r="Z31"/>
  <c r="AB31"/>
  <c r="Q30"/>
  <c r="Z30" s="1"/>
  <c r="Q29"/>
  <c r="Z29" s="1"/>
  <c r="Q28"/>
  <c r="Z28" s="1"/>
  <c r="J28"/>
  <c r="H28"/>
  <c r="F28"/>
  <c r="AA28" s="1"/>
  <c r="Q27"/>
  <c r="Z27" s="1"/>
  <c r="Q26"/>
  <c r="Z26" s="1"/>
  <c r="Q25"/>
  <c r="Z25" s="1"/>
  <c r="Q24"/>
  <c r="Z24" s="1"/>
  <c r="Q23"/>
  <c r="Z23" s="1"/>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D118"/>
  <c r="E118"/>
  <c r="D116"/>
  <c r="E116" s="1"/>
  <c r="F116"/>
  <c r="G116" s="1"/>
  <c r="H116" s="1"/>
  <c r="I116" s="1"/>
  <c r="J116" s="1"/>
  <c r="K116" s="1"/>
  <c r="L116" s="1"/>
  <c r="M116" s="1"/>
  <c r="F110"/>
  <c r="E110"/>
  <c r="D110"/>
  <c r="C110"/>
  <c r="D109"/>
  <c r="E109" s="1"/>
  <c r="F109" s="1"/>
  <c r="G109" s="1"/>
  <c r="H109" s="1"/>
  <c r="I109" s="1"/>
  <c r="J109" s="1"/>
  <c r="K109" s="1"/>
  <c r="L109" s="1"/>
  <c r="M109" s="1"/>
  <c r="J36"/>
  <c r="W36" s="1"/>
  <c r="D107"/>
  <c r="E107"/>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J27" s="1"/>
  <c r="D88"/>
  <c r="E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Q42"/>
  <c r="Z42" s="1"/>
  <c r="Q41"/>
  <c r="Z41" s="1"/>
  <c r="Q40"/>
  <c r="Z40" s="1"/>
  <c r="F40"/>
  <c r="S40" s="1"/>
  <c r="Q39"/>
  <c r="Z39" s="1"/>
  <c r="J39"/>
  <c r="AC39" s="1"/>
  <c r="H39"/>
  <c r="U39" s="1"/>
  <c r="F39"/>
  <c r="S39" s="1"/>
  <c r="Q38"/>
  <c r="Z38" s="1"/>
  <c r="Q37"/>
  <c r="Z37" s="1"/>
  <c r="Q36"/>
  <c r="Z36" s="1"/>
  <c r="Q35"/>
  <c r="Z35" s="1"/>
  <c r="Q34"/>
  <c r="Z34" s="1"/>
  <c r="J34"/>
  <c r="H34"/>
  <c r="AB34" s="1"/>
  <c r="F34"/>
  <c r="AA34" s="1"/>
  <c r="Q33"/>
  <c r="Z33" s="1"/>
  <c r="Q32"/>
  <c r="Z32" s="1"/>
  <c r="Q31"/>
  <c r="Z31"/>
  <c r="Q30"/>
  <c r="Z30"/>
  <c r="Q29"/>
  <c r="Z29"/>
  <c r="Q28"/>
  <c r="Z28" s="1"/>
  <c r="Q27"/>
  <c r="Z27" s="1"/>
  <c r="Q25"/>
  <c r="Z25"/>
  <c r="Q23"/>
  <c r="Z23"/>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H27" s="1"/>
  <c r="U27" s="1"/>
  <c r="D87"/>
  <c r="E87" s="1"/>
  <c r="F87" s="1"/>
  <c r="G87" s="1"/>
  <c r="H87" s="1"/>
  <c r="I87" s="1"/>
  <c r="J87" s="1"/>
  <c r="K87" s="1"/>
  <c r="L87" s="1"/>
  <c r="M87" s="1"/>
  <c r="D85"/>
  <c r="E85" s="1"/>
  <c r="D81"/>
  <c r="E81" s="1"/>
  <c r="F81" s="1"/>
  <c r="G81" s="1"/>
  <c r="D79"/>
  <c r="E79" s="1"/>
  <c r="F79" s="1"/>
  <c r="G79" s="1"/>
  <c r="D77"/>
  <c r="D69"/>
  <c r="E69" s="1"/>
  <c r="F69" s="1"/>
  <c r="G69" s="1"/>
  <c r="H69" s="1"/>
  <c r="I69" s="1"/>
  <c r="J69" s="1"/>
  <c r="K69" s="1"/>
  <c r="L69" s="1"/>
  <c r="M69" s="1"/>
  <c r="M67"/>
  <c r="L67"/>
  <c r="K67"/>
  <c r="J67"/>
  <c r="I67"/>
  <c r="H67"/>
  <c r="G67"/>
  <c r="F67"/>
  <c r="E67"/>
  <c r="D67"/>
  <c r="C67"/>
  <c r="G66"/>
  <c r="C63"/>
  <c r="J9" s="1"/>
  <c r="AC9" s="1"/>
  <c r="H54"/>
  <c r="P49"/>
  <c r="P48"/>
  <c r="V47"/>
  <c r="T47"/>
  <c r="R47"/>
  <c r="P47"/>
  <c r="Q46"/>
  <c r="Z46" s="1"/>
  <c r="Q45"/>
  <c r="Z45" s="1"/>
  <c r="Q44"/>
  <c r="Z44" s="1"/>
  <c r="Q43"/>
  <c r="Z43"/>
  <c r="Q42"/>
  <c r="Z42"/>
  <c r="J42"/>
  <c r="AC42" s="1"/>
  <c r="W41"/>
  <c r="Q41"/>
  <c r="Z41" s="1"/>
  <c r="Q40"/>
  <c r="Z40" s="1"/>
  <c r="J40"/>
  <c r="AC40" s="1"/>
  <c r="H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c r="Q9"/>
  <c r="Z9"/>
  <c r="H9"/>
  <c r="AB9" s="1"/>
  <c r="J8"/>
  <c r="W8" s="1"/>
  <c r="H8"/>
  <c r="F8"/>
  <c r="C7"/>
  <c r="C58" s="1"/>
  <c r="D58" s="1"/>
  <c r="M102" i="21"/>
  <c r="D102"/>
  <c r="E102"/>
  <c r="F102"/>
  <c r="G102"/>
  <c r="H102"/>
  <c r="I102"/>
  <c r="J102"/>
  <c r="K102"/>
  <c r="L102"/>
  <c r="C102"/>
  <c r="C63"/>
  <c r="F9"/>
  <c r="S9" s="1"/>
  <c r="G18" i="20"/>
  <c r="C25" i="40"/>
  <c r="G16" i="20"/>
  <c r="B81" i="72" s="1"/>
  <c r="B81" i="46"/>
  <c r="G15" i="20"/>
  <c r="B80" i="72" s="1"/>
  <c r="C24" i="20"/>
  <c r="C21"/>
  <c r="C29" i="39" s="1"/>
  <c r="C20" i="20"/>
  <c r="B76" i="46" s="1"/>
  <c r="C18" i="20"/>
  <c r="B70" i="46" s="1"/>
  <c r="C17" i="20"/>
  <c r="B58" i="72" s="1"/>
  <c r="C16" i="20"/>
  <c r="B47" i="72" s="1"/>
  <c r="C15" i="20"/>
  <c r="B69" i="72" s="1"/>
  <c r="E54" i="21"/>
  <c r="F54" s="1"/>
  <c r="I54"/>
  <c r="J54" s="1"/>
  <c r="G54"/>
  <c r="H54" s="1"/>
  <c r="D125"/>
  <c r="E125" s="1"/>
  <c r="D123"/>
  <c r="E123" s="1"/>
  <c r="F123"/>
  <c r="G123" s="1"/>
  <c r="H123" s="1"/>
  <c r="I123" s="1"/>
  <c r="J123" s="1"/>
  <c r="K123" s="1"/>
  <c r="L123" s="1"/>
  <c r="M123" s="1"/>
  <c r="H42"/>
  <c r="AB42" s="1"/>
  <c r="D119"/>
  <c r="D117"/>
  <c r="E117"/>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D81"/>
  <c r="E81"/>
  <c r="F81" s="1"/>
  <c r="G81" s="1"/>
  <c r="D77"/>
  <c r="E77" s="1"/>
  <c r="B130"/>
  <c r="B128"/>
  <c r="B126"/>
  <c r="B98"/>
  <c r="B96"/>
  <c r="B94"/>
  <c r="B92"/>
  <c r="B90"/>
  <c r="B74"/>
  <c r="B72"/>
  <c r="B70"/>
  <c r="F12" s="1"/>
  <c r="F10"/>
  <c r="AA10" s="1"/>
  <c r="C7"/>
  <c r="C58" s="1"/>
  <c r="D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s="1"/>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c r="F36"/>
  <c r="S36"/>
  <c r="F39"/>
  <c r="AA39"/>
  <c r="J40"/>
  <c r="W40"/>
  <c r="H35"/>
  <c r="AB35"/>
  <c r="J8"/>
  <c r="AC8"/>
  <c r="J9"/>
  <c r="AC9"/>
  <c r="H8"/>
  <c r="H9"/>
  <c r="AB9" s="1"/>
  <c r="H10"/>
  <c r="U10" s="1"/>
  <c r="H39"/>
  <c r="AB39" s="1"/>
  <c r="J34"/>
  <c r="W34" s="1"/>
  <c r="H36"/>
  <c r="U36" s="1"/>
  <c r="F35"/>
  <c r="AA35" s="1"/>
  <c r="J33"/>
  <c r="W33" s="1"/>
  <c r="H33"/>
  <c r="U33" s="1"/>
  <c r="F33"/>
  <c r="J10"/>
  <c r="AC10"/>
  <c r="H26"/>
  <c r="F19"/>
  <c r="AA19" s="1"/>
  <c r="H19"/>
  <c r="AB19" s="1"/>
  <c r="J19"/>
  <c r="W19" s="1"/>
  <c r="H12"/>
  <c r="U12" s="1"/>
  <c r="J26"/>
  <c r="W26" s="1"/>
  <c r="F26"/>
  <c r="AA26" s="1"/>
  <c r="AB41"/>
  <c r="S41"/>
  <c r="AA41"/>
  <c r="W41"/>
  <c r="S10" i="39"/>
  <c r="U30" i="37"/>
  <c r="E103"/>
  <c r="F103" s="1"/>
  <c r="G103" s="1"/>
  <c r="H103" s="1"/>
  <c r="I103" s="1"/>
  <c r="J103" s="1"/>
  <c r="K103" s="1"/>
  <c r="L103" s="1"/>
  <c r="M103" s="1"/>
  <c r="F39"/>
  <c r="S39" s="1"/>
  <c r="W39"/>
  <c r="F29" i="36"/>
  <c r="AA29" s="1"/>
  <c r="F16"/>
  <c r="AA16" s="1"/>
  <c r="U22"/>
  <c r="W22"/>
  <c r="U26"/>
  <c r="AC31"/>
  <c r="J33"/>
  <c r="W33" s="1"/>
  <c r="AC27" i="35"/>
  <c r="U31"/>
  <c r="S31"/>
  <c r="W31"/>
  <c r="F36" i="34"/>
  <c r="S36" s="1"/>
  <c r="S34"/>
  <c r="W39"/>
  <c r="H39" i="33"/>
  <c r="AB39" s="1"/>
  <c r="F26"/>
  <c r="AA26" s="1"/>
  <c r="U33"/>
  <c r="W38"/>
  <c r="S40"/>
  <c r="S8" i="21"/>
  <c r="W8"/>
  <c r="H39" i="37"/>
  <c r="AB39" s="1"/>
  <c r="AB27" i="35"/>
  <c r="S10" i="40"/>
  <c r="W10"/>
  <c r="S11"/>
  <c r="U11"/>
  <c r="S36"/>
  <c r="U36"/>
  <c r="S40" i="39"/>
  <c r="S36"/>
  <c r="F11" i="21"/>
  <c r="S11" s="1"/>
  <c r="AC40"/>
  <c r="AA38"/>
  <c r="AB36"/>
  <c r="AC35"/>
  <c r="C23" i="39"/>
  <c r="U36"/>
  <c r="S42"/>
  <c r="H11" i="21"/>
  <c r="U11"/>
  <c r="J11"/>
  <c r="W11"/>
  <c r="F100" i="40"/>
  <c r="F86"/>
  <c r="G86" s="1"/>
  <c r="J27" i="36"/>
  <c r="W27" s="1"/>
  <c r="J34"/>
  <c r="W34" s="1"/>
  <c r="J30" i="35"/>
  <c r="W30" s="1"/>
  <c r="F22"/>
  <c r="AA22" s="1"/>
  <c r="H10"/>
  <c r="U10" s="1"/>
  <c r="AC24" i="36"/>
  <c r="U29"/>
  <c r="E85"/>
  <c r="F85" s="1"/>
  <c r="G85" s="1"/>
  <c r="H85" s="1"/>
  <c r="I85" s="1"/>
  <c r="J85" s="1"/>
  <c r="K85" s="1"/>
  <c r="L85" s="1"/>
  <c r="M85" s="1"/>
  <c r="J29"/>
  <c r="AC29"/>
  <c r="F12"/>
  <c r="S12"/>
  <c r="F24"/>
  <c r="AA24"/>
  <c r="F34"/>
  <c r="S34"/>
  <c r="S10"/>
  <c r="AB8"/>
  <c r="H16" i="35"/>
  <c r="U16"/>
  <c r="H33"/>
  <c r="AB33"/>
  <c r="W8"/>
  <c r="AC8"/>
  <c r="F35" i="37"/>
  <c r="E101"/>
  <c r="F101" s="1"/>
  <c r="G101" s="1"/>
  <c r="H101" s="1"/>
  <c r="I101" s="1"/>
  <c r="J101" s="1"/>
  <c r="K101" s="1"/>
  <c r="L101" s="1"/>
  <c r="M101" s="1"/>
  <c r="J34"/>
  <c r="W34"/>
  <c r="H43" i="34"/>
  <c r="U43" s="1"/>
  <c r="U42"/>
  <c r="E114"/>
  <c r="H36"/>
  <c r="U36" s="1"/>
  <c r="F33"/>
  <c r="S33" s="1"/>
  <c r="F19"/>
  <c r="AA19" s="1"/>
  <c r="J10"/>
  <c r="AC10" s="1"/>
  <c r="W8"/>
  <c r="J28"/>
  <c r="W28" s="1"/>
  <c r="S38" i="33"/>
  <c r="E113"/>
  <c r="F113" s="1"/>
  <c r="G113" s="1"/>
  <c r="H113" s="1"/>
  <c r="I113" s="1"/>
  <c r="J113" s="1"/>
  <c r="K113" s="1"/>
  <c r="L113" s="1"/>
  <c r="M113" s="1"/>
  <c r="F19"/>
  <c r="S19" s="1"/>
  <c r="J19"/>
  <c r="W19" s="1"/>
  <c r="W40"/>
  <c r="F125" i="21"/>
  <c r="G125"/>
  <c r="AB30" i="36"/>
  <c r="AC34"/>
  <c r="H29" i="35"/>
  <c r="U34" i="37"/>
  <c r="S34"/>
  <c r="AA34"/>
  <c r="AB42" i="34"/>
  <c r="J19"/>
  <c r="AC19" s="1"/>
  <c r="H37" i="33"/>
  <c r="AB37" s="1"/>
  <c r="AC42" i="34"/>
  <c r="W42"/>
  <c r="AA42"/>
  <c r="S42"/>
  <c r="AC38"/>
  <c r="W38"/>
  <c r="AA38"/>
  <c r="S38"/>
  <c r="J37" i="33"/>
  <c r="W37" s="1"/>
  <c r="J42" i="21"/>
  <c r="AC42" s="1"/>
  <c r="J44" i="34"/>
  <c r="AC44" s="1"/>
  <c r="F44"/>
  <c r="S44" s="1"/>
  <c r="J10" i="35"/>
  <c r="W10" s="1"/>
  <c r="AL5" i="3"/>
  <c r="BQ13"/>
  <c r="BL572"/>
  <c r="J14" i="21"/>
  <c r="F14"/>
  <c r="AA14" s="1"/>
  <c r="H14"/>
  <c r="U14" s="1"/>
  <c r="H28"/>
  <c r="AB28" s="1"/>
  <c r="F28"/>
  <c r="J28"/>
  <c r="AC28" s="1"/>
  <c r="H30"/>
  <c r="U30" s="1"/>
  <c r="F30"/>
  <c r="S30" s="1"/>
  <c r="J30"/>
  <c r="AC30" s="1"/>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c r="H37"/>
  <c r="U37"/>
  <c r="H40"/>
  <c r="U40"/>
  <c r="J40"/>
  <c r="F40"/>
  <c r="AA40" s="1"/>
  <c r="H14" i="33"/>
  <c r="U14" s="1"/>
  <c r="F14"/>
  <c r="AA14" s="1"/>
  <c r="J14"/>
  <c r="AC14" s="1"/>
  <c r="H30"/>
  <c r="AB30" s="1"/>
  <c r="F30"/>
  <c r="S30" s="1"/>
  <c r="J30"/>
  <c r="AC30" s="1"/>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AB13" i="35"/>
  <c r="AB40" i="37"/>
  <c r="J36"/>
  <c r="AC36" s="1"/>
  <c r="G105"/>
  <c r="AB31" i="21"/>
  <c r="AB13"/>
  <c r="U46"/>
  <c r="W30"/>
  <c r="S28"/>
  <c r="AA28"/>
  <c r="AB14"/>
  <c r="W14"/>
  <c r="AC14"/>
  <c r="S46" i="33"/>
  <c r="U36" i="37"/>
  <c r="AC13" i="36"/>
  <c r="AB45" i="33"/>
  <c r="AB31"/>
  <c r="AB27"/>
  <c r="S45" i="21"/>
  <c r="U28"/>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BA555"/>
  <c r="AZ555" s="1"/>
  <c r="BA551"/>
  <c r="AZ551" s="1"/>
  <c r="BA545"/>
  <c r="AZ545" s="1"/>
  <c r="BA543"/>
  <c r="BA541"/>
  <c r="AZ541" s="1"/>
  <c r="BA531"/>
  <c r="BA521"/>
  <c r="BA509"/>
  <c r="BA505"/>
  <c r="BA501"/>
  <c r="BA493"/>
  <c r="AZ493" s="1"/>
  <c r="BA487"/>
  <c r="BA19"/>
  <c r="BA572"/>
  <c r="AZ572" s="1"/>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c r="BQ542"/>
  <c r="BL542"/>
  <c r="BQ568"/>
  <c r="BQ566"/>
  <c r="BQ564"/>
  <c r="BL564" s="1"/>
  <c r="BQ562"/>
  <c r="BL562" s="1"/>
  <c r="AZ562" s="1"/>
  <c r="BQ560"/>
  <c r="BL560"/>
  <c r="BQ558"/>
  <c r="BL558"/>
  <c r="BQ556"/>
  <c r="BL556"/>
  <c r="BQ554"/>
  <c r="BQ552"/>
  <c r="BL552" s="1"/>
  <c r="BQ550"/>
  <c r="BL550" s="1"/>
  <c r="BQ548"/>
  <c r="BQ546"/>
  <c r="BL546" s="1"/>
  <c r="BQ544"/>
  <c r="BL544" s="1"/>
  <c r="AZ544" s="1"/>
  <c r="G544"/>
  <c r="G538"/>
  <c r="G534"/>
  <c r="G530"/>
  <c r="G526"/>
  <c r="G522"/>
  <c r="BQ540"/>
  <c r="BL540"/>
  <c r="BQ538"/>
  <c r="BL538"/>
  <c r="BQ536"/>
  <c r="BQ534"/>
  <c r="BL534" s="1"/>
  <c r="BQ532"/>
  <c r="BL532" s="1"/>
  <c r="BQ530"/>
  <c r="BQ528"/>
  <c r="BQ526"/>
  <c r="BL526" s="1"/>
  <c r="BQ524"/>
  <c r="BL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s="1"/>
  <c r="AZ488" s="1"/>
  <c r="BQ486"/>
  <c r="BQ484"/>
  <c r="BL484" s="1"/>
  <c r="BQ482"/>
  <c r="BL482" s="1"/>
  <c r="BQ20"/>
  <c r="BL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c r="H123" s="1"/>
  <c r="I123" s="1"/>
  <c r="J123" s="1"/>
  <c r="K123" s="1"/>
  <c r="L123" s="1"/>
  <c r="M123" s="1"/>
  <c r="H42"/>
  <c r="U42" s="1"/>
  <c r="J43"/>
  <c r="AC43" s="1"/>
  <c r="J23" i="37"/>
  <c r="W23" s="1"/>
  <c r="F17"/>
  <c r="AA17" s="1"/>
  <c r="D3" i="21"/>
  <c r="AC33" i="36"/>
  <c r="AC12" i="35"/>
  <c r="AC23" i="37"/>
  <c r="S27"/>
  <c r="U39"/>
  <c r="AC8"/>
  <c r="AC36" i="34"/>
  <c r="AA13" i="33"/>
  <c r="AC45"/>
  <c r="U19" i="21"/>
  <c r="AC33"/>
  <c r="AA36"/>
  <c r="F43" i="33"/>
  <c r="AA43" s="1"/>
  <c r="AA23" i="37"/>
  <c r="G107"/>
  <c r="H107" s="1"/>
  <c r="I107" s="1"/>
  <c r="J107" s="1"/>
  <c r="K107" s="1"/>
  <c r="L107" s="1"/>
  <c r="M107" s="1"/>
  <c r="AA9" i="21"/>
  <c r="F37"/>
  <c r="S37"/>
  <c r="J37"/>
  <c r="W37"/>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s="1"/>
  <c r="U31"/>
  <c r="E90" i="40"/>
  <c r="F90" s="1"/>
  <c r="G90" s="1"/>
  <c r="F21"/>
  <c r="S21" s="1"/>
  <c r="W36"/>
  <c r="U40" i="39"/>
  <c r="J21" i="40"/>
  <c r="AC21" s="1"/>
  <c r="S27" i="31"/>
  <c r="AZ558" i="3"/>
  <c r="AZ540"/>
  <c r="AZ560"/>
  <c r="G483"/>
  <c r="G515"/>
  <c r="G507"/>
  <c r="G501"/>
  <c r="BA15"/>
  <c r="BL17"/>
  <c r="BL15"/>
  <c r="BA14"/>
  <c r="AZ14" s="1"/>
  <c r="BT5"/>
  <c r="J57" i="39"/>
  <c r="H13" i="40"/>
  <c r="U13"/>
  <c r="H12" i="48"/>
  <c r="I4" i="4"/>
  <c r="I59" i="40"/>
  <c r="C59" s="1"/>
  <c r="I60"/>
  <c r="C60" s="1"/>
  <c r="G297" i="3"/>
  <c r="BL298"/>
  <c r="G299"/>
  <c r="BL300"/>
  <c r="BA302"/>
  <c r="AZ302" s="1"/>
  <c r="BA303"/>
  <c r="BL303"/>
  <c r="G304"/>
  <c r="BA305"/>
  <c r="G321"/>
  <c r="BL322"/>
  <c r="AZ322" s="1"/>
  <c r="G323"/>
  <c r="BL324"/>
  <c r="BA326"/>
  <c r="BA327"/>
  <c r="BL327"/>
  <c r="AZ327" s="1"/>
  <c r="G328"/>
  <c r="BA329"/>
  <c r="G337"/>
  <c r="BL338"/>
  <c r="G339"/>
  <c r="BL340"/>
  <c r="BA342"/>
  <c r="AZ342"/>
  <c r="BA343"/>
  <c r="BL343"/>
  <c r="AZ343" s="1"/>
  <c r="G344"/>
  <c r="BA345"/>
  <c r="G353"/>
  <c r="BL354"/>
  <c r="G355"/>
  <c r="BL356"/>
  <c r="G357"/>
  <c r="BL358"/>
  <c r="G359"/>
  <c r="BA360"/>
  <c r="AZ360" s="1"/>
  <c r="BA361"/>
  <c r="BL361"/>
  <c r="G362"/>
  <c r="BA363"/>
  <c r="G371"/>
  <c r="BL372"/>
  <c r="G373"/>
  <c r="BL374"/>
  <c r="BA376"/>
  <c r="AZ376" s="1"/>
  <c r="BA377"/>
  <c r="AZ377" s="1"/>
  <c r="BL377"/>
  <c r="G378"/>
  <c r="BA379"/>
  <c r="AZ379" s="1"/>
  <c r="BA114"/>
  <c r="AZ114" s="1"/>
  <c r="BL115"/>
  <c r="AZ115" s="1"/>
  <c r="G116"/>
  <c r="BA118"/>
  <c r="AZ118" s="1"/>
  <c r="BL119"/>
  <c r="AZ119" s="1"/>
  <c r="G120"/>
  <c r="BA122"/>
  <c r="AZ122" s="1"/>
  <c r="BL123"/>
  <c r="AZ123" s="1"/>
  <c r="G124"/>
  <c r="BA126"/>
  <c r="BL127"/>
  <c r="G128"/>
  <c r="BA130"/>
  <c r="AZ130" s="1"/>
  <c r="BL131"/>
  <c r="AZ131" s="1"/>
  <c r="G132"/>
  <c r="BA134"/>
  <c r="AZ134" s="1"/>
  <c r="BL135"/>
  <c r="AZ135" s="1"/>
  <c r="G136"/>
  <c r="BA138"/>
  <c r="AZ138" s="1"/>
  <c r="BL139"/>
  <c r="AZ139" s="1"/>
  <c r="G140"/>
  <c r="BA142"/>
  <c r="BL143"/>
  <c r="AZ143" s="1"/>
  <c r="G144"/>
  <c r="BA146"/>
  <c r="AZ146" s="1"/>
  <c r="BL147"/>
  <c r="AZ147" s="1"/>
  <c r="G148"/>
  <c r="BA150"/>
  <c r="AZ150"/>
  <c r="BL151"/>
  <c r="AZ151"/>
  <c r="BA153"/>
  <c r="AZ153"/>
  <c r="BL154"/>
  <c r="G155"/>
  <c r="BA157"/>
  <c r="AZ157"/>
  <c r="BL158"/>
  <c r="G159"/>
  <c r="BA161"/>
  <c r="BL162"/>
  <c r="G163"/>
  <c r="BA165"/>
  <c r="BL166"/>
  <c r="G167"/>
  <c r="BA169"/>
  <c r="AZ169"/>
  <c r="BL170"/>
  <c r="G171"/>
  <c r="BA173"/>
  <c r="AZ173"/>
  <c r="BL174"/>
  <c r="G175"/>
  <c r="BA178"/>
  <c r="BL179"/>
  <c r="G180"/>
  <c r="AZ31"/>
  <c r="AZ39"/>
  <c r="AZ51"/>
  <c r="AZ59"/>
  <c r="G537"/>
  <c r="BL181"/>
  <c r="AZ181" s="1"/>
  <c r="G182"/>
  <c r="BA184"/>
  <c r="AZ184" s="1"/>
  <c r="BL185"/>
  <c r="G186"/>
  <c r="BA188"/>
  <c r="AZ188" s="1"/>
  <c r="BL189"/>
  <c r="AZ189" s="1"/>
  <c r="G190"/>
  <c r="BA192"/>
  <c r="AZ192" s="1"/>
  <c r="BL193"/>
  <c r="AZ193" s="1"/>
  <c r="G194"/>
  <c r="BA196"/>
  <c r="AZ196" s="1"/>
  <c r="BL197"/>
  <c r="AZ197" s="1"/>
  <c r="G198"/>
  <c r="BA200"/>
  <c r="AZ200" s="1"/>
  <c r="BL201"/>
  <c r="AZ201" s="1"/>
  <c r="AZ78"/>
  <c r="AZ82"/>
  <c r="AZ185"/>
  <c r="AZ84"/>
  <c r="AZ86"/>
  <c r="AZ94"/>
  <c r="AZ102"/>
  <c r="AZ110"/>
  <c r="G491"/>
  <c r="BA298"/>
  <c r="AZ298" s="1"/>
  <c r="BA299"/>
  <c r="AZ299" s="1"/>
  <c r="BL299"/>
  <c r="G300"/>
  <c r="G303"/>
  <c r="BL304"/>
  <c r="BA306"/>
  <c r="AZ306" s="1"/>
  <c r="BA307"/>
  <c r="BL307"/>
  <c r="G308"/>
  <c r="G319"/>
  <c r="BL320"/>
  <c r="BA322"/>
  <c r="BA323"/>
  <c r="AZ323" s="1"/>
  <c r="BL323"/>
  <c r="G324"/>
  <c r="G327"/>
  <c r="BL328"/>
  <c r="BA330"/>
  <c r="AZ330" s="1"/>
  <c r="BA331"/>
  <c r="AZ331" s="1"/>
  <c r="BL331"/>
  <c r="G332"/>
  <c r="G335"/>
  <c r="BL336"/>
  <c r="BA338"/>
  <c r="AZ338"/>
  <c r="BA339"/>
  <c r="BL339"/>
  <c r="AZ339" s="1"/>
  <c r="G340"/>
  <c r="G343"/>
  <c r="BL344"/>
  <c r="BA346"/>
  <c r="BA347"/>
  <c r="BL347"/>
  <c r="G348"/>
  <c r="G351"/>
  <c r="BL352"/>
  <c r="BA354"/>
  <c r="BA355"/>
  <c r="BL355"/>
  <c r="G356"/>
  <c r="AZ127"/>
  <c r="BA358"/>
  <c r="BA359"/>
  <c r="BL359"/>
  <c r="G360"/>
  <c r="G361"/>
  <c r="BL362"/>
  <c r="BA364"/>
  <c r="AZ364"/>
  <c r="BA365"/>
  <c r="AZ365"/>
  <c r="BL365"/>
  <c r="G366"/>
  <c r="G369"/>
  <c r="BL370"/>
  <c r="BA372"/>
  <c r="AZ372" s="1"/>
  <c r="BA373"/>
  <c r="BL373"/>
  <c r="AZ373"/>
  <c r="G374"/>
  <c r="G377"/>
  <c r="BL378"/>
  <c r="BA380"/>
  <c r="AZ380" s="1"/>
  <c r="BA381"/>
  <c r="BL381"/>
  <c r="G382"/>
  <c r="G385"/>
  <c r="AZ154"/>
  <c r="AZ162"/>
  <c r="AZ166"/>
  <c r="AZ170"/>
  <c r="AZ179"/>
  <c r="AZ183"/>
  <c r="AZ187"/>
  <c r="AZ191"/>
  <c r="AZ195"/>
  <c r="AZ199"/>
  <c r="AZ203"/>
  <c r="G523"/>
  <c r="BL297"/>
  <c r="AZ297"/>
  <c r="G298"/>
  <c r="BA300"/>
  <c r="BL301"/>
  <c r="AZ301"/>
  <c r="G302"/>
  <c r="BA304"/>
  <c r="AZ304" s="1"/>
  <c r="BL305"/>
  <c r="G306"/>
  <c r="BA308"/>
  <c r="AZ308" s="1"/>
  <c r="BL309"/>
  <c r="G310"/>
  <c r="BA310"/>
  <c r="AZ310" s="1"/>
  <c r="BL311"/>
  <c r="AZ311" s="1"/>
  <c r="G312"/>
  <c r="BA312"/>
  <c r="BL313"/>
  <c r="AZ313" s="1"/>
  <c r="G314"/>
  <c r="BA314"/>
  <c r="AZ314" s="1"/>
  <c r="BL315"/>
  <c r="G316"/>
  <c r="BA316"/>
  <c r="AZ316" s="1"/>
  <c r="BL317"/>
  <c r="AZ317" s="1"/>
  <c r="G318"/>
  <c r="BA320"/>
  <c r="AZ320" s="1"/>
  <c r="BL321"/>
  <c r="G322"/>
  <c r="BA324"/>
  <c r="BL325"/>
  <c r="AZ325" s="1"/>
  <c r="G326"/>
  <c r="BA328"/>
  <c r="AZ328" s="1"/>
  <c r="BL329"/>
  <c r="G330"/>
  <c r="BA332"/>
  <c r="BL333"/>
  <c r="G334"/>
  <c r="BA336"/>
  <c r="AZ336" s="1"/>
  <c r="BL337"/>
  <c r="G338"/>
  <c r="BA340"/>
  <c r="BL341"/>
  <c r="G342"/>
  <c r="BA344"/>
  <c r="AZ344" s="1"/>
  <c r="BL345"/>
  <c r="G346"/>
  <c r="BA348"/>
  <c r="AZ348" s="1"/>
  <c r="BL349"/>
  <c r="AZ349" s="1"/>
  <c r="G350"/>
  <c r="BA352"/>
  <c r="AZ352" s="1"/>
  <c r="BL353"/>
  <c r="G354"/>
  <c r="BA356"/>
  <c r="BL357"/>
  <c r="AZ357" s="1"/>
  <c r="G358"/>
  <c r="BA362"/>
  <c r="AZ362" s="1"/>
  <c r="BL363"/>
  <c r="G364"/>
  <c r="BA366"/>
  <c r="AZ366" s="1"/>
  <c r="BL367"/>
  <c r="AZ367" s="1"/>
  <c r="AZ205"/>
  <c r="AZ209"/>
  <c r="AZ221"/>
  <c r="AZ225"/>
  <c r="AZ237"/>
  <c r="AZ241"/>
  <c r="AZ309"/>
  <c r="AZ321"/>
  <c r="AZ333"/>
  <c r="AZ353"/>
  <c r="AZ363"/>
  <c r="G368"/>
  <c r="BA370"/>
  <c r="BL371"/>
  <c r="AZ371" s="1"/>
  <c r="G372"/>
  <c r="BA374"/>
  <c r="AZ374" s="1"/>
  <c r="BL375"/>
  <c r="AZ375" s="1"/>
  <c r="G376"/>
  <c r="BA378"/>
  <c r="AZ378" s="1"/>
  <c r="BL379"/>
  <c r="G380"/>
  <c r="BA382"/>
  <c r="AZ382" s="1"/>
  <c r="BL383"/>
  <c r="G384"/>
  <c r="AZ261"/>
  <c r="AZ265"/>
  <c r="AZ383"/>
  <c r="AZ274"/>
  <c r="AZ278"/>
  <c r="AZ290"/>
  <c r="AZ303"/>
  <c r="AZ335"/>
  <c r="AZ347"/>
  <c r="AZ361"/>
  <c r="AZ394"/>
  <c r="AZ410"/>
  <c r="AZ426"/>
  <c r="AZ430"/>
  <c r="AZ442"/>
  <c r="AZ446"/>
  <c r="AZ459"/>
  <c r="AZ463"/>
  <c r="AZ475"/>
  <c r="AZ479"/>
  <c r="H7" i="48"/>
  <c r="H113" i="46"/>
  <c r="H17"/>
  <c r="F33"/>
  <c r="F35"/>
  <c r="F37"/>
  <c r="H16" i="48"/>
  <c r="H9"/>
  <c r="H8"/>
  <c r="C12" i="46"/>
  <c r="AB16" i="35"/>
  <c r="AA43" i="21"/>
  <c r="U43"/>
  <c r="AA13" i="40"/>
  <c r="E78"/>
  <c r="F78" s="1"/>
  <c r="G78" s="1"/>
  <c r="H78" s="1"/>
  <c r="I78" s="1"/>
  <c r="J78" s="1"/>
  <c r="K78" s="1"/>
  <c r="L78" s="1"/>
  <c r="M78" s="1"/>
  <c r="BH5" i="3"/>
  <c r="R16" i="4"/>
  <c r="P16"/>
  <c r="D3" i="35"/>
  <c r="G4" i="4"/>
  <c r="J16" i="35"/>
  <c r="W16"/>
  <c r="U42" i="21"/>
  <c r="AC26" i="36"/>
  <c r="W25" i="35"/>
  <c r="AZ300" i="3"/>
  <c r="H13" i="39"/>
  <c r="AB13" s="1"/>
  <c r="F13"/>
  <c r="J13"/>
  <c r="AC13" s="1"/>
  <c r="AA36" i="35"/>
  <c r="H11" i="37"/>
  <c r="AB11"/>
  <c r="W37"/>
  <c r="AA30" i="33"/>
  <c r="AA36" i="37"/>
  <c r="AB17"/>
  <c r="AZ508" i="3"/>
  <c r="AA45" i="33"/>
  <c r="AC11" i="36"/>
  <c r="AC10"/>
  <c r="AC14" i="37"/>
  <c r="AB35" i="35"/>
  <c r="S25"/>
  <c r="AC29" i="37"/>
  <c r="W32" i="36"/>
  <c r="AC32"/>
  <c r="AB28" i="33"/>
  <c r="J33" i="34"/>
  <c r="AC33" s="1"/>
  <c r="AB36"/>
  <c r="J40"/>
  <c r="W40" s="1"/>
  <c r="F16" i="35"/>
  <c r="AA16" s="1"/>
  <c r="S24" i="36"/>
  <c r="W42" i="33"/>
  <c r="J35" i="34"/>
  <c r="W35" s="1"/>
  <c r="F107"/>
  <c r="G107" s="1"/>
  <c r="H107" s="1"/>
  <c r="I107" s="1"/>
  <c r="J107" s="1"/>
  <c r="K107" s="1"/>
  <c r="L107" s="1"/>
  <c r="M107" s="1"/>
  <c r="S30" i="36"/>
  <c r="H16"/>
  <c r="AB16" s="1"/>
  <c r="H35" i="37"/>
  <c r="AB35"/>
  <c r="S26" i="21"/>
  <c r="AB12"/>
  <c r="H32"/>
  <c r="U32"/>
  <c r="AB26"/>
  <c r="U26"/>
  <c r="AA33"/>
  <c r="S33"/>
  <c r="U39"/>
  <c r="W9"/>
  <c r="J32"/>
  <c r="AC32"/>
  <c r="G13" i="3"/>
  <c r="AC5"/>
  <c r="F17" i="21"/>
  <c r="S17"/>
  <c r="H17"/>
  <c r="AB17"/>
  <c r="J17"/>
  <c r="AC17"/>
  <c r="H37"/>
  <c r="U37"/>
  <c r="F40"/>
  <c r="S40"/>
  <c r="H40"/>
  <c r="AB40"/>
  <c r="E119"/>
  <c r="F119"/>
  <c r="G119" s="1"/>
  <c r="H119" s="1"/>
  <c r="I119" s="1"/>
  <c r="J119" s="1"/>
  <c r="K119" s="1"/>
  <c r="L119" s="1"/>
  <c r="M119" s="1"/>
  <c r="AA8" i="33"/>
  <c r="S8"/>
  <c r="AC8"/>
  <c r="H66"/>
  <c r="F10"/>
  <c r="AA10" s="1"/>
  <c r="F11"/>
  <c r="S11" s="1"/>
  <c r="J15"/>
  <c r="W15" s="1"/>
  <c r="H19"/>
  <c r="AB19" s="1"/>
  <c r="J32"/>
  <c r="AC32" s="1"/>
  <c r="F35"/>
  <c r="AA35" s="1"/>
  <c r="AB39" i="34"/>
  <c r="F11"/>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c r="J43"/>
  <c r="F99" i="37"/>
  <c r="AC27"/>
  <c r="U25" i="35"/>
  <c r="AC40" i="37"/>
  <c r="W40"/>
  <c r="W27" i="33"/>
  <c r="AC45" i="21"/>
  <c r="S28" i="33"/>
  <c r="S14" i="21"/>
  <c r="AA44" i="34"/>
  <c r="AB29" i="35"/>
  <c r="U29"/>
  <c r="AC19" i="33"/>
  <c r="AC34" i="37"/>
  <c r="S35"/>
  <c r="AA35"/>
  <c r="AB10" i="35"/>
  <c r="AA32" i="21"/>
  <c r="S32"/>
  <c r="U38"/>
  <c r="AB34"/>
  <c r="BL571" i="3"/>
  <c r="BA571"/>
  <c r="AZ571" s="1"/>
  <c r="BL570"/>
  <c r="BE5"/>
  <c r="F42" i="21"/>
  <c r="AA42"/>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C26"/>
  <c r="W26"/>
  <c r="AB29"/>
  <c r="AA30"/>
  <c r="S30"/>
  <c r="AC30"/>
  <c r="AC31"/>
  <c r="W31"/>
  <c r="AB14"/>
  <c r="F17" i="39"/>
  <c r="AA17"/>
  <c r="H17"/>
  <c r="U17"/>
  <c r="J17"/>
  <c r="W17"/>
  <c r="F21"/>
  <c r="S21"/>
  <c r="H21"/>
  <c r="J21"/>
  <c r="W21" s="1"/>
  <c r="F33"/>
  <c r="H33"/>
  <c r="U33" s="1"/>
  <c r="J33"/>
  <c r="F44"/>
  <c r="S44" s="1"/>
  <c r="H44"/>
  <c r="U44" s="1"/>
  <c r="J44"/>
  <c r="W44" s="1"/>
  <c r="E128"/>
  <c r="F128" s="1"/>
  <c r="G128" s="1"/>
  <c r="H128" s="1"/>
  <c r="I128" s="1"/>
  <c r="J128" s="1"/>
  <c r="K128" s="1"/>
  <c r="L128" s="1"/>
  <c r="M128" s="1"/>
  <c r="F46"/>
  <c r="S46"/>
  <c r="H46"/>
  <c r="U46"/>
  <c r="J46"/>
  <c r="W46"/>
  <c r="F29"/>
  <c r="AA29"/>
  <c r="E103"/>
  <c r="F103"/>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BL549"/>
  <c r="BA549"/>
  <c r="BL548"/>
  <c r="BA548"/>
  <c r="BL547"/>
  <c r="BA547"/>
  <c r="BL539"/>
  <c r="BA539"/>
  <c r="AZ539"/>
  <c r="BA538"/>
  <c r="AZ538"/>
  <c r="BL537"/>
  <c r="BA537"/>
  <c r="BL536"/>
  <c r="AZ536"/>
  <c r="BA535"/>
  <c r="AZ535"/>
  <c r="BA534"/>
  <c r="BA533"/>
  <c r="AZ533" s="1"/>
  <c r="BL531"/>
  <c r="AZ531" s="1"/>
  <c r="BL530"/>
  <c r="BA530"/>
  <c r="BL529"/>
  <c r="BA529"/>
  <c r="BL528"/>
  <c r="AZ528" s="1"/>
  <c r="BA527"/>
  <c r="AZ527" s="1"/>
  <c r="BA526"/>
  <c r="BA525"/>
  <c r="AZ525"/>
  <c r="BL523"/>
  <c r="BA523"/>
  <c r="AZ523" s="1"/>
  <c r="BL522"/>
  <c r="BA522"/>
  <c r="AZ522" s="1"/>
  <c r="BL521"/>
  <c r="AZ521" s="1"/>
  <c r="BA519"/>
  <c r="AZ519" s="1"/>
  <c r="BL518"/>
  <c r="BA518"/>
  <c r="BL517"/>
  <c r="BA517"/>
  <c r="AZ517"/>
  <c r="BL515"/>
  <c r="BA515"/>
  <c r="BA514"/>
  <c r="BL513"/>
  <c r="BA513"/>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s="1"/>
  <c r="BL489"/>
  <c r="BA489"/>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c r="AC30" s="1"/>
  <c r="F38"/>
  <c r="AA38" s="1"/>
  <c r="AA36" i="34"/>
  <c r="AB33" i="21"/>
  <c r="S35"/>
  <c r="AB10"/>
  <c r="U8"/>
  <c r="AB8"/>
  <c r="S34"/>
  <c r="AC36"/>
  <c r="AB8" i="33"/>
  <c r="U8"/>
  <c r="E106"/>
  <c r="H34"/>
  <c r="U34" s="1"/>
  <c r="F34"/>
  <c r="S34" s="1"/>
  <c r="E121"/>
  <c r="F41"/>
  <c r="S41" s="1"/>
  <c r="AC34" i="34"/>
  <c r="W34"/>
  <c r="AA39"/>
  <c r="E78"/>
  <c r="F15"/>
  <c r="AA15" s="1"/>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G92" s="1"/>
  <c r="H23"/>
  <c r="U23" s="1"/>
  <c r="H41"/>
  <c r="AB41" s="1"/>
  <c r="F41"/>
  <c r="AA41" s="1"/>
  <c r="J41"/>
  <c r="F15" i="39"/>
  <c r="AA15"/>
  <c r="H15"/>
  <c r="U15"/>
  <c r="J15"/>
  <c r="AC15"/>
  <c r="H25"/>
  <c r="U25"/>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c r="H34"/>
  <c r="U34"/>
  <c r="AZ431" i="3"/>
  <c r="B41" i="1"/>
  <c r="J42" i="40"/>
  <c r="AC42"/>
  <c r="J40"/>
  <c r="AC40"/>
  <c r="J34"/>
  <c r="AC34"/>
  <c r="H16"/>
  <c r="AB16"/>
  <c r="H14"/>
  <c r="U14"/>
  <c r="F32"/>
  <c r="AA32"/>
  <c r="AZ401" i="3"/>
  <c r="AZ441"/>
  <c r="AZ444"/>
  <c r="M1" i="46"/>
  <c r="M6"/>
  <c r="M10"/>
  <c r="N2"/>
  <c r="N5"/>
  <c r="F58"/>
  <c r="N7"/>
  <c r="AZ461" i="3"/>
  <c r="AZ466"/>
  <c r="AZ477"/>
  <c r="AZ388"/>
  <c r="AZ207"/>
  <c r="AZ220"/>
  <c r="AZ223"/>
  <c r="AZ236"/>
  <c r="AZ239"/>
  <c r="AZ252"/>
  <c r="AZ260"/>
  <c r="AZ263"/>
  <c r="AZ276"/>
  <c r="AZ281"/>
  <c r="AZ292"/>
  <c r="AZ121"/>
  <c r="AZ137"/>
  <c r="AZ152"/>
  <c r="M7" i="46"/>
  <c r="M11"/>
  <c r="N3"/>
  <c r="N6"/>
  <c r="N10"/>
  <c r="AZ167" i="3"/>
  <c r="AZ180"/>
  <c r="AZ40"/>
  <c r="AZ56"/>
  <c r="AZ71"/>
  <c r="AZ79"/>
  <c r="AZ91"/>
  <c r="AZ107"/>
  <c r="AZ112"/>
  <c r="J13" i="40"/>
  <c r="W13" s="1"/>
  <c r="AB14"/>
  <c r="W40"/>
  <c r="F34" i="44"/>
  <c r="F27" i="43"/>
  <c r="F66" i="9"/>
  <c r="P72" s="1"/>
  <c r="F71"/>
  <c r="F72"/>
  <c r="AC14" i="40"/>
  <c r="W35"/>
  <c r="S33"/>
  <c r="AB32"/>
  <c r="AC47" i="39"/>
  <c r="S47"/>
  <c r="AB25"/>
  <c r="AC41" i="40"/>
  <c r="W41"/>
  <c r="U41"/>
  <c r="J23"/>
  <c r="AC23" s="1"/>
  <c r="F23"/>
  <c r="S23" s="1"/>
  <c r="AC15"/>
  <c r="W15"/>
  <c r="W27" i="39"/>
  <c r="S23"/>
  <c r="AB16"/>
  <c r="W14"/>
  <c r="U23" i="35"/>
  <c r="AB23"/>
  <c r="H20"/>
  <c r="AB20" s="1"/>
  <c r="F20"/>
  <c r="S20"/>
  <c r="H15" i="34"/>
  <c r="AB15" s="1"/>
  <c r="F78"/>
  <c r="G78" s="1"/>
  <c r="J15"/>
  <c r="AC15" s="1"/>
  <c r="H41" i="33"/>
  <c r="U41" s="1"/>
  <c r="F121"/>
  <c r="G121" s="1"/>
  <c r="H121" s="1"/>
  <c r="I121" s="1"/>
  <c r="J121" s="1"/>
  <c r="K121" s="1"/>
  <c r="L121" s="1"/>
  <c r="M121" s="1"/>
  <c r="F30" i="40"/>
  <c r="AA30" s="1"/>
  <c r="H100"/>
  <c r="I100" s="1"/>
  <c r="J100" s="1"/>
  <c r="K100" s="1"/>
  <c r="L100" s="1"/>
  <c r="M100" s="1"/>
  <c r="AZ486" i="3"/>
  <c r="AZ497"/>
  <c r="AZ504"/>
  <c r="AZ515"/>
  <c r="AZ529"/>
  <c r="AZ530"/>
  <c r="AZ537"/>
  <c r="AZ547"/>
  <c r="AZ548"/>
  <c r="AZ549"/>
  <c r="AB37" i="39"/>
  <c r="AA29" i="35"/>
  <c r="U39" i="39"/>
  <c r="J29"/>
  <c r="AC29" s="1"/>
  <c r="AB21"/>
  <c r="U21"/>
  <c r="AB17"/>
  <c r="AB33" i="36"/>
  <c r="AA11"/>
  <c r="AA14" i="35"/>
  <c r="S14"/>
  <c r="G99" i="37"/>
  <c r="F33"/>
  <c r="S33" s="1"/>
  <c r="AB19" i="39"/>
  <c r="U19"/>
  <c r="U46" i="34"/>
  <c r="AC30"/>
  <c r="AA14"/>
  <c r="W12"/>
  <c r="AC13" i="33"/>
  <c r="AA11" i="34"/>
  <c r="H15" i="33"/>
  <c r="U15" s="1"/>
  <c r="AA11"/>
  <c r="AA40" i="21"/>
  <c r="U17"/>
  <c r="S13" i="39"/>
  <c r="AA13"/>
  <c r="U16" i="40"/>
  <c r="W34"/>
  <c r="AB34"/>
  <c r="AB42"/>
  <c r="U42"/>
  <c r="AC16"/>
  <c r="W32"/>
  <c r="H25"/>
  <c r="AB25" s="1"/>
  <c r="F94"/>
  <c r="G94" s="1"/>
  <c r="U47" i="39"/>
  <c r="W15"/>
  <c r="S41" i="40"/>
  <c r="AB23"/>
  <c r="U27" i="39"/>
  <c r="H23"/>
  <c r="AB23"/>
  <c r="J23"/>
  <c r="AC23" s="1"/>
  <c r="F97"/>
  <c r="G97" s="1"/>
  <c r="S16"/>
  <c r="S15" i="34"/>
  <c r="AA41" i="33"/>
  <c r="F106"/>
  <c r="G106" s="1"/>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G96" i="37"/>
  <c r="H96" s="1"/>
  <c r="I96" s="1"/>
  <c r="J96" s="1"/>
  <c r="K96" s="1"/>
  <c r="L96" s="1"/>
  <c r="M96" s="1"/>
  <c r="F32"/>
  <c r="S32" s="1"/>
  <c r="U11" i="35"/>
  <c r="AB11"/>
  <c r="S46" i="34"/>
  <c r="U32"/>
  <c r="U14"/>
  <c r="AC14"/>
  <c r="U12"/>
  <c r="AB13" i="33"/>
  <c r="F17" i="34"/>
  <c r="AA17" s="1"/>
  <c r="J17"/>
  <c r="AC17" s="1"/>
  <c r="H11"/>
  <c r="AB11" s="1"/>
  <c r="J35" i="33"/>
  <c r="W35" s="1"/>
  <c r="AC15"/>
  <c r="H11"/>
  <c r="U11" s="1"/>
  <c r="H10"/>
  <c r="U10" s="1"/>
  <c r="I66"/>
  <c r="J10"/>
  <c r="AC10" s="1"/>
  <c r="U40" i="21"/>
  <c r="U11" i="37"/>
  <c r="U13" i="39"/>
  <c r="AC16" i="35"/>
  <c r="J11" i="34"/>
  <c r="W11" s="1"/>
  <c r="F25" i="40"/>
  <c r="AA25" s="1"/>
  <c r="J11" i="33"/>
  <c r="W11" s="1"/>
  <c r="H33" i="37"/>
  <c r="AB33"/>
  <c r="W15" i="34"/>
  <c r="U20" i="35"/>
  <c r="W23" i="40"/>
  <c r="D73" i="9"/>
  <c r="N73" s="1"/>
  <c r="AP11" i="1"/>
  <c r="B11"/>
  <c r="E11"/>
  <c r="K11"/>
  <c r="M11" s="1"/>
  <c r="B9"/>
  <c r="E9" s="1"/>
  <c r="K9"/>
  <c r="M9" s="1"/>
  <c r="B7"/>
  <c r="E7" s="1"/>
  <c r="K7"/>
  <c r="M7" s="1"/>
  <c r="C20" i="43"/>
  <c r="F6" i="1"/>
  <c r="AP6" s="1"/>
  <c r="G11"/>
  <c r="M22" i="44"/>
  <c r="F32" i="15"/>
  <c r="F59" s="1"/>
  <c r="F29" i="12"/>
  <c r="F70" i="9"/>
  <c r="D86"/>
  <c r="M20" i="44"/>
  <c r="F31" i="43"/>
  <c r="C31" s="1"/>
  <c r="F30" i="44"/>
  <c r="C30" s="1"/>
  <c r="C27" i="43"/>
  <c r="C25" i="12"/>
  <c r="AC25" i="36"/>
  <c r="S8"/>
  <c r="AA26"/>
  <c r="AA28"/>
  <c r="U25"/>
  <c r="H20"/>
  <c r="U20" s="1"/>
  <c r="J20"/>
  <c r="AC20" s="1"/>
  <c r="F20"/>
  <c r="S20" s="1"/>
  <c r="F62"/>
  <c r="G62" s="1"/>
  <c r="J14"/>
  <c r="H14"/>
  <c r="F14"/>
  <c r="AA14" s="1"/>
  <c r="W20"/>
  <c r="U27"/>
  <c r="U32"/>
  <c r="AB12"/>
  <c r="S33"/>
  <c r="AA27"/>
  <c r="S16"/>
  <c r="S29"/>
  <c r="AC33" i="35"/>
  <c r="U22"/>
  <c r="AA13"/>
  <c r="S8"/>
  <c r="U33"/>
  <c r="AA20"/>
  <c r="W20"/>
  <c r="S23"/>
  <c r="S16"/>
  <c r="AB14"/>
  <c r="AC10"/>
  <c r="U9"/>
  <c r="W13"/>
  <c r="AC18"/>
  <c r="W18"/>
  <c r="U18"/>
  <c r="AB18"/>
  <c r="S30"/>
  <c r="AA35"/>
  <c r="AB30"/>
  <c r="S27"/>
  <c r="S28"/>
  <c r="J26"/>
  <c r="F26"/>
  <c r="H26"/>
  <c r="AB9" i="37"/>
  <c r="W12"/>
  <c r="AA9"/>
  <c r="S17"/>
  <c r="W28"/>
  <c r="AB37"/>
  <c r="AA31"/>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A40"/>
  <c r="U30"/>
  <c r="S32"/>
  <c r="AB33"/>
  <c r="AA12"/>
  <c r="AC35"/>
  <c r="AC32"/>
  <c r="AA33"/>
  <c r="U44"/>
  <c r="U34"/>
  <c r="J23"/>
  <c r="F86"/>
  <c r="G86" s="1"/>
  <c r="F23"/>
  <c r="S23" s="1"/>
  <c r="H23"/>
  <c r="AB23" s="1"/>
  <c r="U10"/>
  <c r="W19"/>
  <c r="W29"/>
  <c r="AC21"/>
  <c r="W21"/>
  <c r="AB21"/>
  <c r="U21"/>
  <c r="U19"/>
  <c r="S13"/>
  <c r="AA41"/>
  <c r="S10"/>
  <c r="U39" i="33"/>
  <c r="AC12"/>
  <c r="AB41"/>
  <c r="AC35"/>
  <c r="W31"/>
  <c r="W43"/>
  <c r="U46"/>
  <c r="W39"/>
  <c r="U35"/>
  <c r="W26"/>
  <c r="AB26"/>
  <c r="H25"/>
  <c r="AB25" s="1"/>
  <c r="J25"/>
  <c r="W25" s="1"/>
  <c r="F25"/>
  <c r="AA25" s="1"/>
  <c r="F85"/>
  <c r="G85" s="1"/>
  <c r="J23"/>
  <c r="W23" s="1"/>
  <c r="F23"/>
  <c r="H23"/>
  <c r="U23" s="1"/>
  <c r="F17"/>
  <c r="AA17" s="1"/>
  <c r="H17"/>
  <c r="AB17" s="1"/>
  <c r="J17"/>
  <c r="AC17" s="1"/>
  <c r="S14"/>
  <c r="AC21"/>
  <c r="W21"/>
  <c r="W14"/>
  <c r="AB21"/>
  <c r="U21"/>
  <c r="AA21"/>
  <c r="S21"/>
  <c r="AA44"/>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W42"/>
  <c r="U35"/>
  <c r="F37"/>
  <c r="J37"/>
  <c r="AC37" s="1"/>
  <c r="H37"/>
  <c r="G113"/>
  <c r="H113"/>
  <c r="I113" s="1"/>
  <c r="J113" s="1"/>
  <c r="K113" s="1"/>
  <c r="L113" s="1"/>
  <c r="M113" s="1"/>
  <c r="F39"/>
  <c r="S38"/>
  <c r="H39"/>
  <c r="J39"/>
  <c r="W38"/>
  <c r="F29"/>
  <c r="H29"/>
  <c r="J29"/>
  <c r="F98"/>
  <c r="G98" s="1"/>
  <c r="H98" s="1"/>
  <c r="I98" s="1"/>
  <c r="J98" s="1"/>
  <c r="K98" s="1"/>
  <c r="L98" s="1"/>
  <c r="M98" s="1"/>
  <c r="S30"/>
  <c r="S25"/>
  <c r="AA23"/>
  <c r="F88"/>
  <c r="G88"/>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3"/>
  <c r="M20" i="15"/>
  <c r="D96" i="9"/>
  <c r="F28" i="15"/>
  <c r="C28" s="1"/>
  <c r="M18"/>
  <c r="A18" i="64"/>
  <c r="B74" i="63" s="1"/>
  <c r="C53" i="10"/>
  <c r="A25" i="64" s="1"/>
  <c r="A18" i="51"/>
  <c r="B14" i="63" s="1"/>
  <c r="BA16" i="3"/>
  <c r="BA17"/>
  <c r="AZ17" s="1"/>
  <c r="F3" i="35"/>
  <c r="K1" i="43"/>
  <c r="K1" i="12"/>
  <c r="G1" i="44"/>
  <c r="I4" i="6"/>
  <c r="G3" i="72" s="1"/>
  <c r="AZ15" i="3"/>
  <c r="BK5"/>
  <c r="BO5"/>
  <c r="BP5"/>
  <c r="BN5"/>
  <c r="BL18"/>
  <c r="AZ18" s="1"/>
  <c r="BC5"/>
  <c r="E8" i="6" s="1"/>
  <c r="BD5" i="3"/>
  <c r="BR5"/>
  <c r="G28" i="6" s="1"/>
  <c r="BS5" i="3"/>
  <c r="BQ5"/>
  <c r="BL16"/>
  <c r="BM5"/>
  <c r="BA13"/>
  <c r="G28" i="12"/>
  <c r="G22" i="43"/>
  <c r="G26" i="12"/>
  <c r="D24" i="44"/>
  <c r="D26"/>
  <c r="G27" i="12"/>
  <c r="G23" i="43"/>
  <c r="G21"/>
  <c r="E11" i="46"/>
  <c r="E10"/>
  <c r="N8"/>
  <c r="N4"/>
  <c r="F47" s="1"/>
  <c r="N1"/>
  <c r="M9"/>
  <c r="M2"/>
  <c r="N11"/>
  <c r="N9"/>
  <c r="F69"/>
  <c r="H71" s="1"/>
  <c r="M4"/>
  <c r="C6" s="1"/>
  <c r="M12"/>
  <c r="M8"/>
  <c r="M3"/>
  <c r="M5"/>
  <c r="H6" i="48"/>
  <c r="E9" i="46"/>
  <c r="H15" i="48"/>
  <c r="H5"/>
  <c r="H14"/>
  <c r="F38" i="46"/>
  <c r="F36"/>
  <c r="F34"/>
  <c r="J17"/>
  <c r="C17"/>
  <c r="F39"/>
  <c r="H13" i="48"/>
  <c r="H11"/>
  <c r="E8" i="46"/>
  <c r="C7"/>
  <c r="I17"/>
  <c r="E17"/>
  <c r="D71"/>
  <c r="D84"/>
  <c r="E80" s="1"/>
  <c r="B78" s="1"/>
  <c r="D69"/>
  <c r="E69" s="1"/>
  <c r="B67" s="1"/>
  <c r="E58"/>
  <c r="B56" s="1"/>
  <c r="A4" i="64"/>
  <c r="A4" i="51"/>
  <c r="C51" i="10"/>
  <c r="H58" i="46"/>
  <c r="H61"/>
  <c r="H62"/>
  <c r="I100"/>
  <c r="N100"/>
  <c r="H100"/>
  <c r="F108"/>
  <c r="H80"/>
  <c r="E100"/>
  <c r="G100"/>
  <c r="H84"/>
  <c r="H65"/>
  <c r="H66"/>
  <c r="C100"/>
  <c r="J100"/>
  <c r="M100"/>
  <c r="AA12" i="36"/>
  <c r="U12" i="35"/>
  <c r="AB12"/>
  <c r="W11"/>
  <c r="AA11"/>
  <c r="S14" i="37"/>
  <c r="U13"/>
  <c r="S13" i="21"/>
  <c r="C24" i="9"/>
  <c r="C25"/>
  <c r="AP7" i="1"/>
  <c r="G7"/>
  <c r="AP9"/>
  <c r="G9"/>
  <c r="AP8"/>
  <c r="G8"/>
  <c r="I20" i="46"/>
  <c r="B6" i="63"/>
  <c r="L5" i="54"/>
  <c r="B39" i="63"/>
  <c r="K5" i="54"/>
  <c r="B38" i="63"/>
  <c r="T41" i="4"/>
  <c r="A17" i="64"/>
  <c r="B46" i="50"/>
  <c r="B4" i="63" s="1"/>
  <c r="C46" i="36"/>
  <c r="D46" s="1"/>
  <c r="E46" s="1"/>
  <c r="F46" s="1"/>
  <c r="G46" s="1"/>
  <c r="C59" i="34"/>
  <c r="D59" s="1"/>
  <c r="E59" s="1"/>
  <c r="C48" i="35"/>
  <c r="D48" s="1"/>
  <c r="C52" i="37"/>
  <c r="D52" s="1"/>
  <c r="C67" i="40"/>
  <c r="D65"/>
  <c r="P24" i="46"/>
  <c r="B68" i="40" s="1"/>
  <c r="P25" i="46"/>
  <c r="B73" i="39" s="1"/>
  <c r="P23" i="46"/>
  <c r="P21"/>
  <c r="P22"/>
  <c r="C72" i="39"/>
  <c r="D70"/>
  <c r="O19" i="46"/>
  <c r="A22" i="51"/>
  <c r="B16" i="63" s="1"/>
  <c r="H77" i="46"/>
  <c r="H73"/>
  <c r="H69"/>
  <c r="H74"/>
  <c r="H86"/>
  <c r="H82"/>
  <c r="H63"/>
  <c r="H59"/>
  <c r="H64"/>
  <c r="H60"/>
  <c r="H10" i="48"/>
  <c r="H87" i="46"/>
  <c r="H85"/>
  <c r="H83"/>
  <c r="K10" i="1"/>
  <c r="M10" s="1"/>
  <c r="O10" s="1"/>
  <c r="P10" s="1"/>
  <c r="S11"/>
  <c r="R11"/>
  <c r="S13"/>
  <c r="R13"/>
  <c r="B6"/>
  <c r="E6"/>
  <c r="B10"/>
  <c r="E10"/>
  <c r="S10"/>
  <c r="B8"/>
  <c r="E8" s="1"/>
  <c r="B12"/>
  <c r="E12" s="1"/>
  <c r="S12"/>
  <c r="K6"/>
  <c r="M6" s="1"/>
  <c r="C15" i="43"/>
  <c r="G1" i="15"/>
  <c r="F66" i="36"/>
  <c r="H18"/>
  <c r="U16"/>
  <c r="S25"/>
  <c r="AA34"/>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B14"/>
  <c r="S26"/>
  <c r="AB12"/>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D24" i="15"/>
  <c r="F29" i="6"/>
  <c r="F28"/>
  <c r="F30" s="1"/>
  <c r="S14" i="36"/>
  <c r="AB20"/>
  <c r="AA20"/>
  <c r="AC14"/>
  <c r="W14"/>
  <c r="U14"/>
  <c r="AB14"/>
  <c r="U18"/>
  <c r="AB18"/>
  <c r="AA26" i="35"/>
  <c r="S26"/>
  <c r="U26"/>
  <c r="AB26"/>
  <c r="W26"/>
  <c r="AC26"/>
  <c r="S19" i="37"/>
  <c r="W19"/>
  <c r="AB19"/>
  <c r="U19"/>
  <c r="AC17"/>
  <c r="W17"/>
  <c r="AA23" i="34"/>
  <c r="AC23"/>
  <c r="W23"/>
  <c r="AC23" i="33"/>
  <c r="S23"/>
  <c r="AA23"/>
  <c r="W17"/>
  <c r="U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c r="A17" i="51"/>
  <c r="B13" i="63"/>
  <c r="E5" i="6"/>
  <c r="D12" i="11" s="1"/>
  <c r="C12" s="1"/>
  <c r="G29" i="6"/>
  <c r="AZ16" i="3"/>
  <c r="H16" i="1"/>
  <c r="H70" i="46"/>
  <c r="H72"/>
  <c r="A9" i="64"/>
  <c r="A9" i="51"/>
  <c r="B9" i="63" s="1"/>
  <c r="A25" i="51"/>
  <c r="B18" i="63" s="1"/>
  <c r="A3" i="55"/>
  <c r="B56" i="63" s="1"/>
  <c r="D72" i="39"/>
  <c r="E70"/>
  <c r="F70" s="1"/>
  <c r="D67" i="40"/>
  <c r="E65"/>
  <c r="F65" s="1"/>
  <c r="G66" i="36"/>
  <c r="J18"/>
  <c r="AE8" i="1"/>
  <c r="W18" i="36"/>
  <c r="AC18"/>
  <c r="E29" i="6"/>
  <c r="K15" i="1" s="1"/>
  <c r="L20" i="6"/>
  <c r="L19"/>
  <c r="L27" s="1"/>
  <c r="E67" i="40"/>
  <c r="E72" i="39"/>
  <c r="S8" i="1"/>
  <c r="S9"/>
  <c r="R9"/>
  <c r="R8"/>
  <c r="C45" i="9"/>
  <c r="H14" i="66" s="1"/>
  <c r="B7" s="1"/>
  <c r="C44" i="9"/>
  <c r="G14" i="66" s="1"/>
  <c r="B6" s="1"/>
  <c r="O40" i="9"/>
  <c r="K31" s="1"/>
  <c r="K32" s="1"/>
  <c r="R7" i="54"/>
  <c r="B52" i="63" s="1"/>
  <c r="O39" i="9"/>
  <c r="K29"/>
  <c r="K30" s="1"/>
  <c r="R6" i="54"/>
  <c r="B50" i="63" s="1"/>
  <c r="N76" i="9"/>
  <c r="C46"/>
  <c r="K33" s="1"/>
  <c r="F31" i="15"/>
  <c r="L48" i="44"/>
  <c r="N7" i="65"/>
  <c r="F18" i="44"/>
  <c r="B11" i="67"/>
  <c r="B13"/>
  <c r="F43" i="44"/>
  <c r="F37" i="15"/>
  <c r="D21" i="12"/>
  <c r="J15" i="15"/>
  <c r="F28" i="44"/>
  <c r="B9" i="67"/>
  <c r="M6" i="15"/>
  <c r="F45" i="44"/>
  <c r="F40"/>
  <c r="F8"/>
  <c r="M26"/>
  <c r="E11" i="67"/>
  <c r="J17" i="44"/>
  <c r="E9" i="67"/>
  <c r="M10" i="44"/>
  <c r="F13" i="15"/>
  <c r="F7"/>
  <c r="F9" i="44"/>
  <c r="F33" i="12"/>
  <c r="F36" i="15"/>
  <c r="C19" i="44"/>
  <c r="F9" i="15"/>
  <c r="F14" i="67"/>
  <c r="N4" i="65"/>
  <c r="J36" i="15"/>
  <c r="E8" i="67"/>
  <c r="M24" i="15"/>
  <c r="F26"/>
  <c r="F8"/>
  <c r="F38" i="44"/>
  <c r="L48" i="15"/>
  <c r="M31" i="44"/>
  <c r="F40" i="15"/>
  <c r="B12" i="67"/>
  <c r="F37" i="44"/>
  <c r="F10"/>
  <c r="M28" i="15"/>
  <c r="M26"/>
  <c r="M28" i="44"/>
  <c r="F43" i="15"/>
  <c r="M30" i="44"/>
  <c r="M23"/>
  <c r="M11"/>
  <c r="F10" i="67"/>
  <c r="M9" i="15"/>
  <c r="E10" i="67"/>
  <c r="M8" i="44"/>
  <c r="F39"/>
  <c r="C15" i="12"/>
  <c r="M23" i="15"/>
  <c r="E13" i="67"/>
  <c r="M24" i="44"/>
  <c r="M29"/>
  <c r="L49"/>
  <c r="B8" i="67"/>
  <c r="L47" i="15"/>
  <c r="F16"/>
  <c r="B10" i="67"/>
  <c r="M29" i="15"/>
  <c r="E12" i="67"/>
  <c r="F13"/>
  <c r="F38" i="15"/>
  <c r="F9" i="67"/>
  <c r="E14"/>
  <c r="N5" i="65"/>
  <c r="F11" i="44"/>
  <c r="M22" i="15"/>
  <c r="M8"/>
  <c r="F46" i="44"/>
  <c r="M25"/>
  <c r="B14" i="67"/>
  <c r="F11"/>
  <c r="F42" i="15"/>
  <c r="N3" i="65"/>
  <c r="F15" i="44"/>
  <c r="F8" i="67"/>
  <c r="N6" i="65"/>
  <c r="F12" i="67"/>
  <c r="D2" i="77" l="1"/>
  <c r="H75" i="46"/>
  <c r="U25" i="40"/>
  <c r="AC23" i="21"/>
  <c r="AC13" i="40"/>
  <c r="AA12" i="21"/>
  <c r="S12"/>
  <c r="AC27" i="34"/>
  <c r="W27"/>
  <c r="AC23" i="35"/>
  <c r="W23"/>
  <c r="AC23" i="36"/>
  <c r="W23"/>
  <c r="K34" i="9"/>
  <c r="O41"/>
  <c r="R8" i="54" s="1"/>
  <c r="B54" i="63" s="1"/>
  <c r="N69" i="9"/>
  <c r="M86" s="1"/>
  <c r="N86" s="1"/>
  <c r="AC24" i="35"/>
  <c r="W24"/>
  <c r="K141" i="21"/>
  <c r="K144"/>
  <c r="K143"/>
  <c r="F29" i="75"/>
  <c r="F32" i="78"/>
  <c r="F59" s="1"/>
  <c r="F28"/>
  <c r="C28" s="1"/>
  <c r="M18"/>
  <c r="AZ354" i="3"/>
  <c r="AZ526"/>
  <c r="AZ534"/>
  <c r="AZ542"/>
  <c r="BF5"/>
  <c r="K145" i="21"/>
  <c r="BA389" i="3"/>
  <c r="AZ389" s="1"/>
  <c r="BA390"/>
  <c r="AZ390" s="1"/>
  <c r="BA391"/>
  <c r="AZ391" s="1"/>
  <c r="G394"/>
  <c r="G395"/>
  <c r="BL395"/>
  <c r="BA396"/>
  <c r="AZ396" s="1"/>
  <c r="BL398"/>
  <c r="AZ398" s="1"/>
  <c r="G401"/>
  <c r="G402"/>
  <c r="BL402"/>
  <c r="G405"/>
  <c r="BL405"/>
  <c r="BA406"/>
  <c r="AZ406" s="1"/>
  <c r="BA407"/>
  <c r="AZ407" s="1"/>
  <c r="G410"/>
  <c r="G411"/>
  <c r="BL411"/>
  <c r="BA412"/>
  <c r="AZ412" s="1"/>
  <c r="BL414"/>
  <c r="AZ414" s="1"/>
  <c r="G417"/>
  <c r="BL417"/>
  <c r="G420"/>
  <c r="BL420"/>
  <c r="BA421"/>
  <c r="AZ421" s="1"/>
  <c r="BA422"/>
  <c r="AZ422" s="1"/>
  <c r="BA423"/>
  <c r="AZ423" s="1"/>
  <c r="G426"/>
  <c r="G427"/>
  <c r="BL427"/>
  <c r="G430"/>
  <c r="G431"/>
  <c r="G432"/>
  <c r="BL432"/>
  <c r="BL434"/>
  <c r="AZ434" s="1"/>
  <c r="BA435"/>
  <c r="AZ435" s="1"/>
  <c r="BA436"/>
  <c r="AZ436" s="1"/>
  <c r="BL438"/>
  <c r="AZ438" s="1"/>
  <c r="G441"/>
  <c r="AZ489"/>
  <c r="AZ513"/>
  <c r="AZ518"/>
  <c r="AZ552"/>
  <c r="AZ370"/>
  <c r="AZ356"/>
  <c r="AZ345"/>
  <c r="AZ340"/>
  <c r="AZ329"/>
  <c r="AZ324"/>
  <c r="AZ312"/>
  <c r="AZ305"/>
  <c r="AZ381"/>
  <c r="AZ359"/>
  <c r="AZ358"/>
  <c r="AZ355"/>
  <c r="AZ307"/>
  <c r="AZ20"/>
  <c r="AZ514"/>
  <c r="AZ524"/>
  <c r="AZ532"/>
  <c r="AZ546"/>
  <c r="AZ502"/>
  <c r="AZ550"/>
  <c r="AZ556"/>
  <c r="AZ557"/>
  <c r="AB44" i="21"/>
  <c r="AC28" i="33"/>
  <c r="W42" i="21"/>
  <c r="AB30"/>
  <c r="S46"/>
  <c r="W46" i="33"/>
  <c r="W35" i="35"/>
  <c r="S22"/>
  <c r="S10" i="21"/>
  <c r="AA39" i="37"/>
  <c r="U9" i="21"/>
  <c r="U38" i="33"/>
  <c r="J12" i="21"/>
  <c r="BA570" i="3"/>
  <c r="AZ570" s="1"/>
  <c r="BI5"/>
  <c r="F9" i="33"/>
  <c r="F43" i="34"/>
  <c r="J9" i="35"/>
  <c r="F34"/>
  <c r="H34"/>
  <c r="F23" i="36"/>
  <c r="H23"/>
  <c r="F25" i="37"/>
  <c r="G568" i="3"/>
  <c r="G541"/>
  <c r="G533"/>
  <c r="G509"/>
  <c r="G14"/>
  <c r="F34" i="15"/>
  <c r="F61" s="1"/>
  <c r="F34" i="78"/>
  <c r="M20"/>
  <c r="AZ432" i="3"/>
  <c r="G442"/>
  <c r="G443"/>
  <c r="BL443"/>
  <c r="AZ443" s="1"/>
  <c r="G446"/>
  <c r="G447"/>
  <c r="BL447"/>
  <c r="BA448"/>
  <c r="AZ448" s="1"/>
  <c r="BA449"/>
  <c r="AZ449" s="1"/>
  <c r="BA450"/>
  <c r="AZ450" s="1"/>
  <c r="BL452"/>
  <c r="AZ452" s="1"/>
  <c r="BA453"/>
  <c r="AZ453" s="1"/>
  <c r="BA454"/>
  <c r="AZ454" s="1"/>
  <c r="BA455"/>
  <c r="AZ455" s="1"/>
  <c r="BA456"/>
  <c r="AZ456" s="1"/>
  <c r="BL458"/>
  <c r="AZ458" s="1"/>
  <c r="G461"/>
  <c r="G462"/>
  <c r="BL462"/>
  <c r="G465"/>
  <c r="BL465"/>
  <c r="BL467"/>
  <c r="AZ467" s="1"/>
  <c r="BA468"/>
  <c r="AZ468" s="1"/>
  <c r="BA469"/>
  <c r="AZ469" s="1"/>
  <c r="BL471"/>
  <c r="AZ471" s="1"/>
  <c r="BA472"/>
  <c r="AZ472" s="1"/>
  <c r="BL474"/>
  <c r="AZ474" s="1"/>
  <c r="G477"/>
  <c r="G478"/>
  <c r="BL478"/>
  <c r="AZ478" s="1"/>
  <c r="G305"/>
  <c r="G311"/>
  <c r="BL312"/>
  <c r="BA315"/>
  <c r="AZ315" s="1"/>
  <c r="BL319"/>
  <c r="AZ319" s="1"/>
  <c r="G325"/>
  <c r="BL326"/>
  <c r="AZ326" s="1"/>
  <c r="BL332"/>
  <c r="AZ332" s="1"/>
  <c r="BA334"/>
  <c r="AZ334" s="1"/>
  <c r="BA337"/>
  <c r="AZ337" s="1"/>
  <c r="BA341"/>
  <c r="AZ341" s="1"/>
  <c r="BL346"/>
  <c r="AZ346" s="1"/>
  <c r="BL351"/>
  <c r="AZ351" s="1"/>
  <c r="G363"/>
  <c r="G367"/>
  <c r="BA369"/>
  <c r="AZ369" s="1"/>
  <c r="G379"/>
  <c r="G383"/>
  <c r="BA385"/>
  <c r="AZ385" s="1"/>
  <c r="G388"/>
  <c r="G205"/>
  <c r="G206"/>
  <c r="BL206"/>
  <c r="G209"/>
  <c r="G210"/>
  <c r="BL210"/>
  <c r="BA211"/>
  <c r="AZ211" s="1"/>
  <c r="BA212"/>
  <c r="AZ212" s="1"/>
  <c r="BA213"/>
  <c r="AZ213" s="1"/>
  <c r="BL215"/>
  <c r="AZ215" s="1"/>
  <c r="BA216"/>
  <c r="AZ216" s="1"/>
  <c r="BA217"/>
  <c r="AZ217" s="1"/>
  <c r="G220"/>
  <c r="G221"/>
  <c r="G222"/>
  <c r="BL222"/>
  <c r="AZ222" s="1"/>
  <c r="G225"/>
  <c r="G226"/>
  <c r="BL226"/>
  <c r="BA227"/>
  <c r="AZ227" s="1"/>
  <c r="BA228"/>
  <c r="AZ228" s="1"/>
  <c r="BA229"/>
  <c r="AZ229" s="1"/>
  <c r="BL231"/>
  <c r="AZ231" s="1"/>
  <c r="BA232"/>
  <c r="AZ232" s="1"/>
  <c r="BA233"/>
  <c r="AZ233" s="1"/>
  <c r="G236"/>
  <c r="G237"/>
  <c r="G238"/>
  <c r="BL238"/>
  <c r="G241"/>
  <c r="G242"/>
  <c r="BL242"/>
  <c r="BA243"/>
  <c r="AZ243" s="1"/>
  <c r="BA244"/>
  <c r="AZ244" s="1"/>
  <c r="BA245"/>
  <c r="AZ245" s="1"/>
  <c r="BL247"/>
  <c r="AZ247" s="1"/>
  <c r="BA248"/>
  <c r="AZ248" s="1"/>
  <c r="BA249"/>
  <c r="AZ249" s="1"/>
  <c r="G252"/>
  <c r="AZ462"/>
  <c r="AZ206"/>
  <c r="AZ277"/>
  <c r="AZ117"/>
  <c r="AZ21"/>
  <c r="AZ103"/>
  <c r="BA253"/>
  <c r="AZ253" s="1"/>
  <c r="BL255"/>
  <c r="AZ255" s="1"/>
  <c r="BA256"/>
  <c r="AZ256" s="1"/>
  <c r="BA257"/>
  <c r="AZ257" s="1"/>
  <c r="G260"/>
  <c r="G261"/>
  <c r="G262"/>
  <c r="BL262"/>
  <c r="G265"/>
  <c r="G266"/>
  <c r="BL266"/>
  <c r="BA267"/>
  <c r="AZ267" s="1"/>
  <c r="BA268"/>
  <c r="AZ268" s="1"/>
  <c r="BL270"/>
  <c r="AZ270" s="1"/>
  <c r="BA271"/>
  <c r="AZ271" s="1"/>
  <c r="BL273"/>
  <c r="AZ273" s="1"/>
  <c r="G276"/>
  <c r="G277"/>
  <c r="BL277"/>
  <c r="G280"/>
  <c r="BL280"/>
  <c r="BL282"/>
  <c r="AZ282" s="1"/>
  <c r="BA283"/>
  <c r="AZ283" s="1"/>
  <c r="BA284"/>
  <c r="AZ284" s="1"/>
  <c r="BL286"/>
  <c r="AZ286" s="1"/>
  <c r="BA287"/>
  <c r="AZ287" s="1"/>
  <c r="BL289"/>
  <c r="AZ289" s="1"/>
  <c r="G292"/>
  <c r="G293"/>
  <c r="BL293"/>
  <c r="AZ293" s="1"/>
  <c r="BA294"/>
  <c r="AZ294" s="1"/>
  <c r="BA295"/>
  <c r="AZ295" s="1"/>
  <c r="G114"/>
  <c r="G117"/>
  <c r="BL117"/>
  <c r="G118"/>
  <c r="G121"/>
  <c r="G122"/>
  <c r="BL124"/>
  <c r="AZ124" s="1"/>
  <c r="BA125"/>
  <c r="AZ125" s="1"/>
  <c r="BL126"/>
  <c r="AZ126" s="1"/>
  <c r="BA128"/>
  <c r="AZ128" s="1"/>
  <c r="G131"/>
  <c r="G134"/>
  <c r="G137"/>
  <c r="G138"/>
  <c r="BL140"/>
  <c r="AZ140" s="1"/>
  <c r="BA141"/>
  <c r="AZ141" s="1"/>
  <c r="BL142"/>
  <c r="AZ142" s="1"/>
  <c r="BA144"/>
  <c r="AZ144" s="1"/>
  <c r="G147"/>
  <c r="G150"/>
  <c r="G152"/>
  <c r="G153"/>
  <c r="G156"/>
  <c r="BL156"/>
  <c r="AZ156" s="1"/>
  <c r="BA158"/>
  <c r="AZ158" s="1"/>
  <c r="BL159"/>
  <c r="AZ159" s="1"/>
  <c r="BA160"/>
  <c r="AZ160" s="1"/>
  <c r="BL161"/>
  <c r="AZ161" s="1"/>
  <c r="BA163"/>
  <c r="AZ163" s="1"/>
  <c r="BA164"/>
  <c r="AZ164" s="1"/>
  <c r="BL165"/>
  <c r="AZ165" s="1"/>
  <c r="G169"/>
  <c r="G172"/>
  <c r="BL172"/>
  <c r="AZ172" s="1"/>
  <c r="BA174"/>
  <c r="AZ174" s="1"/>
  <c r="BL175"/>
  <c r="AZ175" s="1"/>
  <c r="BA176"/>
  <c r="AZ176" s="1"/>
  <c r="BA177"/>
  <c r="AZ177" s="1"/>
  <c r="BL178"/>
  <c r="AZ178" s="1"/>
  <c r="G183"/>
  <c r="G184"/>
  <c r="G187"/>
  <c r="G188"/>
  <c r="G191"/>
  <c r="G192"/>
  <c r="G195"/>
  <c r="G196"/>
  <c r="G199"/>
  <c r="G200"/>
  <c r="G202"/>
  <c r="BL202"/>
  <c r="AZ202" s="1"/>
  <c r="G21"/>
  <c r="BL21"/>
  <c r="BA22"/>
  <c r="AZ22" s="1"/>
  <c r="BA23"/>
  <c r="AZ23" s="1"/>
  <c r="BA24"/>
  <c r="AZ24" s="1"/>
  <c r="G27"/>
  <c r="AZ45"/>
  <c r="BA27"/>
  <c r="AZ27" s="1"/>
  <c r="G30"/>
  <c r="BL30"/>
  <c r="BL32"/>
  <c r="AZ32" s="1"/>
  <c r="BA33"/>
  <c r="AZ33" s="1"/>
  <c r="BL35"/>
  <c r="AZ35" s="1"/>
  <c r="BA36"/>
  <c r="AZ36" s="1"/>
  <c r="G39"/>
  <c r="G40"/>
  <c r="G41"/>
  <c r="BL41"/>
  <c r="BA42"/>
  <c r="AZ42" s="1"/>
  <c r="BA43"/>
  <c r="AZ43" s="1"/>
  <c r="BL45"/>
  <c r="BA46"/>
  <c r="AZ46" s="1"/>
  <c r="BA47"/>
  <c r="AZ47" s="1"/>
  <c r="BA48"/>
  <c r="AZ48" s="1"/>
  <c r="G51"/>
  <c r="G52"/>
  <c r="BL52"/>
  <c r="AZ52" s="1"/>
  <c r="BA53"/>
  <c r="AZ53" s="1"/>
  <c r="BL55"/>
  <c r="AZ55" s="1"/>
  <c r="G58"/>
  <c r="BL58"/>
  <c r="AZ58" s="1"/>
  <c r="BA60"/>
  <c r="AZ60" s="1"/>
  <c r="BA62"/>
  <c r="AZ62" s="1"/>
  <c r="BA63"/>
  <c r="AZ63" s="1"/>
  <c r="BA65"/>
  <c r="AZ65" s="1"/>
  <c r="BA66"/>
  <c r="AZ66" s="1"/>
  <c r="BA68"/>
  <c r="AZ68" s="1"/>
  <c r="BL70"/>
  <c r="AZ70" s="1"/>
  <c r="BA72"/>
  <c r="AZ72" s="1"/>
  <c r="BL74"/>
  <c r="AZ74" s="1"/>
  <c r="BA75"/>
  <c r="AZ75" s="1"/>
  <c r="G78"/>
  <c r="G79"/>
  <c r="G80"/>
  <c r="AZ96"/>
  <c r="D51" i="46"/>
  <c r="J52"/>
  <c r="D52"/>
  <c r="D55"/>
  <c r="J55"/>
  <c r="C19" i="59"/>
  <c r="D18"/>
  <c r="E7"/>
  <c r="E6" s="1"/>
  <c r="E5" s="1"/>
  <c r="U8"/>
  <c r="I15" i="57"/>
  <c r="AA22" i="59"/>
  <c r="AG12" i="46"/>
  <c r="D8" i="59"/>
  <c r="L76" i="9"/>
  <c r="G82" i="3"/>
  <c r="G83"/>
  <c r="BL83"/>
  <c r="AZ83" s="1"/>
  <c r="G86"/>
  <c r="G87"/>
  <c r="BL87"/>
  <c r="AZ87" s="1"/>
  <c r="BA88"/>
  <c r="AZ88" s="1"/>
  <c r="BL90"/>
  <c r="AZ90" s="1"/>
  <c r="G93"/>
  <c r="BL93"/>
  <c r="AZ93" s="1"/>
  <c r="G96"/>
  <c r="BL96"/>
  <c r="BA97"/>
  <c r="AZ97" s="1"/>
  <c r="BA98"/>
  <c r="AZ98" s="1"/>
  <c r="BA99"/>
  <c r="AZ99" s="1"/>
  <c r="G102"/>
  <c r="G103"/>
  <c r="BL103"/>
  <c r="BA104"/>
  <c r="AZ104" s="1"/>
  <c r="BL106"/>
  <c r="AZ106" s="1"/>
  <c r="G109"/>
  <c r="BL109"/>
  <c r="AZ109" s="1"/>
  <c r="G112"/>
  <c r="K1" i="75"/>
  <c r="G1" i="78"/>
  <c r="S31" i="39"/>
  <c r="B85" i="46"/>
  <c r="L16" i="4"/>
  <c r="AA12" i="59"/>
  <c r="AA3"/>
  <c r="X9"/>
  <c r="X13"/>
  <c r="W33" i="33"/>
  <c r="S33"/>
  <c r="W44"/>
  <c r="AB44"/>
  <c r="S29"/>
  <c r="W30"/>
  <c r="F33" i="44"/>
  <c r="E53" i="40"/>
  <c r="E58" i="39"/>
  <c r="F27" i="6"/>
  <c r="F31" s="1"/>
  <c r="AZ484" i="3"/>
  <c r="BA5"/>
  <c r="E27" i="6" s="1"/>
  <c r="G65" i="40"/>
  <c r="F67"/>
  <c r="G70" i="39"/>
  <c r="F72"/>
  <c r="I14" i="66"/>
  <c r="B8" s="1"/>
  <c r="M83" i="9"/>
  <c r="N83" s="1"/>
  <c r="N89" s="1"/>
  <c r="O89" s="1"/>
  <c r="M85"/>
  <c r="N85" s="1"/>
  <c r="M87"/>
  <c r="N87" s="1"/>
  <c r="M88"/>
  <c r="N88" s="1"/>
  <c r="M84"/>
  <c r="N84" s="1"/>
  <c r="Q16" i="1"/>
  <c r="F18" i="11" s="1"/>
  <c r="C18" s="1"/>
  <c r="M44" i="9"/>
  <c r="D4" i="77"/>
  <c r="H5" i="3"/>
  <c r="B72" i="72"/>
  <c r="B62"/>
  <c r="B51"/>
  <c r="B72" i="46"/>
  <c r="E77" i="33"/>
  <c r="F77" s="1"/>
  <c r="G77" s="1"/>
  <c r="F15"/>
  <c r="F118" i="34"/>
  <c r="G118" s="1"/>
  <c r="H40"/>
  <c r="J43"/>
  <c r="H76" i="46"/>
  <c r="AB15" i="37"/>
  <c r="U12"/>
  <c r="S10" i="35"/>
  <c r="W31" i="34"/>
  <c r="AB28" i="36"/>
  <c r="BL13" i="3"/>
  <c r="B87" i="72"/>
  <c r="B87" i="46"/>
  <c r="J9" i="34"/>
  <c r="F9"/>
  <c r="AA9" s="1"/>
  <c r="F12" i="33"/>
  <c r="J36" i="35"/>
  <c r="F9" i="36"/>
  <c r="H9"/>
  <c r="H24"/>
  <c r="G553" i="3"/>
  <c r="G548"/>
  <c r="G527"/>
  <c r="G519"/>
  <c r="G503"/>
  <c r="G495"/>
  <c r="G486"/>
  <c r="G5" s="1"/>
  <c r="B3" s="1"/>
  <c r="AO6" s="1"/>
  <c r="AZ395"/>
  <c r="AZ402"/>
  <c r="AZ405"/>
  <c r="AZ411"/>
  <c r="AZ417"/>
  <c r="AZ420"/>
  <c r="AZ427"/>
  <c r="AZ447"/>
  <c r="AZ465"/>
  <c r="AZ210"/>
  <c r="AZ226"/>
  <c r="AZ238"/>
  <c r="AZ242"/>
  <c r="AZ254"/>
  <c r="AZ258"/>
  <c r="AZ272"/>
  <c r="AZ288"/>
  <c r="AZ296"/>
  <c r="AZ437"/>
  <c r="AZ457"/>
  <c r="AZ470"/>
  <c r="AZ473"/>
  <c r="AZ368"/>
  <c r="AZ384"/>
  <c r="AZ386"/>
  <c r="AZ214"/>
  <c r="AZ218"/>
  <c r="AZ234"/>
  <c r="AZ250"/>
  <c r="AZ262"/>
  <c r="AZ266"/>
  <c r="AZ280"/>
  <c r="AZ129"/>
  <c r="AZ132"/>
  <c r="AZ145"/>
  <c r="AZ148"/>
  <c r="AZ25"/>
  <c r="AZ30"/>
  <c r="AZ41"/>
  <c r="C2" i="65"/>
  <c r="G27" i="75"/>
  <c r="G28"/>
  <c r="G26"/>
  <c r="AZ61" i="3"/>
  <c r="AZ64"/>
  <c r="AZ67"/>
  <c r="AZ69"/>
  <c r="AZ73"/>
  <c r="AZ80"/>
  <c r="AZ89"/>
  <c r="AZ100"/>
  <c r="AZ105"/>
  <c r="O50" i="59"/>
  <c r="O49"/>
  <c r="D50"/>
  <c r="C31"/>
  <c r="D31" s="1"/>
  <c r="D30"/>
  <c r="D42"/>
  <c r="C43"/>
  <c r="P51"/>
  <c r="E50"/>
  <c r="B84" i="46"/>
  <c r="D47"/>
  <c r="D49"/>
  <c r="D53"/>
  <c r="D100"/>
  <c r="I21" i="57"/>
  <c r="D1" s="1"/>
  <c r="E10" s="1"/>
  <c r="D34" i="59"/>
  <c r="C35"/>
  <c r="Q50"/>
  <c r="Q49"/>
  <c r="S21" i="21"/>
  <c r="D51" i="59"/>
  <c r="N16" i="4"/>
  <c r="Y3" i="59"/>
  <c r="Z3" s="1"/>
  <c r="Y12"/>
  <c r="Z12" s="1"/>
  <c r="Y11"/>
  <c r="Z11" s="1"/>
  <c r="Y10"/>
  <c r="Z10" s="1"/>
  <c r="Y9"/>
  <c r="Z9" s="1"/>
  <c r="AA11"/>
  <c r="AA9"/>
  <c r="X12"/>
  <c r="X10"/>
  <c r="X3"/>
  <c r="B14"/>
  <c r="B15" s="1"/>
  <c r="B16" s="1"/>
  <c r="S16" s="1"/>
  <c r="C14"/>
  <c r="AA13"/>
  <c r="AB13"/>
  <c r="Y14"/>
  <c r="Z14" s="1"/>
  <c r="AB14"/>
  <c r="Y15"/>
  <c r="Z15" s="1"/>
  <c r="AB15"/>
  <c r="Y16"/>
  <c r="Z16" s="1"/>
  <c r="AB16"/>
  <c r="X17"/>
  <c r="Y17"/>
  <c r="Z17" s="1"/>
  <c r="E18"/>
  <c r="E19" s="1"/>
  <c r="E20" s="1"/>
  <c r="U20" s="1"/>
  <c r="F18"/>
  <c r="F19" s="1"/>
  <c r="F20" s="1"/>
  <c r="V20" s="1"/>
  <c r="X18"/>
  <c r="AA18"/>
  <c r="X19"/>
  <c r="AA19"/>
  <c r="X20"/>
  <c r="AA20"/>
  <c r="B22"/>
  <c r="B23" s="1"/>
  <c r="B24" s="1"/>
  <c r="S24" s="1"/>
  <c r="C22"/>
  <c r="AA21"/>
  <c r="Y22"/>
  <c r="Z22" s="1"/>
  <c r="B51"/>
  <c r="Y8"/>
  <c r="Z8" s="1"/>
  <c r="AB8"/>
  <c r="C6"/>
  <c r="D7"/>
  <c r="AA8"/>
  <c r="Y6"/>
  <c r="Z6" s="1"/>
  <c r="AB7"/>
  <c r="AB6"/>
  <c r="S12"/>
  <c r="B11"/>
  <c r="B10" s="1"/>
  <c r="U12"/>
  <c r="E11"/>
  <c r="E10" s="1"/>
  <c r="X7"/>
  <c r="AA7"/>
  <c r="X6"/>
  <c r="AA6"/>
  <c r="AA12" i="46"/>
  <c r="AE12"/>
  <c r="AI12"/>
  <c r="H1" i="65"/>
  <c r="T8" i="59"/>
  <c r="V8"/>
  <c r="K76" i="9"/>
  <c r="K77" s="1"/>
  <c r="K79" s="1"/>
  <c r="K81" s="1"/>
  <c r="C12" i="59"/>
  <c r="X8"/>
  <c r="Y7"/>
  <c r="Z7" s="1"/>
  <c r="Y5"/>
  <c r="Z5" s="1"/>
  <c r="AA5"/>
  <c r="AB5"/>
  <c r="N76" i="69"/>
  <c r="K76"/>
  <c r="K77" s="1"/>
  <c r="K79" s="1"/>
  <c r="K81" s="1"/>
  <c r="O76"/>
  <c r="L76"/>
  <c r="F12" i="59"/>
  <c r="X5"/>
  <c r="E5" i="52"/>
  <c r="S17" i="33"/>
  <c r="AC45" i="34"/>
  <c r="AB45"/>
  <c r="S45"/>
  <c r="AA30"/>
  <c r="W33"/>
  <c r="U31"/>
  <c r="AC28"/>
  <c r="AA27" i="33"/>
  <c r="U25"/>
  <c r="G111"/>
  <c r="J36" s="1"/>
  <c r="W36" s="1"/>
  <c r="U29"/>
  <c r="AC29"/>
  <c r="W44" i="34"/>
  <c r="AB43"/>
  <c r="AB41"/>
  <c r="AC41"/>
  <c r="AC40"/>
  <c r="AB38"/>
  <c r="G112"/>
  <c r="F37" s="1"/>
  <c r="U28"/>
  <c r="AA28"/>
  <c r="U27"/>
  <c r="AA27"/>
  <c r="F88"/>
  <c r="H25" s="1"/>
  <c r="U25" s="1"/>
  <c r="U23"/>
  <c r="S21"/>
  <c r="U15"/>
  <c r="W17"/>
  <c r="S17"/>
  <c r="U17"/>
  <c r="U11"/>
  <c r="AC11"/>
  <c r="W10"/>
  <c r="AB8"/>
  <c r="U9"/>
  <c r="C21" i="12"/>
  <c r="C34"/>
  <c r="D33" s="1"/>
  <c r="U30" i="33"/>
  <c r="S42"/>
  <c r="AC11"/>
  <c r="AB11"/>
  <c r="S43"/>
  <c r="AB43"/>
  <c r="S39"/>
  <c r="U37"/>
  <c r="AC37"/>
  <c r="S37"/>
  <c r="AB34"/>
  <c r="AB42"/>
  <c r="S35"/>
  <c r="E4" i="52"/>
  <c r="F101" i="33"/>
  <c r="G101" s="1"/>
  <c r="H101" s="1"/>
  <c r="I101" s="1"/>
  <c r="J101" s="1"/>
  <c r="K101" s="1"/>
  <c r="L101" s="1"/>
  <c r="M101" s="1"/>
  <c r="H32"/>
  <c r="AB32" s="1"/>
  <c r="F32"/>
  <c r="AA32" s="1"/>
  <c r="W32"/>
  <c r="AA34"/>
  <c r="W34"/>
  <c r="S32"/>
  <c r="S25"/>
  <c r="AC25"/>
  <c r="AB23"/>
  <c r="U19"/>
  <c r="B7" i="52"/>
  <c r="E7"/>
  <c r="B6"/>
  <c r="E6"/>
  <c r="C4" i="4" s="1"/>
  <c r="B20" i="55" s="1"/>
  <c r="B70" i="63" s="1"/>
  <c r="E14" i="52"/>
  <c r="AB15" i="33"/>
  <c r="B74" i="72"/>
  <c r="B65"/>
  <c r="B54"/>
  <c r="B54" i="46"/>
  <c r="B65"/>
  <c r="B64"/>
  <c r="B70" i="72"/>
  <c r="B48"/>
  <c r="B59"/>
  <c r="B58" i="46"/>
  <c r="B47"/>
  <c r="B69"/>
  <c r="B80"/>
  <c r="B76" i="72"/>
  <c r="B66"/>
  <c r="B55"/>
  <c r="B73"/>
  <c r="B64"/>
  <c r="B53"/>
  <c r="B73" i="46"/>
  <c r="AB10" i="33"/>
  <c r="S10"/>
  <c r="W10"/>
  <c r="W9"/>
  <c r="U9"/>
  <c r="A30" i="51"/>
  <c r="B22" i="63" s="1"/>
  <c r="A30" i="64"/>
  <c r="H49" i="46"/>
  <c r="H54"/>
  <c r="H52"/>
  <c r="H55"/>
  <c r="F72" i="69"/>
  <c r="F70"/>
  <c r="D86"/>
  <c r="F71"/>
  <c r="F66"/>
  <c r="P72" s="1"/>
  <c r="D111"/>
  <c r="D96"/>
  <c r="D111" i="9"/>
  <c r="D23" i="15"/>
  <c r="E86" i="3"/>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374"/>
  <c r="I3" i="6"/>
  <c r="E30" i="3"/>
  <c r="E213"/>
  <c r="E490"/>
  <c r="E536"/>
  <c r="E218"/>
  <c r="E397"/>
  <c r="E442"/>
  <c r="E462"/>
  <c r="E110"/>
  <c r="E47"/>
  <c r="E63"/>
  <c r="E545"/>
  <c r="E174"/>
  <c r="E184"/>
  <c r="E129"/>
  <c r="E482"/>
  <c r="E98"/>
  <c r="E473"/>
  <c r="E422"/>
  <c r="N6"/>
  <c r="E398"/>
  <c r="E232"/>
  <c r="E533"/>
  <c r="E189"/>
  <c r="E37"/>
  <c r="E507"/>
  <c r="E303"/>
  <c r="E275"/>
  <c r="AT6"/>
  <c r="L6"/>
  <c r="E467"/>
  <c r="E429"/>
  <c r="E67"/>
  <c r="E116"/>
  <c r="E214"/>
  <c r="E372"/>
  <c r="E486"/>
  <c r="E465"/>
  <c r="E543"/>
  <c r="E154"/>
  <c r="E264"/>
  <c r="E243"/>
  <c r="E369"/>
  <c r="E309"/>
  <c r="V6"/>
  <c r="E448"/>
  <c r="E105"/>
  <c r="E74"/>
  <c r="AG6"/>
  <c r="E121"/>
  <c r="E505"/>
  <c r="E224"/>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413"/>
  <c r="G30" i="6"/>
  <c r="G31" s="1"/>
  <c r="E28"/>
  <c r="K20" s="1"/>
  <c r="O6" i="1"/>
  <c r="P6" s="1"/>
  <c r="E30" i="6"/>
  <c r="O9" i="1"/>
  <c r="P9" s="1"/>
  <c r="E12" i="6"/>
  <c r="E10"/>
  <c r="E11"/>
  <c r="E14"/>
  <c r="E15"/>
  <c r="E13"/>
  <c r="O8" i="1"/>
  <c r="P8" s="1"/>
  <c r="O13"/>
  <c r="P13" s="1"/>
  <c r="K19" i="6"/>
  <c r="S6" i="1" s="1"/>
  <c r="E31" i="6"/>
  <c r="K23"/>
  <c r="M23" s="1"/>
  <c r="I23" s="1"/>
  <c r="S23" s="1"/>
  <c r="K21"/>
  <c r="M21" s="1"/>
  <c r="I21" s="1"/>
  <c r="S21" s="1"/>
  <c r="O7" i="1"/>
  <c r="P7" s="1"/>
  <c r="O11"/>
  <c r="P11" s="1"/>
  <c r="BL5" i="3"/>
  <c r="AZ13"/>
  <c r="O12" i="1"/>
  <c r="P12" s="1"/>
  <c r="K24" i="6"/>
  <c r="M24" s="1"/>
  <c r="I24" s="1"/>
  <c r="S24" s="1"/>
  <c r="B113" i="72"/>
  <c r="Z11"/>
  <c r="Z13" s="1"/>
  <c r="AD11"/>
  <c r="AD13" s="1"/>
  <c r="AH11"/>
  <c r="AH13" s="1"/>
  <c r="G22"/>
  <c r="C23"/>
  <c r="F101"/>
  <c r="J101"/>
  <c r="N101"/>
  <c r="Y11"/>
  <c r="Y13" s="1"/>
  <c r="AC11"/>
  <c r="AC13" s="1"/>
  <c r="AG11"/>
  <c r="AG13" s="1"/>
  <c r="H22"/>
  <c r="E101"/>
  <c r="I101"/>
  <c r="M101"/>
  <c r="Z7"/>
  <c r="AB11"/>
  <c r="AB13" s="1"/>
  <c r="AF11"/>
  <c r="AF13" s="1"/>
  <c r="AJ11"/>
  <c r="AJ13" s="1"/>
  <c r="E22"/>
  <c r="J22"/>
  <c r="D101"/>
  <c r="H101"/>
  <c r="L101"/>
  <c r="AA11"/>
  <c r="AA13" s="1"/>
  <c r="AE11"/>
  <c r="AE13" s="1"/>
  <c r="AI11"/>
  <c r="AI13" s="1"/>
  <c r="F22"/>
  <c r="C101"/>
  <c r="G101"/>
  <c r="K101"/>
  <c r="G3" i="46"/>
  <c r="H51"/>
  <c r="H50"/>
  <c r="H53"/>
  <c r="H48"/>
  <c r="H47"/>
  <c r="G17"/>
  <c r="C16" s="1"/>
  <c r="D5" s="1"/>
  <c r="K17" i="4"/>
  <c r="AP16" i="1"/>
  <c r="F22" i="11" s="1"/>
  <c r="G6" i="1"/>
  <c r="G16" s="1"/>
  <c r="H70" i="39"/>
  <c r="G72"/>
  <c r="H65" i="40"/>
  <c r="G67"/>
  <c r="E48" i="35"/>
  <c r="F48" s="1"/>
  <c r="G48" s="1"/>
  <c r="H48" s="1"/>
  <c r="I48" s="1"/>
  <c r="J48" s="1"/>
  <c r="K48" s="1"/>
  <c r="L48" s="1"/>
  <c r="M48" s="1"/>
  <c r="N48" s="1"/>
  <c r="O48" s="1"/>
  <c r="E58" i="21"/>
  <c r="F58" s="1"/>
  <c r="G58" s="1"/>
  <c r="H58" s="1"/>
  <c r="I58" s="1"/>
  <c r="J58" s="1"/>
  <c r="K58" s="1"/>
  <c r="L58" s="1"/>
  <c r="M58" s="1"/>
  <c r="N58" s="1"/>
  <c r="O58" s="1"/>
  <c r="E58" i="33"/>
  <c r="F58" s="1"/>
  <c r="G58" s="1"/>
  <c r="H58" s="1"/>
  <c r="I58" s="1"/>
  <c r="J58" s="1"/>
  <c r="K58" s="1"/>
  <c r="L58" s="1"/>
  <c r="M58" s="1"/>
  <c r="N58" s="1"/>
  <c r="O58" s="1"/>
  <c r="H7"/>
  <c r="H46" i="36"/>
  <c r="I46" s="1"/>
  <c r="J46" s="1"/>
  <c r="K46" s="1"/>
  <c r="L46" s="1"/>
  <c r="M46" s="1"/>
  <c r="N46" s="1"/>
  <c r="O46" s="1"/>
  <c r="F7"/>
  <c r="E52" i="37"/>
  <c r="F52" s="1"/>
  <c r="G52" s="1"/>
  <c r="H52" s="1"/>
  <c r="I52" s="1"/>
  <c r="J52" s="1"/>
  <c r="K52" s="1"/>
  <c r="L52" s="1"/>
  <c r="M52" s="1"/>
  <c r="N52" s="1"/>
  <c r="O52" s="1"/>
  <c r="J7"/>
  <c r="H7"/>
  <c r="F7"/>
  <c r="F59" i="34"/>
  <c r="G59" s="1"/>
  <c r="H59" s="1"/>
  <c r="I59" s="1"/>
  <c r="J59" s="1"/>
  <c r="K59" s="1"/>
  <c r="L59" s="1"/>
  <c r="M59" s="1"/>
  <c r="N59" s="1"/>
  <c r="O59" s="1"/>
  <c r="H7"/>
  <c r="G19" i="72"/>
  <c r="N67" i="69"/>
  <c r="J7" i="36"/>
  <c r="H7"/>
  <c r="E22" i="52"/>
  <c r="B22"/>
  <c r="B10"/>
  <c r="B11"/>
  <c r="B4"/>
  <c r="E9"/>
  <c r="C36" i="44"/>
  <c r="C8"/>
  <c r="F63" i="15"/>
  <c r="F67"/>
  <c r="C4" i="65"/>
  <c r="B39" i="1" s="1"/>
  <c r="J60" i="44"/>
  <c r="J54"/>
  <c r="I55"/>
  <c r="J58"/>
  <c r="J56" s="1"/>
  <c r="J59" s="1"/>
  <c r="Q52" s="1"/>
  <c r="L57"/>
  <c r="J61"/>
  <c r="Q50" s="1"/>
  <c r="J22"/>
  <c r="Q72" i="15"/>
  <c r="I1" i="65"/>
  <c r="Q73" i="44"/>
  <c r="F64" i="15"/>
  <c r="L60" i="44"/>
  <c r="L59"/>
  <c r="C27" i="15"/>
  <c r="F65"/>
  <c r="F50"/>
  <c r="L59"/>
  <c r="L58"/>
  <c r="F49"/>
  <c r="M7"/>
  <c r="J6" s="1"/>
  <c r="C29" i="44"/>
  <c r="F70" i="15"/>
  <c r="M9" i="44"/>
  <c r="J8" s="1"/>
  <c r="I54" i="15"/>
  <c r="J57"/>
  <c r="J55" s="1"/>
  <c r="J58" s="1"/>
  <c r="Q51" s="1"/>
  <c r="J53"/>
  <c r="L56"/>
  <c r="E17" i="52"/>
  <c r="E11"/>
  <c r="E15"/>
  <c r="E4" i="4" s="1"/>
  <c r="B21" i="55" s="1"/>
  <c r="B72" i="63" s="1"/>
  <c r="E13" i="52"/>
  <c r="B14"/>
  <c r="E8"/>
  <c r="E16"/>
  <c r="B5"/>
  <c r="B9"/>
  <c r="B16"/>
  <c r="B8"/>
  <c r="B13"/>
  <c r="E10"/>
  <c r="E21"/>
  <c r="F58" i="15"/>
  <c r="M19" i="44"/>
  <c r="M17" i="15"/>
  <c r="F33" i="75"/>
  <c r="C17" i="15"/>
  <c r="C16"/>
  <c r="D21" i="75"/>
  <c r="C15"/>
  <c r="C18" i="44"/>
  <c r="F24" i="43" l="1"/>
  <c r="C26" s="1"/>
  <c r="D24" s="1"/>
  <c r="H7" i="35"/>
  <c r="U7" s="1"/>
  <c r="E235" i="3"/>
  <c r="E285"/>
  <c r="E162"/>
  <c r="E197"/>
  <c r="AQ6"/>
  <c r="E58"/>
  <c r="E453"/>
  <c r="E400"/>
  <c r="E517"/>
  <c r="E347"/>
  <c r="E220"/>
  <c r="E279"/>
  <c r="E480"/>
  <c r="E145"/>
  <c r="E88"/>
  <c r="E417"/>
  <c r="E393"/>
  <c r="E255"/>
  <c r="E288"/>
  <c r="E172"/>
  <c r="E107"/>
  <c r="E402"/>
  <c r="E39"/>
  <c r="E203"/>
  <c r="E261"/>
  <c r="E233"/>
  <c r="E111"/>
  <c r="E420"/>
  <c r="E560"/>
  <c r="E190"/>
  <c r="E293"/>
  <c r="W6"/>
  <c r="E469"/>
  <c r="E405"/>
  <c r="E412"/>
  <c r="E53"/>
  <c r="E27"/>
  <c r="E313"/>
  <c r="E148"/>
  <c r="E151"/>
  <c r="E185"/>
  <c r="E38"/>
  <c r="E109"/>
  <c r="E70"/>
  <c r="E468"/>
  <c r="E431"/>
  <c r="E410"/>
  <c r="AP6"/>
  <c r="E142"/>
  <c r="E84"/>
  <c r="E343"/>
  <c r="P6"/>
  <c r="E435"/>
  <c r="E140"/>
  <c r="E452"/>
  <c r="AH6"/>
  <c r="E423"/>
  <c r="E64"/>
  <c r="E54"/>
  <c r="E125"/>
  <c r="E199"/>
  <c r="E21"/>
  <c r="E537"/>
  <c r="R6"/>
  <c r="E225"/>
  <c r="E294"/>
  <c r="E253"/>
  <c r="E387"/>
  <c r="E187"/>
  <c r="E376"/>
  <c r="E321"/>
  <c r="X6"/>
  <c r="E391"/>
  <c r="E31"/>
  <c r="E195"/>
  <c r="E457"/>
  <c r="E359"/>
  <c r="E221"/>
  <c r="E115"/>
  <c r="E46"/>
  <c r="E91"/>
  <c r="E437"/>
  <c r="E333"/>
  <c r="E152"/>
  <c r="E132"/>
  <c r="E446"/>
  <c r="E206"/>
  <c r="E69"/>
  <c r="E421"/>
  <c r="E241"/>
  <c r="E475"/>
  <c r="M6"/>
  <c r="S9" i="34"/>
  <c r="C20" i="59"/>
  <c r="D19"/>
  <c r="AA25" i="37"/>
  <c r="S25"/>
  <c r="AA23" i="36"/>
  <c r="S23"/>
  <c r="AA34" i="35"/>
  <c r="S34"/>
  <c r="AA43" i="34"/>
  <c r="S43"/>
  <c r="W12" i="21"/>
  <c r="AC12"/>
  <c r="AZ5" i="3"/>
  <c r="F61" i="78"/>
  <c r="AB23" i="36"/>
  <c r="U23"/>
  <c r="AB34" i="35"/>
  <c r="U34"/>
  <c r="W9"/>
  <c r="AC9"/>
  <c r="AA9" i="33"/>
  <c r="S9"/>
  <c r="F11" i="78"/>
  <c r="M11"/>
  <c r="J10" s="1"/>
  <c r="C21" i="75"/>
  <c r="C34"/>
  <c r="D33" s="1"/>
  <c r="J7" i="33"/>
  <c r="J7" i="21"/>
  <c r="AC7" s="1"/>
  <c r="V48" s="1"/>
  <c r="I48" s="1"/>
  <c r="H7"/>
  <c r="J7" i="35"/>
  <c r="AC7" s="1"/>
  <c r="V38" s="1"/>
  <c r="I38" s="1"/>
  <c r="K25" i="6"/>
  <c r="M25" s="1"/>
  <c r="I25" s="1"/>
  <c r="S25" s="1"/>
  <c r="K22"/>
  <c r="M22" s="1"/>
  <c r="I22" s="1"/>
  <c r="S22" s="1"/>
  <c r="C5" i="59"/>
  <c r="D6"/>
  <c r="C23"/>
  <c r="D22"/>
  <c r="C15"/>
  <c r="D14"/>
  <c r="E495" i="3"/>
  <c r="E519"/>
  <c r="E548"/>
  <c r="AB24" i="36"/>
  <c r="U24"/>
  <c r="AA9"/>
  <c r="S9"/>
  <c r="S12" i="33"/>
  <c r="AA12"/>
  <c r="AC9" i="34"/>
  <c r="W9"/>
  <c r="AC43"/>
  <c r="W43"/>
  <c r="F11" i="59"/>
  <c r="F10" s="1"/>
  <c r="V12"/>
  <c r="D12"/>
  <c r="T12"/>
  <c r="C11"/>
  <c r="N51"/>
  <c r="B50"/>
  <c r="C36"/>
  <c r="D35"/>
  <c r="E47" i="46"/>
  <c r="B45" s="1"/>
  <c r="C24" s="1"/>
  <c r="P12" i="77" s="1"/>
  <c r="Q12" s="1"/>
  <c r="P49" i="59"/>
  <c r="P50"/>
  <c r="D43"/>
  <c r="C44"/>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122"/>
  <c r="E208"/>
  <c r="E344"/>
  <c r="E485"/>
  <c r="E335"/>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561"/>
  <c r="E283"/>
  <c r="E23"/>
  <c r="E535"/>
  <c r="E443"/>
  <c r="E156"/>
  <c r="E265"/>
  <c r="E381"/>
  <c r="E194"/>
  <c r="E49"/>
  <c r="AM6"/>
  <c r="E427"/>
  <c r="E78"/>
  <c r="E193"/>
  <c r="E337"/>
  <c r="E278"/>
  <c r="E390"/>
  <c r="E104"/>
  <c r="E158"/>
  <c r="E94"/>
  <c r="E296"/>
  <c r="E534"/>
  <c r="E472"/>
  <c r="AA6"/>
  <c r="E127"/>
  <c r="AD6"/>
  <c r="E266"/>
  <c r="E299"/>
  <c r="E215"/>
  <c r="E327"/>
  <c r="I6"/>
  <c r="E103"/>
  <c r="E200"/>
  <c r="Z6"/>
  <c r="E62"/>
  <c r="E454"/>
  <c r="E389"/>
  <c r="E520"/>
  <c r="E230"/>
  <c r="AK6"/>
  <c r="E143"/>
  <c r="E223"/>
  <c r="E441"/>
  <c r="E205"/>
  <c r="E367"/>
  <c r="E399"/>
  <c r="E415"/>
  <c r="E478"/>
  <c r="E80"/>
  <c r="E317"/>
  <c r="E28"/>
  <c r="E357"/>
  <c r="E141"/>
  <c r="E179"/>
  <c r="E168"/>
  <c r="AS6"/>
  <c r="E34"/>
  <c r="E444"/>
  <c r="E407"/>
  <c r="E383"/>
  <c r="E550"/>
  <c r="E247"/>
  <c r="E136"/>
  <c r="E568"/>
  <c r="E85"/>
  <c r="E539"/>
  <c r="E332"/>
  <c r="E245"/>
  <c r="E139"/>
  <c r="E52"/>
  <c r="E445"/>
  <c r="E451"/>
  <c r="E556"/>
  <c r="U6"/>
  <c r="E291"/>
  <c r="E305"/>
  <c r="E73"/>
  <c r="E365"/>
  <c r="E126"/>
  <c r="E248"/>
  <c r="E211"/>
  <c r="E336"/>
  <c r="Y6"/>
  <c r="AR6"/>
  <c r="E466"/>
  <c r="E65"/>
  <c r="E51"/>
  <c r="E513"/>
  <c r="E198"/>
  <c r="E345"/>
  <c r="E281"/>
  <c r="E72"/>
  <c r="E290"/>
  <c r="E440"/>
  <c r="AF6"/>
  <c r="AC6" s="1"/>
  <c r="E331"/>
  <c r="E40"/>
  <c r="E362"/>
  <c r="E559"/>
  <c r="E150"/>
  <c r="E228"/>
  <c r="E314"/>
  <c r="E324"/>
  <c r="E502"/>
  <c r="E334"/>
  <c r="E489"/>
  <c r="E325"/>
  <c r="E286"/>
  <c r="E396"/>
  <c r="E183"/>
  <c r="E216"/>
  <c r="E320"/>
  <c r="E392"/>
  <c r="E45"/>
  <c r="E373"/>
  <c r="E284"/>
  <c r="E360"/>
  <c r="E42"/>
  <c r="T6"/>
  <c r="E181"/>
  <c r="E144"/>
  <c r="E269"/>
  <c r="E219"/>
  <c r="E338"/>
  <c r="E506"/>
  <c r="E562"/>
  <c r="E483"/>
  <c r="E366"/>
  <c r="E518"/>
  <c r="E532"/>
  <c r="E497"/>
  <c r="E330"/>
  <c r="E167"/>
  <c r="E340"/>
  <c r="E566"/>
  <c r="E350"/>
  <c r="E515"/>
  <c r="E521"/>
  <c r="E496"/>
  <c r="E494"/>
  <c r="E130"/>
  <c r="E273"/>
  <c r="E352"/>
  <c r="E542"/>
  <c r="E461"/>
  <c r="E563"/>
  <c r="E138"/>
  <c r="E254"/>
  <c r="E328"/>
  <c r="E112"/>
  <c r="E341"/>
  <c r="E155"/>
  <c r="E268"/>
  <c r="E252"/>
  <c r="E316"/>
  <c r="E346"/>
  <c r="E175"/>
  <c r="E544"/>
  <c r="E318"/>
  <c r="E541"/>
  <c r="E565"/>
  <c r="E523"/>
  <c r="E380"/>
  <c r="E557"/>
  <c r="E13"/>
  <c r="E503"/>
  <c r="E527"/>
  <c r="E553"/>
  <c r="AB9" i="36"/>
  <c r="U9"/>
  <c r="AC36" i="35"/>
  <c r="W36"/>
  <c r="U40" i="34"/>
  <c r="AB40"/>
  <c r="AA15" i="33"/>
  <c r="S15"/>
  <c r="E571" i="3"/>
  <c r="F36" i="33"/>
  <c r="H36"/>
  <c r="H111"/>
  <c r="I111" s="1"/>
  <c r="J111" s="1"/>
  <c r="K111" s="1"/>
  <c r="L111" s="1"/>
  <c r="M111" s="1"/>
  <c r="AC36"/>
  <c r="J37" i="34"/>
  <c r="H112"/>
  <c r="I112" s="1"/>
  <c r="J112" s="1"/>
  <c r="K112" s="1"/>
  <c r="L112" s="1"/>
  <c r="M112" s="1"/>
  <c r="H37"/>
  <c r="AA37"/>
  <c r="S37"/>
  <c r="J25"/>
  <c r="G88"/>
  <c r="H88" s="1"/>
  <c r="I88" s="1"/>
  <c r="J88" s="1"/>
  <c r="K88" s="1"/>
  <c r="L88" s="1"/>
  <c r="M88" s="1"/>
  <c r="F25"/>
  <c r="AB25"/>
  <c r="U32" i="33"/>
  <c r="M20" i="6"/>
  <c r="I20" s="1"/>
  <c r="S20" s="1"/>
  <c r="S7" i="1"/>
  <c r="H6" i="3"/>
  <c r="K26" i="6"/>
  <c r="M26" s="1"/>
  <c r="I26" s="1"/>
  <c r="S26" s="1"/>
  <c r="K14" i="1"/>
  <c r="E3" i="6"/>
  <c r="AY6" i="3"/>
  <c r="M19" i="6"/>
  <c r="E67" i="39"/>
  <c r="E62" i="40"/>
  <c r="E58"/>
  <c r="E63" i="39"/>
  <c r="E64"/>
  <c r="E59" i="40"/>
  <c r="E60"/>
  <c r="E65" i="39"/>
  <c r="E61" i="40"/>
  <c r="E66" i="39"/>
  <c r="E16" i="6"/>
  <c r="J107" i="72"/>
  <c r="J105"/>
  <c r="J103"/>
  <c r="J109"/>
  <c r="J104"/>
  <c r="J106"/>
  <c r="J102"/>
  <c r="AI11" i="46"/>
  <c r="AI13" s="1"/>
  <c r="AA11"/>
  <c r="AA13" s="1"/>
  <c r="C23"/>
  <c r="Y11"/>
  <c r="Y13" s="1"/>
  <c r="AG11"/>
  <c r="AG13" s="1"/>
  <c r="AC11"/>
  <c r="AC13" s="1"/>
  <c r="E22"/>
  <c r="H101"/>
  <c r="M101"/>
  <c r="D101"/>
  <c r="I101"/>
  <c r="G22"/>
  <c r="H22"/>
  <c r="AB11"/>
  <c r="AB13" s="1"/>
  <c r="AE11"/>
  <c r="AE13" s="1"/>
  <c r="AJ11"/>
  <c r="AJ13" s="1"/>
  <c r="AF11"/>
  <c r="AF13" s="1"/>
  <c r="AH11"/>
  <c r="AH13" s="1"/>
  <c r="AD11"/>
  <c r="AD13" s="1"/>
  <c r="Z11"/>
  <c r="Z13" s="1"/>
  <c r="F101"/>
  <c r="N101"/>
  <c r="K101"/>
  <c r="Z7"/>
  <c r="E101"/>
  <c r="F22"/>
  <c r="L101"/>
  <c r="N104" i="45"/>
  <c r="B113" i="46"/>
  <c r="J101"/>
  <c r="G101"/>
  <c r="C101"/>
  <c r="J22"/>
  <c r="K107" i="72"/>
  <c r="K105"/>
  <c r="K103"/>
  <c r="K109"/>
  <c r="K106"/>
  <c r="K104"/>
  <c r="K102"/>
  <c r="C107"/>
  <c r="C105"/>
  <c r="C103"/>
  <c r="C109"/>
  <c r="C106"/>
  <c r="C104"/>
  <c r="C102"/>
  <c r="H107"/>
  <c r="H105"/>
  <c r="H103"/>
  <c r="H109"/>
  <c r="H106"/>
  <c r="H104"/>
  <c r="H102"/>
  <c r="I107"/>
  <c r="I105"/>
  <c r="I103"/>
  <c r="I106"/>
  <c r="I104"/>
  <c r="I102"/>
  <c r="I109"/>
  <c r="G107"/>
  <c r="G105"/>
  <c r="G103"/>
  <c r="G106"/>
  <c r="G104"/>
  <c r="G102"/>
  <c r="G109"/>
  <c r="L107"/>
  <c r="L105"/>
  <c r="L103"/>
  <c r="L106"/>
  <c r="L104"/>
  <c r="L102"/>
  <c r="L109"/>
  <c r="D107"/>
  <c r="D105"/>
  <c r="D103"/>
  <c r="D106"/>
  <c r="D104"/>
  <c r="D102"/>
  <c r="D109"/>
  <c r="M107"/>
  <c r="M105"/>
  <c r="M103"/>
  <c r="M109"/>
  <c r="M106"/>
  <c r="M104"/>
  <c r="M102"/>
  <c r="E107"/>
  <c r="E105"/>
  <c r="E103"/>
  <c r="E109"/>
  <c r="E106"/>
  <c r="E104"/>
  <c r="E102"/>
  <c r="N107"/>
  <c r="N105"/>
  <c r="N103"/>
  <c r="N102"/>
  <c r="N106"/>
  <c r="N104"/>
  <c r="N109"/>
  <c r="F107"/>
  <c r="F105"/>
  <c r="F103"/>
  <c r="F106"/>
  <c r="F102"/>
  <c r="F109"/>
  <c r="F104"/>
  <c r="B118"/>
  <c r="C118" s="1"/>
  <c r="B117"/>
  <c r="C117" s="1"/>
  <c r="B116"/>
  <c r="C116" s="1"/>
  <c r="B115"/>
  <c r="G118"/>
  <c r="H118" s="1"/>
  <c r="I116"/>
  <c r="J116" s="1"/>
  <c r="K116" s="1"/>
  <c r="L116" s="1"/>
  <c r="M116" s="1"/>
  <c r="D118"/>
  <c r="E118" s="1"/>
  <c r="F118" s="1"/>
  <c r="D117"/>
  <c r="E117" s="1"/>
  <c r="F117" s="1"/>
  <c r="G117" s="1"/>
  <c r="H117" s="1"/>
  <c r="D116"/>
  <c r="E116" s="1"/>
  <c r="F116" s="1"/>
  <c r="G116" s="1"/>
  <c r="H116" s="1"/>
  <c r="D115"/>
  <c r="E115" s="1"/>
  <c r="F115" s="1"/>
  <c r="G115" s="1"/>
  <c r="H115" s="1"/>
  <c r="I118"/>
  <c r="J118" s="1"/>
  <c r="K118" s="1"/>
  <c r="L118" s="1"/>
  <c r="M118" s="1"/>
  <c r="I117"/>
  <c r="J117" s="1"/>
  <c r="K117" s="1"/>
  <c r="L117" s="1"/>
  <c r="M117" s="1"/>
  <c r="I115"/>
  <c r="J115" s="1"/>
  <c r="K115" s="1"/>
  <c r="L115" s="1"/>
  <c r="M115" s="1"/>
  <c r="D22"/>
  <c r="C21" s="1"/>
  <c r="C5" i="46"/>
  <c r="F12" i="40"/>
  <c r="J12"/>
  <c r="H12"/>
  <c r="H12" i="39"/>
  <c r="F12"/>
  <c r="J12"/>
  <c r="W7" i="36"/>
  <c r="AC7"/>
  <c r="V36" s="1"/>
  <c r="I36" s="1"/>
  <c r="P24" i="72"/>
  <c r="P21"/>
  <c r="O19"/>
  <c r="P22"/>
  <c r="P25"/>
  <c r="P23"/>
  <c r="U7" i="37"/>
  <c r="AB7"/>
  <c r="T42" s="1"/>
  <c r="G42" s="1"/>
  <c r="AC7" i="33"/>
  <c r="W7"/>
  <c r="W7" i="35"/>
  <c r="I65" i="40"/>
  <c r="H67"/>
  <c r="I70" i="39"/>
  <c r="H72"/>
  <c r="J7" i="34"/>
  <c r="F7"/>
  <c r="F7" i="33"/>
  <c r="F7" i="21"/>
  <c r="F7" i="35"/>
  <c r="AB7" i="36"/>
  <c r="T36" s="1"/>
  <c r="G36" s="1"/>
  <c r="U7"/>
  <c r="AB7" i="34"/>
  <c r="U7"/>
  <c r="AA7" i="37"/>
  <c r="R42" s="1"/>
  <c r="S7"/>
  <c r="AC7"/>
  <c r="V42" s="1"/>
  <c r="I42" s="1"/>
  <c r="W7"/>
  <c r="S7" i="36"/>
  <c r="AA7"/>
  <c r="R36" s="1"/>
  <c r="AB7" i="33"/>
  <c r="U7"/>
  <c r="W7" i="21"/>
  <c r="AB7"/>
  <c r="T48" s="1"/>
  <c r="G48" s="1"/>
  <c r="U7"/>
  <c r="AB7" i="35"/>
  <c r="T38" s="1"/>
  <c r="G38" s="1"/>
  <c r="C48" i="15"/>
  <c r="L47" i="44"/>
  <c r="Q61" i="15"/>
  <c r="Q74"/>
  <c r="Q76" i="44"/>
  <c r="Q63"/>
  <c r="Q54"/>
  <c r="F1"/>
  <c r="F13"/>
  <c r="C12" s="1"/>
  <c r="C7" s="1"/>
  <c r="M11" i="15"/>
  <c r="J10" s="1"/>
  <c r="J5" s="1"/>
  <c r="F11"/>
  <c r="M13" i="44"/>
  <c r="J12" s="1"/>
  <c r="J7" s="1"/>
  <c r="F1" i="15"/>
  <c r="Q53"/>
  <c r="Q75"/>
  <c r="Q62"/>
  <c r="Q75" i="44"/>
  <c r="Q62"/>
  <c r="F42" i="78"/>
  <c r="M24"/>
  <c r="F37"/>
  <c r="I4" i="65"/>
  <c r="F13" i="78"/>
  <c r="L47"/>
  <c r="F40"/>
  <c r="J4" i="65"/>
  <c r="M6" i="78"/>
  <c r="M28"/>
  <c r="M9"/>
  <c r="F43"/>
  <c r="I7" i="65"/>
  <c r="F8" i="78"/>
  <c r="F38"/>
  <c r="M23"/>
  <c r="L48"/>
  <c r="J7" i="65"/>
  <c r="F9" i="78"/>
  <c r="J36"/>
  <c r="F26"/>
  <c r="AE6" i="1"/>
  <c r="I6" i="65"/>
  <c r="F41" i="15"/>
  <c r="M26" i="78"/>
  <c r="J15"/>
  <c r="J6" i="65"/>
  <c r="I3"/>
  <c r="F16" i="78"/>
  <c r="M29"/>
  <c r="J3" i="65"/>
  <c r="I5"/>
  <c r="M22" i="78"/>
  <c r="M8"/>
  <c r="F36"/>
  <c r="J5" i="65"/>
  <c r="D22" i="75"/>
  <c r="F7" i="78"/>
  <c r="D16" i="75"/>
  <c r="AG6" i="1" l="1"/>
  <c r="F70" i="78"/>
  <c r="F64"/>
  <c r="C27"/>
  <c r="F49"/>
  <c r="M7"/>
  <c r="J6" s="1"/>
  <c r="J5" s="1"/>
  <c r="J24" s="1"/>
  <c r="Q72"/>
  <c r="L57"/>
  <c r="J57"/>
  <c r="J55" s="1"/>
  <c r="J58" s="1"/>
  <c r="Q51" s="1"/>
  <c r="J59"/>
  <c r="J53"/>
  <c r="L56"/>
  <c r="L60"/>
  <c r="I54"/>
  <c r="J60"/>
  <c r="Q49" s="1"/>
  <c r="F67"/>
  <c r="F63"/>
  <c r="L58"/>
  <c r="L59"/>
  <c r="F65"/>
  <c r="F50"/>
  <c r="C48" s="1"/>
  <c r="E6" i="3"/>
  <c r="D20" i="59"/>
  <c r="T20"/>
  <c r="V48" i="33"/>
  <c r="I48" s="1"/>
  <c r="C52" i="78"/>
  <c r="F68" i="15"/>
  <c r="E20" i="72"/>
  <c r="E20" i="46"/>
  <c r="C22" i="75"/>
  <c r="C20" s="1"/>
  <c r="D19"/>
  <c r="C19" s="1"/>
  <c r="C16"/>
  <c r="J1" i="65"/>
  <c r="T44" i="59"/>
  <c r="D44"/>
  <c r="T36"/>
  <c r="D36"/>
  <c r="C16"/>
  <c r="D15"/>
  <c r="C24"/>
  <c r="D23"/>
  <c r="D5"/>
  <c r="S16" i="1"/>
  <c r="N49" i="59"/>
  <c r="N50"/>
  <c r="D11"/>
  <c r="C10"/>
  <c r="D10" s="1"/>
  <c r="S36" i="33"/>
  <c r="AA36"/>
  <c r="AB36"/>
  <c r="T48" s="1"/>
  <c r="G48" s="1"/>
  <c r="U36"/>
  <c r="AB37" i="34"/>
  <c r="U37"/>
  <c r="AC37"/>
  <c r="W37"/>
  <c r="T49"/>
  <c r="G49" s="1"/>
  <c r="G53" s="1"/>
  <c r="H53" s="1"/>
  <c r="AA25"/>
  <c r="S25"/>
  <c r="AC25"/>
  <c r="W25"/>
  <c r="K27" i="6"/>
  <c r="M14" i="1"/>
  <c r="K16"/>
  <c r="AY13" i="3"/>
  <c r="AY504"/>
  <c r="BL6"/>
  <c r="AY537"/>
  <c r="AY103"/>
  <c r="AY100"/>
  <c r="AY64"/>
  <c r="AY53"/>
  <c r="AY21"/>
  <c r="AY83"/>
  <c r="AY154"/>
  <c r="AY73"/>
  <c r="AY52"/>
  <c r="AY47"/>
  <c r="AY42"/>
  <c r="AY74"/>
  <c r="AY191"/>
  <c r="AY182"/>
  <c r="AY160"/>
  <c r="AY144"/>
  <c r="AY204"/>
  <c r="AY126"/>
  <c r="AY515"/>
  <c r="AY98"/>
  <c r="AY92"/>
  <c r="AY45"/>
  <c r="AY75"/>
  <c r="AY57"/>
  <c r="AY31"/>
  <c r="AY106"/>
  <c r="AY175"/>
  <c r="AY136"/>
  <c r="AY118"/>
  <c r="AY217"/>
  <c r="AY277"/>
  <c r="AY262"/>
  <c r="AY234"/>
  <c r="AY291"/>
  <c r="AY264"/>
  <c r="AY232"/>
  <c r="AY209"/>
  <c r="AY383"/>
  <c r="AY384"/>
  <c r="AY349"/>
  <c r="AY317"/>
  <c r="AY361"/>
  <c r="AY467"/>
  <c r="AY448"/>
  <c r="AY416"/>
  <c r="AY427"/>
  <c r="AY425"/>
  <c r="AY397"/>
  <c r="AY402"/>
  <c r="AY422"/>
  <c r="AY479"/>
  <c r="AY49"/>
  <c r="AY55"/>
  <c r="AY170"/>
  <c r="AY202"/>
  <c r="AY149"/>
  <c r="AY181"/>
  <c r="AY146"/>
  <c r="AY139"/>
  <c r="AY381"/>
  <c r="AY250"/>
  <c r="AY214"/>
  <c r="AY286"/>
  <c r="AY379"/>
  <c r="AY343"/>
  <c r="AY324"/>
  <c r="AY364"/>
  <c r="AY326"/>
  <c r="AY560"/>
  <c r="AY476"/>
  <c r="AY398"/>
  <c r="AY463"/>
  <c r="AY65"/>
  <c r="AY39"/>
  <c r="AY70"/>
  <c r="AY178"/>
  <c r="AY141"/>
  <c r="AY116"/>
  <c r="AY169"/>
  <c r="AY135"/>
  <c r="AY265"/>
  <c r="AY258"/>
  <c r="AY238"/>
  <c r="AY294"/>
  <c r="AY310"/>
  <c r="AY366"/>
  <c r="AY348"/>
  <c r="AY372"/>
  <c r="AY350"/>
  <c r="AY315"/>
  <c r="BK6"/>
  <c r="AY550"/>
  <c r="AY459"/>
  <c r="AY548"/>
  <c r="AY72"/>
  <c r="AY62"/>
  <c r="AY50"/>
  <c r="AY168"/>
  <c r="AY115"/>
  <c r="AY269"/>
  <c r="AY226"/>
  <c r="AY256"/>
  <c r="AY241"/>
  <c r="AY376"/>
  <c r="AY346"/>
  <c r="AY464"/>
  <c r="AY435"/>
  <c r="AY389"/>
  <c r="AY400"/>
  <c r="AY81"/>
  <c r="AY30"/>
  <c r="AY155"/>
  <c r="AY161"/>
  <c r="AY295"/>
  <c r="AY230"/>
  <c r="AY302"/>
  <c r="AY340"/>
  <c r="AY342"/>
  <c r="AY542"/>
  <c r="AY450"/>
  <c r="AY101"/>
  <c r="AY194"/>
  <c r="AY132"/>
  <c r="AY122"/>
  <c r="AY272"/>
  <c r="AY279"/>
  <c r="AY382"/>
  <c r="AY307"/>
  <c r="AY305"/>
  <c r="AY16"/>
  <c r="AY420"/>
  <c r="AY457"/>
  <c r="AY405"/>
  <c r="AY438"/>
  <c r="AY555"/>
  <c r="AY412"/>
  <c r="AY429"/>
  <c r="AY278"/>
  <c r="AY188"/>
  <c r="BC6"/>
  <c r="AY442"/>
  <c r="AY336"/>
  <c r="AY143"/>
  <c r="AY201"/>
  <c r="AY43"/>
  <c r="AY253"/>
  <c r="AY157"/>
  <c r="AY543"/>
  <c r="AY572"/>
  <c r="AY352"/>
  <c r="AY308"/>
  <c r="AY330"/>
  <c r="AY501"/>
  <c r="AY35"/>
  <c r="AY528"/>
  <c r="AY91"/>
  <c r="AY99"/>
  <c r="AY124"/>
  <c r="AY236"/>
  <c r="AY449"/>
  <c r="AY481"/>
  <c r="AY525"/>
  <c r="AY516"/>
  <c r="AY273"/>
  <c r="AY207"/>
  <c r="AY428"/>
  <c r="BD6"/>
  <c r="AY494"/>
  <c r="AY510"/>
  <c r="AY526"/>
  <c r="AY567"/>
  <c r="AY566"/>
  <c r="AY40"/>
  <c r="AY48"/>
  <c r="AY276"/>
  <c r="AY212"/>
  <c r="AY401"/>
  <c r="AY19"/>
  <c r="AY538"/>
  <c r="AY488"/>
  <c r="AY281"/>
  <c r="AY215"/>
  <c r="AY436"/>
  <c r="BB6"/>
  <c r="AY495"/>
  <c r="AY513"/>
  <c r="AY534"/>
  <c r="AY568"/>
  <c r="AY322"/>
  <c r="AY61"/>
  <c r="AY113"/>
  <c r="AY251"/>
  <c r="AY267"/>
  <c r="AY347"/>
  <c r="AY557"/>
  <c r="AY451"/>
  <c r="AY395"/>
  <c r="AY23"/>
  <c r="AY192"/>
  <c r="AY296"/>
  <c r="AY363"/>
  <c r="AY345"/>
  <c r="AY478"/>
  <c r="AY54"/>
  <c r="AY189"/>
  <c r="AY237"/>
  <c r="AY387"/>
  <c r="AY353"/>
  <c r="AY545"/>
  <c r="D3" i="6"/>
  <c r="AY530" i="3"/>
  <c r="AY486"/>
  <c r="AY549"/>
  <c r="AY82"/>
  <c r="AY87"/>
  <c r="AY80"/>
  <c r="AY69"/>
  <c r="AY37"/>
  <c r="AY97"/>
  <c r="AY67"/>
  <c r="AY88"/>
  <c r="AY41"/>
  <c r="AY109"/>
  <c r="AY58"/>
  <c r="AY26"/>
  <c r="AY203"/>
  <c r="AY198"/>
  <c r="AY159"/>
  <c r="AY129"/>
  <c r="AY128"/>
  <c r="AY142"/>
  <c r="AY179"/>
  <c r="AY529"/>
  <c r="AY95"/>
  <c r="AY77"/>
  <c r="AY105"/>
  <c r="AY104"/>
  <c r="AY36"/>
  <c r="AY34"/>
  <c r="AY274"/>
  <c r="AY145"/>
  <c r="AY150"/>
  <c r="AY158"/>
  <c r="AY293"/>
  <c r="AY259"/>
  <c r="AY246"/>
  <c r="AY218"/>
  <c r="AY275"/>
  <c r="AY248"/>
  <c r="AY216"/>
  <c r="AY290"/>
  <c r="AY386"/>
  <c r="AY368"/>
  <c r="AY333"/>
  <c r="AY309"/>
  <c r="AY556"/>
  <c r="AY472"/>
  <c r="AY432"/>
  <c r="AY443"/>
  <c r="AY411"/>
  <c r="AY409"/>
  <c r="AY408"/>
  <c r="AY392"/>
  <c r="AY414"/>
  <c r="AY96"/>
  <c r="AY28"/>
  <c r="AY46"/>
  <c r="AY187"/>
  <c r="AY171"/>
  <c r="AY117"/>
  <c r="AY176"/>
  <c r="AY114"/>
  <c r="AY233"/>
  <c r="AY280"/>
  <c r="AY219"/>
  <c r="AY271"/>
  <c r="AY365"/>
  <c r="AY374"/>
  <c r="AY356"/>
  <c r="AY304"/>
  <c r="AY329"/>
  <c r="AY311"/>
  <c r="AY569"/>
  <c r="AY445"/>
  <c r="AY471"/>
  <c r="AY123"/>
  <c r="AY44"/>
  <c r="AY38"/>
  <c r="AY131"/>
  <c r="AY172"/>
  <c r="AY148"/>
  <c r="AY200"/>
  <c r="AY138"/>
  <c r="AY183"/>
  <c r="AY288"/>
  <c r="AY227"/>
  <c r="AY206"/>
  <c r="AY257"/>
  <c r="AY371"/>
  <c r="AY335"/>
  <c r="AY316"/>
  <c r="AY337"/>
  <c r="AY318"/>
  <c r="AY558"/>
  <c r="AY520"/>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AY268"/>
  <c r="AY431"/>
  <c r="BN6"/>
  <c r="AY239"/>
  <c r="AY407"/>
  <c r="AY500"/>
  <c r="AY552"/>
  <c r="AY107"/>
  <c r="AY140"/>
  <c r="AY458"/>
  <c r="AY527"/>
  <c r="AY152"/>
  <c r="AY461"/>
  <c r="AY489"/>
  <c r="AY519"/>
  <c r="AY546"/>
  <c r="AY66"/>
  <c r="AY242"/>
  <c r="AY325"/>
  <c r="AY417"/>
  <c r="AY186"/>
  <c r="AY287"/>
  <c r="BF6"/>
  <c r="AY163"/>
  <c r="AY222"/>
  <c r="AY385"/>
  <c r="AY470"/>
  <c r="AY418"/>
  <c r="AY460"/>
  <c r="AY393"/>
  <c r="AY173"/>
  <c r="AY410"/>
  <c r="AY338"/>
  <c r="AY339"/>
  <c r="AY119"/>
  <c r="AY434"/>
  <c r="AY312"/>
  <c r="BO6"/>
  <c r="AY59"/>
  <c r="AY56"/>
  <c r="AY284"/>
  <c r="AY433"/>
  <c r="AY533"/>
  <c r="AY289"/>
  <c r="AY444"/>
  <c r="AY490"/>
  <c r="AY522"/>
  <c r="AY512"/>
  <c r="AY79"/>
  <c r="AY547"/>
  <c r="AY89"/>
  <c r="AY93"/>
  <c r="AY134"/>
  <c r="AY210"/>
  <c r="AY306"/>
  <c r="AY313"/>
  <c r="AY419"/>
  <c r="AY455"/>
  <c r="AY102"/>
  <c r="AY130"/>
  <c r="AY261"/>
  <c r="AY297"/>
  <c r="AY33"/>
  <c r="AY125"/>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78"/>
  <c r="AY174"/>
  <c r="AY299"/>
  <c r="AY90"/>
  <c r="AY153"/>
  <c r="AY351"/>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M27" i="6"/>
  <c r="I19"/>
  <c r="L38" i="69"/>
  <c r="D44"/>
  <c r="D46"/>
  <c r="D45"/>
  <c r="D16" i="43"/>
  <c r="C16" s="1"/>
  <c r="C21" i="4"/>
  <c r="O5" i="54" s="1"/>
  <c r="B45" i="63" s="1"/>
  <c r="D10" i="11"/>
  <c r="D44" i="9"/>
  <c r="D46"/>
  <c r="E6" i="6"/>
  <c r="L38" i="9"/>
  <c r="B14" i="66" s="1"/>
  <c r="B1" s="1"/>
  <c r="D45" i="9"/>
  <c r="C115" i="72"/>
  <c r="D113" s="1"/>
  <c r="C106" i="46"/>
  <c r="C105"/>
  <c r="C109"/>
  <c r="C103"/>
  <c r="C104"/>
  <c r="C107"/>
  <c r="C102"/>
  <c r="J104"/>
  <c r="J103"/>
  <c r="J105"/>
  <c r="J109"/>
  <c r="J106"/>
  <c r="J107"/>
  <c r="J102"/>
  <c r="N109"/>
  <c r="N103"/>
  <c r="N104"/>
  <c r="N106"/>
  <c r="N105"/>
  <c r="N102"/>
  <c r="N107"/>
  <c r="D106"/>
  <c r="D105"/>
  <c r="D107"/>
  <c r="D102"/>
  <c r="D104"/>
  <c r="D109"/>
  <c r="D103"/>
  <c r="H102"/>
  <c r="H107"/>
  <c r="H103"/>
  <c r="H104"/>
  <c r="H105"/>
  <c r="H106"/>
  <c r="H109"/>
  <c r="S7" i="72"/>
  <c r="S6"/>
  <c r="S4"/>
  <c r="S5"/>
  <c r="S2"/>
  <c r="S3"/>
  <c r="G104" i="46"/>
  <c r="G103"/>
  <c r="G106"/>
  <c r="G102"/>
  <c r="G107"/>
  <c r="G109"/>
  <c r="G105"/>
  <c r="D118"/>
  <c r="E118" s="1"/>
  <c r="F118" s="1"/>
  <c r="I115"/>
  <c r="J115" s="1"/>
  <c r="K115" s="1"/>
  <c r="L115" s="1"/>
  <c r="M115" s="1"/>
  <c r="B117"/>
  <c r="C117" s="1"/>
  <c r="D115"/>
  <c r="E115" s="1"/>
  <c r="F115" s="1"/>
  <c r="G115" s="1"/>
  <c r="H115" s="1"/>
  <c r="I118"/>
  <c r="J118" s="1"/>
  <c r="K118" s="1"/>
  <c r="L118" s="1"/>
  <c r="M118" s="1"/>
  <c r="D116"/>
  <c r="E116" s="1"/>
  <c r="F116" s="1"/>
  <c r="G116" s="1"/>
  <c r="H116" s="1"/>
  <c r="B118"/>
  <c r="C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9"/>
  <c r="K104"/>
  <c r="K105"/>
  <c r="K102"/>
  <c r="K106"/>
  <c r="K107"/>
  <c r="K103"/>
  <c r="F109"/>
  <c r="F107"/>
  <c r="F104"/>
  <c r="F106"/>
  <c r="F103"/>
  <c r="F105"/>
  <c r="F102"/>
  <c r="I105"/>
  <c r="I104"/>
  <c r="I103"/>
  <c r="I106"/>
  <c r="I102"/>
  <c r="I109"/>
  <c r="I107"/>
  <c r="M107"/>
  <c r="M102"/>
  <c r="M109"/>
  <c r="M106"/>
  <c r="M104"/>
  <c r="M103"/>
  <c r="M105"/>
  <c r="D22"/>
  <c r="C21" s="1"/>
  <c r="AA12" i="39"/>
  <c r="S12"/>
  <c r="AB12" i="40"/>
  <c r="U12"/>
  <c r="AA12"/>
  <c r="S12"/>
  <c r="AC12" i="39"/>
  <c r="W12"/>
  <c r="U12"/>
  <c r="AB12"/>
  <c r="W12" i="40"/>
  <c r="AC12"/>
  <c r="G42" i="35"/>
  <c r="H42" s="1"/>
  <c r="G43"/>
  <c r="H43" s="1"/>
  <c r="G52" i="21"/>
  <c r="H52" s="1"/>
  <c r="G53"/>
  <c r="H53" s="1"/>
  <c r="I46" i="37"/>
  <c r="J46" s="1"/>
  <c r="E42"/>
  <c r="I47" s="1"/>
  <c r="J47" s="1"/>
  <c r="R43"/>
  <c r="G40" i="36"/>
  <c r="H40" s="1"/>
  <c r="G41"/>
  <c r="H41" s="1"/>
  <c r="AA7" i="21"/>
  <c r="R48" s="1"/>
  <c r="S7"/>
  <c r="AA7" i="34"/>
  <c r="S7"/>
  <c r="G46" i="37"/>
  <c r="H46" s="1"/>
  <c r="G47"/>
  <c r="H47" s="1"/>
  <c r="I52" i="21"/>
  <c r="J52" s="1"/>
  <c r="E36" i="36"/>
  <c r="I41" s="1"/>
  <c r="J41" s="1"/>
  <c r="R37"/>
  <c r="S7" i="35"/>
  <c r="AA7"/>
  <c r="R38" s="1"/>
  <c r="AA7" i="33"/>
  <c r="R48" s="1"/>
  <c r="S7"/>
  <c r="AC7" i="34"/>
  <c r="V49" s="1"/>
  <c r="I49" s="1"/>
  <c r="W7"/>
  <c r="J70" i="39"/>
  <c r="I72"/>
  <c r="J65" i="40"/>
  <c r="I67"/>
  <c r="I42" i="35"/>
  <c r="J42" s="1"/>
  <c r="I52" i="33"/>
  <c r="J52" s="1"/>
  <c r="I40" i="36"/>
  <c r="J40" s="1"/>
  <c r="J28" i="44"/>
  <c r="J31" s="1"/>
  <c r="J26"/>
  <c r="J20"/>
  <c r="C34"/>
  <c r="C40"/>
  <c r="C52" i="15"/>
  <c r="C47" s="1"/>
  <c r="J26"/>
  <c r="J29" s="1"/>
  <c r="J24"/>
  <c r="J18"/>
  <c r="M27"/>
  <c r="E3" i="65"/>
  <c r="C17" i="78"/>
  <c r="C16"/>
  <c r="E7" i="67"/>
  <c r="L52" i="44"/>
  <c r="D16" i="12"/>
  <c r="E2" i="65"/>
  <c r="F7" i="67"/>
  <c r="G54" i="34" l="1"/>
  <c r="H54" s="1"/>
  <c r="J18" i="78"/>
  <c r="J26"/>
  <c r="Q75"/>
  <c r="Q62"/>
  <c r="Q67"/>
  <c r="Q58"/>
  <c r="Q53"/>
  <c r="F1"/>
  <c r="C47"/>
  <c r="C59" s="1"/>
  <c r="Q61"/>
  <c r="Q74"/>
  <c r="B40" i="1"/>
  <c r="F17" i="11"/>
  <c r="C17" s="1"/>
  <c r="C19" s="1"/>
  <c r="C20" s="1"/>
  <c r="C21" s="1"/>
  <c r="C22" s="1"/>
  <c r="C23" s="1"/>
  <c r="B2" s="1"/>
  <c r="B3" s="1"/>
  <c r="M19" i="46"/>
  <c r="T24" i="59"/>
  <c r="D24"/>
  <c r="M19" i="72" s="1"/>
  <c r="T16" i="59"/>
  <c r="D16"/>
  <c r="M20" i="72" s="1"/>
  <c r="C19" s="1"/>
  <c r="P17" i="46"/>
  <c r="N17"/>
  <c r="O17"/>
  <c r="M17"/>
  <c r="G20" s="1"/>
  <c r="M17" i="72"/>
  <c r="N17"/>
  <c r="G20" s="1"/>
  <c r="P17"/>
  <c r="O17"/>
  <c r="R49" i="34"/>
  <c r="E49" s="1"/>
  <c r="G53" i="33"/>
  <c r="H53" s="1"/>
  <c r="G52"/>
  <c r="H52" s="1"/>
  <c r="T13" i="1"/>
  <c r="T10"/>
  <c r="T6"/>
  <c r="T8"/>
  <c r="O14"/>
  <c r="O16" s="1"/>
  <c r="T7"/>
  <c r="T9"/>
  <c r="T11"/>
  <c r="T12"/>
  <c r="M16"/>
  <c r="N16" s="1"/>
  <c r="C29" i="43" s="1"/>
  <c r="D13" i="11"/>
  <c r="C13" s="1"/>
  <c r="I27" i="6"/>
  <c r="S19"/>
  <c r="S27" s="1"/>
  <c r="C7" i="66"/>
  <c r="C8"/>
  <c r="C6"/>
  <c r="D19" i="12"/>
  <c r="C19" s="1"/>
  <c r="C16"/>
  <c r="E63" i="40"/>
  <c r="C22" i="4"/>
  <c r="D19" i="6"/>
  <c r="F1" i="46" s="1"/>
  <c r="D21" i="6"/>
  <c r="D25"/>
  <c r="D10"/>
  <c r="D13"/>
  <c r="H21"/>
  <c r="H24"/>
  <c r="D6"/>
  <c r="D23"/>
  <c r="D14"/>
  <c r="D28"/>
  <c r="D20"/>
  <c r="F1" i="72" s="1"/>
  <c r="D8" i="6"/>
  <c r="H23"/>
  <c r="E45" i="9"/>
  <c r="F45"/>
  <c r="F44"/>
  <c r="F46"/>
  <c r="E46"/>
  <c r="E68" i="39"/>
  <c r="H19" i="6"/>
  <c r="K38" i="9"/>
  <c r="C14" i="66" s="1"/>
  <c r="B2" s="1"/>
  <c r="D24" i="6"/>
  <c r="R24" s="1"/>
  <c r="D26"/>
  <c r="D22"/>
  <c r="D11"/>
  <c r="D12"/>
  <c r="H20"/>
  <c r="H25"/>
  <c r="D9"/>
  <c r="D5"/>
  <c r="D29"/>
  <c r="H22"/>
  <c r="D15"/>
  <c r="H26"/>
  <c r="E44" i="9"/>
  <c r="K38" i="69"/>
  <c r="F44"/>
  <c r="E45"/>
  <c r="E46"/>
  <c r="E44"/>
  <c r="F45"/>
  <c r="F46"/>
  <c r="S5" i="46"/>
  <c r="S7"/>
  <c r="S6"/>
  <c r="S2"/>
  <c r="S3"/>
  <c r="S4"/>
  <c r="C115"/>
  <c r="D113" s="1"/>
  <c r="K65" i="40"/>
  <c r="J67"/>
  <c r="K70" i="39"/>
  <c r="J72"/>
  <c r="I53" i="34"/>
  <c r="J53" s="1"/>
  <c r="R49" i="33"/>
  <c r="E48"/>
  <c r="E40" i="36"/>
  <c r="F40" s="1"/>
  <c r="E41"/>
  <c r="F41" s="1"/>
  <c r="R50" i="34"/>
  <c r="R49" i="21"/>
  <c r="E48"/>
  <c r="E46" i="37"/>
  <c r="F46" s="1"/>
  <c r="E47"/>
  <c r="F47" s="1"/>
  <c r="E38" i="35"/>
  <c r="R39"/>
  <c r="C37" i="36"/>
  <c r="B3" s="1"/>
  <c r="B2" s="1"/>
  <c r="C36"/>
  <c r="C43" i="37"/>
  <c r="B3" s="1"/>
  <c r="B2" s="1"/>
  <c r="C42"/>
  <c r="E4" i="67"/>
  <c r="E3"/>
  <c r="Q69" i="44"/>
  <c r="L58"/>
  <c r="L61" s="1"/>
  <c r="C59" i="15"/>
  <c r="C65"/>
  <c r="Q49" i="44"/>
  <c r="Q55" s="1"/>
  <c r="Q67"/>
  <c r="Q58"/>
  <c r="C16"/>
  <c r="AE7" i="1"/>
  <c r="C14" i="15"/>
  <c r="C14" i="78"/>
  <c r="D22" i="12"/>
  <c r="C13" i="75"/>
  <c r="B7" i="67"/>
  <c r="AG7" i="1" l="1"/>
  <c r="C65" i="78"/>
  <c r="C60"/>
  <c r="C15"/>
  <c r="C18"/>
  <c r="M20" i="46"/>
  <c r="C19" s="1"/>
  <c r="F26" i="12"/>
  <c r="C27" s="1"/>
  <c r="D26" s="1"/>
  <c r="C32" s="1"/>
  <c r="D30" s="1"/>
  <c r="F24" i="78"/>
  <c r="F24" i="15"/>
  <c r="C24" s="1"/>
  <c r="F26" i="75"/>
  <c r="C27" s="1"/>
  <c r="D26" s="1"/>
  <c r="C32" s="1"/>
  <c r="D30" s="1"/>
  <c r="F21" i="43"/>
  <c r="C23" s="1"/>
  <c r="D21" s="1"/>
  <c r="F26" i="44"/>
  <c r="C26" s="1"/>
  <c r="B5" i="11"/>
  <c r="B4"/>
  <c r="C17" i="75"/>
  <c r="C14"/>
  <c r="E41" i="72"/>
  <c r="C41" s="1"/>
  <c r="C20"/>
  <c r="T4" s="1"/>
  <c r="V4" s="1"/>
  <c r="E41" i="46"/>
  <c r="C41" s="1"/>
  <c r="C38" s="1"/>
  <c r="E38" s="1"/>
  <c r="C20"/>
  <c r="C22" i="12"/>
  <c r="C20" s="1"/>
  <c r="H27" i="6"/>
  <c r="D16"/>
  <c r="D30"/>
  <c r="C15" i="15"/>
  <c r="C18"/>
  <c r="C17" i="44"/>
  <c r="C20"/>
  <c r="L16" i="1"/>
  <c r="C13" i="43"/>
  <c r="T16" i="1"/>
  <c r="P14"/>
  <c r="P16" s="1"/>
  <c r="D8" i="66"/>
  <c r="D6"/>
  <c r="D7"/>
  <c r="A6" i="51"/>
  <c r="B7" i="63" s="1"/>
  <c r="A6" i="64"/>
  <c r="A20"/>
  <c r="A20" i="51"/>
  <c r="B15" i="63" s="1"/>
  <c r="N5" i="54"/>
  <c r="B43" i="63" s="1"/>
  <c r="R26" i="6"/>
  <c r="R20"/>
  <c r="R7" i="1" s="1"/>
  <c r="R21" i="6"/>
  <c r="R19"/>
  <c r="D27"/>
  <c r="R22"/>
  <c r="R23"/>
  <c r="R25"/>
  <c r="E43" i="35"/>
  <c r="F43" s="1"/>
  <c r="E42"/>
  <c r="F42" s="1"/>
  <c r="I43"/>
  <c r="J43" s="1"/>
  <c r="C48" i="21"/>
  <c r="C49"/>
  <c r="B3" s="1"/>
  <c r="B2" s="1"/>
  <c r="C50" i="34"/>
  <c r="U7" i="1" s="1"/>
  <c r="C49" i="34"/>
  <c r="C48" i="33"/>
  <c r="C49"/>
  <c r="U6" i="1" s="1"/>
  <c r="L70" i="39"/>
  <c r="K72"/>
  <c r="L65" i="40"/>
  <c r="K67"/>
  <c r="C38" i="35"/>
  <c r="C39"/>
  <c r="B3" s="1"/>
  <c r="B2" s="1"/>
  <c r="E53" i="21"/>
  <c r="F53" s="1"/>
  <c r="E52"/>
  <c r="F52" s="1"/>
  <c r="I53"/>
  <c r="J53" s="1"/>
  <c r="E54" i="34"/>
  <c r="F54" s="1"/>
  <c r="E53"/>
  <c r="F53" s="1"/>
  <c r="E52" i="33"/>
  <c r="F52" s="1"/>
  <c r="E53"/>
  <c r="F53" s="1"/>
  <c r="I53"/>
  <c r="J53" s="1"/>
  <c r="I54" i="34"/>
  <c r="J54" s="1"/>
  <c r="B2" i="67"/>
  <c r="Q68" i="44"/>
  <c r="Q77" s="1"/>
  <c r="Q59"/>
  <c r="Q64" s="1"/>
  <c r="F41" i="78"/>
  <c r="M21"/>
  <c r="F35"/>
  <c r="F6"/>
  <c r="M27"/>
  <c r="F6" i="15"/>
  <c r="C13" i="12"/>
  <c r="F68" i="78" l="1"/>
  <c r="J29"/>
  <c r="C19"/>
  <c r="C20" s="1"/>
  <c r="C26" s="1"/>
  <c r="C6" i="15"/>
  <c r="C10" s="1"/>
  <c r="C5" s="1"/>
  <c r="F62" i="78"/>
  <c r="C61" s="1"/>
  <c r="C58" s="1"/>
  <c r="C34"/>
  <c r="J20"/>
  <c r="T7" i="46"/>
  <c r="V7" s="1"/>
  <c r="C6" i="78"/>
  <c r="C10" s="1"/>
  <c r="C5" s="1"/>
  <c r="C24"/>
  <c r="C23"/>
  <c r="C18" i="75"/>
  <c r="C23" s="1"/>
  <c r="T3" i="72"/>
  <c r="V3" s="1"/>
  <c r="T6"/>
  <c r="V6" s="1"/>
  <c r="T9"/>
  <c r="V9" s="1"/>
  <c r="T12"/>
  <c r="V12" s="1"/>
  <c r="T14" i="46"/>
  <c r="V14" s="1"/>
  <c r="T16"/>
  <c r="V16" s="1"/>
  <c r="T3"/>
  <c r="V3" s="1"/>
  <c r="G38"/>
  <c r="I38" s="1"/>
  <c r="C36"/>
  <c r="C34"/>
  <c r="T5"/>
  <c r="V5" s="1"/>
  <c r="D31" i="6"/>
  <c r="I5" s="1"/>
  <c r="C35" i="46"/>
  <c r="T10"/>
  <c r="V10" s="1"/>
  <c r="T9"/>
  <c r="V9" s="1"/>
  <c r="C37"/>
  <c r="C33"/>
  <c r="T12"/>
  <c r="V12" s="1"/>
  <c r="T11"/>
  <c r="V11" s="1"/>
  <c r="T10" i="72"/>
  <c r="V10" s="1"/>
  <c r="T14"/>
  <c r="V14" s="1"/>
  <c r="C33"/>
  <c r="T11"/>
  <c r="V11" s="1"/>
  <c r="C29" i="46"/>
  <c r="T13"/>
  <c r="V13" s="1"/>
  <c r="T8"/>
  <c r="V8" s="1"/>
  <c r="T15"/>
  <c r="V15" s="1"/>
  <c r="T6"/>
  <c r="V6" s="1"/>
  <c r="T2"/>
  <c r="V2" s="1"/>
  <c r="C38" i="72"/>
  <c r="C39"/>
  <c r="T4" i="46"/>
  <c r="V4" s="1"/>
  <c r="C39"/>
  <c r="C35" i="72"/>
  <c r="T8"/>
  <c r="V8" s="1"/>
  <c r="T7"/>
  <c r="V7" s="1"/>
  <c r="C37"/>
  <c r="C29"/>
  <c r="T15"/>
  <c r="V15" s="1"/>
  <c r="T5"/>
  <c r="V5" s="1"/>
  <c r="T2"/>
  <c r="V2" s="1"/>
  <c r="C34"/>
  <c r="T13"/>
  <c r="V13" s="1"/>
  <c r="T16"/>
  <c r="V16" s="1"/>
  <c r="C36"/>
  <c r="B3" i="34"/>
  <c r="B2" s="1"/>
  <c r="B3" i="33"/>
  <c r="B2" s="1"/>
  <c r="C19" i="15"/>
  <c r="C20" s="1"/>
  <c r="C26" s="1"/>
  <c r="R27" i="6"/>
  <c r="R6" i="1"/>
  <c r="C21" i="44"/>
  <c r="C22" s="1"/>
  <c r="C25" s="1"/>
  <c r="C14" i="12"/>
  <c r="C17"/>
  <c r="C14" i="43"/>
  <c r="C17"/>
  <c r="I6" i="6"/>
  <c r="L67" i="40"/>
  <c r="M65"/>
  <c r="M70" i="39"/>
  <c r="L72"/>
  <c r="B3" i="67"/>
  <c r="B4"/>
  <c r="F35" i="15"/>
  <c r="M21"/>
  <c r="J20" l="1"/>
  <c r="C34"/>
  <c r="F62"/>
  <c r="C61" s="1"/>
  <c r="R16" i="1"/>
  <c r="C32" i="15"/>
  <c r="C38"/>
  <c r="C33" i="78"/>
  <c r="C38"/>
  <c r="C32"/>
  <c r="C29"/>
  <c r="C56" s="1"/>
  <c r="C63" s="1"/>
  <c r="E34" i="46"/>
  <c r="G34"/>
  <c r="I34" s="1"/>
  <c r="E36"/>
  <c r="G36"/>
  <c r="I36" s="1"/>
  <c r="G34" i="72"/>
  <c r="I34" s="1"/>
  <c r="E34"/>
  <c r="E29"/>
  <c r="C30"/>
  <c r="E30" s="1"/>
  <c r="E35"/>
  <c r="G35"/>
  <c r="I35" s="1"/>
  <c r="G36"/>
  <c r="I36" s="1"/>
  <c r="E36"/>
  <c r="E37"/>
  <c r="G37"/>
  <c r="I37" s="1"/>
  <c r="G39" i="46"/>
  <c r="I39" s="1"/>
  <c r="E39"/>
  <c r="E39" i="72"/>
  <c r="G39"/>
  <c r="I39" s="1"/>
  <c r="E33" i="46"/>
  <c r="G33"/>
  <c r="I33" s="1"/>
  <c r="G35"/>
  <c r="I35" s="1"/>
  <c r="E35"/>
  <c r="E38" i="72"/>
  <c r="G38"/>
  <c r="I38" s="1"/>
  <c r="E29" i="46"/>
  <c r="C30"/>
  <c r="E30" s="1"/>
  <c r="G33" i="72"/>
  <c r="I33" s="1"/>
  <c r="E33"/>
  <c r="E37" i="46"/>
  <c r="G37"/>
  <c r="I37" s="1"/>
  <c r="C28" i="44"/>
  <c r="C31" s="1"/>
  <c r="C18" i="43"/>
  <c r="C19" s="1"/>
  <c r="C25" s="1"/>
  <c r="C24" s="1"/>
  <c r="C23" i="15"/>
  <c r="C29" s="1"/>
  <c r="C36" s="1"/>
  <c r="C18" i="12"/>
  <c r="N65" i="40"/>
  <c r="N67" s="1"/>
  <c r="M67"/>
  <c r="J9" s="1"/>
  <c r="H9"/>
  <c r="F9"/>
  <c r="N70" i="39"/>
  <c r="N72" s="1"/>
  <c r="M72"/>
  <c r="H9" s="1"/>
  <c r="C31" i="78" l="1"/>
  <c r="J19"/>
  <c r="J17" s="1"/>
  <c r="C13"/>
  <c r="C55" s="1"/>
  <c r="C64" s="1"/>
  <c r="C57" s="1"/>
  <c r="C66" s="1"/>
  <c r="C67" s="1"/>
  <c r="Q50"/>
  <c r="J14"/>
  <c r="J13" s="1"/>
  <c r="J23" s="1"/>
  <c r="C36"/>
  <c r="F9" i="39"/>
  <c r="AA9" s="1"/>
  <c r="R49" s="1"/>
  <c r="J9"/>
  <c r="AC9" s="1"/>
  <c r="V49" s="1"/>
  <c r="I49" s="1"/>
  <c r="C27" i="46"/>
  <c r="C27" i="72"/>
  <c r="C26" i="46"/>
  <c r="B2" s="1"/>
  <c r="C26" i="72"/>
  <c r="B2" s="1"/>
  <c r="J59" i="15"/>
  <c r="J60" s="1"/>
  <c r="Q49" s="1"/>
  <c r="C33"/>
  <c r="C31" s="1"/>
  <c r="Q51" i="44"/>
  <c r="C38"/>
  <c r="C15"/>
  <c r="C39" s="1"/>
  <c r="J21"/>
  <c r="J19" s="1"/>
  <c r="C13" i="15"/>
  <c r="J35" s="1"/>
  <c r="Q50"/>
  <c r="C35" i="44"/>
  <c r="C33" s="1"/>
  <c r="J16"/>
  <c r="J24" s="1"/>
  <c r="J19" i="15"/>
  <c r="J17" s="1"/>
  <c r="J14"/>
  <c r="J22" s="1"/>
  <c r="C56"/>
  <c r="C60" s="1"/>
  <c r="C58" s="1"/>
  <c r="C22" i="43"/>
  <c r="C21" s="1"/>
  <c r="C28" s="1"/>
  <c r="C30" s="1"/>
  <c r="C32" s="1"/>
  <c r="B2" s="1"/>
  <c r="B4" s="1"/>
  <c r="Q72" i="44"/>
  <c r="C23" i="12"/>
  <c r="AB9" i="39"/>
  <c r="T49" s="1"/>
  <c r="G49" s="1"/>
  <c r="U9"/>
  <c r="W9"/>
  <c r="AC9" i="40"/>
  <c r="V44" s="1"/>
  <c r="I44" s="1"/>
  <c r="W9"/>
  <c r="S9"/>
  <c r="AA9"/>
  <c r="R44" s="1"/>
  <c r="AB9"/>
  <c r="T44" s="1"/>
  <c r="G44" s="1"/>
  <c r="U9"/>
  <c r="D19" i="9"/>
  <c r="D19" i="69"/>
  <c r="Q71" i="78" l="1"/>
  <c r="J22"/>
  <c r="J16" s="1"/>
  <c r="J25" s="1"/>
  <c r="C37"/>
  <c r="C30" s="1"/>
  <c r="C39" s="1"/>
  <c r="J35"/>
  <c r="C70"/>
  <c r="L44" i="69"/>
  <c r="L44" i="9"/>
  <c r="S9" i="39"/>
  <c r="B4" i="46"/>
  <c r="B3"/>
  <c r="D4"/>
  <c r="D4" i="72"/>
  <c r="B3"/>
  <c r="B4"/>
  <c r="B5" i="43"/>
  <c r="J15" i="44"/>
  <c r="J25" s="1"/>
  <c r="J18" s="1"/>
  <c r="J27" s="1"/>
  <c r="C63" i="15"/>
  <c r="C37"/>
  <c r="C30" s="1"/>
  <c r="C39" s="1"/>
  <c r="Q70" s="1"/>
  <c r="Q71"/>
  <c r="C43" i="44"/>
  <c r="C32"/>
  <c r="C42" s="1"/>
  <c r="Q71" s="1"/>
  <c r="Q70" s="1"/>
  <c r="C55" i="15"/>
  <c r="C64" s="1"/>
  <c r="J13"/>
  <c r="J23" s="1"/>
  <c r="J16" s="1"/>
  <c r="J25" s="1"/>
  <c r="B3" i="43"/>
  <c r="G48" i="40"/>
  <c r="H48" s="1"/>
  <c r="G49"/>
  <c r="H49" s="1"/>
  <c r="I48"/>
  <c r="J48" s="1"/>
  <c r="I53" i="39"/>
  <c r="J53" s="1"/>
  <c r="G53"/>
  <c r="H53" s="1"/>
  <c r="G54"/>
  <c r="H54" s="1"/>
  <c r="E49"/>
  <c r="I54" s="1"/>
  <c r="J54" s="1"/>
  <c r="R50"/>
  <c r="E44" i="40"/>
  <c r="I49" s="1"/>
  <c r="J49" s="1"/>
  <c r="R45"/>
  <c r="D20" i="9"/>
  <c r="L51" i="78"/>
  <c r="D21" i="9"/>
  <c r="D20" i="69"/>
  <c r="D21"/>
  <c r="C40" i="78" l="1"/>
  <c r="C46" s="1"/>
  <c r="Q70"/>
  <c r="Q69" s="1"/>
  <c r="J39"/>
  <c r="J40" s="1"/>
  <c r="Q68"/>
  <c r="Q66"/>
  <c r="Q76" s="1"/>
  <c r="C4" i="77"/>
  <c r="C2"/>
  <c r="C57" i="15"/>
  <c r="C66" s="1"/>
  <c r="C67" s="1"/>
  <c r="C70" s="1"/>
  <c r="Q69"/>
  <c r="C40"/>
  <c r="C43" s="1"/>
  <c r="J39"/>
  <c r="J40" s="1"/>
  <c r="C44" i="44"/>
  <c r="C45" s="1"/>
  <c r="B2" s="1"/>
  <c r="B3" s="1"/>
  <c r="E48" i="40"/>
  <c r="F48" s="1"/>
  <c r="E49"/>
  <c r="F49" s="1"/>
  <c r="E54" i="39"/>
  <c r="F54" s="1"/>
  <c r="E53"/>
  <c r="F53" s="1"/>
  <c r="C44" i="40"/>
  <c r="C45"/>
  <c r="C50" i="39"/>
  <c r="C49"/>
  <c r="L51" i="15"/>
  <c r="M30" i="12" l="1"/>
  <c r="C8"/>
  <c r="B2" i="78"/>
  <c r="Q48"/>
  <c r="Q54" s="1"/>
  <c r="J42"/>
  <c r="J43" s="1"/>
  <c r="C43"/>
  <c r="Q57"/>
  <c r="Q63" s="1"/>
  <c r="Q68" i="15"/>
  <c r="L57"/>
  <c r="L60" s="1"/>
  <c r="J42"/>
  <c r="J43" s="1"/>
  <c r="Q48"/>
  <c r="Q54" s="1"/>
  <c r="C46"/>
  <c r="Q66"/>
  <c r="Q57"/>
  <c r="B5" i="44"/>
  <c r="B4"/>
  <c r="B55" i="40"/>
  <c r="F55" s="1"/>
  <c r="B60"/>
  <c r="F60" s="1"/>
  <c r="F63"/>
  <c r="B2" s="1"/>
  <c r="B61"/>
  <c r="F61" s="1"/>
  <c r="B54"/>
  <c r="F54" s="1"/>
  <c r="B53"/>
  <c r="F53" s="1"/>
  <c r="B56"/>
  <c r="F56" s="1"/>
  <c r="B58"/>
  <c r="F58" s="1"/>
  <c r="B57"/>
  <c r="F57" s="1"/>
  <c r="B59"/>
  <c r="F59" s="1"/>
  <c r="B62"/>
  <c r="F62" s="1"/>
  <c r="B66" i="39"/>
  <c r="F66" s="1"/>
  <c r="B61"/>
  <c r="F61" s="1"/>
  <c r="B59"/>
  <c r="F59" s="1"/>
  <c r="B63"/>
  <c r="F63" s="1"/>
  <c r="B60"/>
  <c r="F60" s="1"/>
  <c r="F68"/>
  <c r="B2" s="1"/>
  <c r="B64"/>
  <c r="F64" s="1"/>
  <c r="B65"/>
  <c r="F65" s="1"/>
  <c r="B58"/>
  <c r="F58" s="1"/>
  <c r="B62"/>
  <c r="F62" s="1"/>
  <c r="B67"/>
  <c r="F67" s="1"/>
  <c r="B3" i="78" l="1"/>
  <c r="C10" i="75"/>
  <c r="C8"/>
  <c r="Q67" i="15"/>
  <c r="Q76" s="1"/>
  <c r="L46"/>
  <c r="B2" s="1"/>
  <c r="Q58"/>
  <c r="Q63" s="1"/>
  <c r="B3" i="39"/>
  <c r="B4"/>
  <c r="B5"/>
  <c r="B3" i="40"/>
  <c r="B4"/>
  <c r="B5"/>
  <c r="C6" i="75" l="1"/>
  <c r="C24" s="1"/>
  <c r="B3" i="15"/>
  <c r="C10" i="12"/>
  <c r="C6" s="1"/>
  <c r="C24" s="1"/>
  <c r="C35" s="1"/>
  <c r="C33" s="1"/>
  <c r="C29" i="75"/>
  <c r="C28" i="12" l="1"/>
  <c r="C26" s="1"/>
  <c r="C29"/>
  <c r="C28" i="75"/>
  <c r="C26" s="1"/>
  <c r="C31" s="1"/>
  <c r="C30" s="1"/>
  <c r="C35"/>
  <c r="C33" s="1"/>
  <c r="C31" i="12" l="1"/>
  <c r="C30" s="1"/>
  <c r="C36" s="1"/>
  <c r="B2" s="1"/>
  <c r="C36" i="75"/>
  <c r="B2" s="1"/>
  <c r="B5" i="12"/>
  <c r="B3"/>
  <c r="C20" i="69"/>
  <c r="B4" i="12"/>
  <c r="C19" i="69"/>
  <c r="C19" i="9"/>
  <c r="B4" i="75"/>
  <c r="B3"/>
  <c r="L43" i="69" l="1"/>
  <c r="D22"/>
  <c r="G19"/>
  <c r="G22" s="1"/>
  <c r="C32"/>
  <c r="O43" s="1"/>
  <c r="C3" i="77"/>
  <c r="E2" s="1"/>
  <c r="G20" i="69"/>
  <c r="G19" i="9"/>
  <c r="L43"/>
  <c r="D22"/>
  <c r="C35" i="69"/>
  <c r="F42" s="1"/>
  <c r="C21"/>
  <c r="B5" i="75"/>
  <c r="C20" i="9"/>
  <c r="C21"/>
  <c r="G21" i="69" l="1"/>
  <c r="C34"/>
  <c r="O38"/>
  <c r="K26" s="1"/>
  <c r="C42"/>
  <c r="N68" s="1"/>
  <c r="C33"/>
  <c r="N38" s="1"/>
  <c r="K28" s="1"/>
  <c r="N43"/>
  <c r="G21" i="9"/>
  <c r="C5" i="77"/>
  <c r="E4" s="1"/>
  <c r="F4" s="1"/>
  <c r="I13" s="1"/>
  <c r="N13" s="1"/>
  <c r="G20" i="9"/>
  <c r="C12" i="77"/>
  <c r="F2"/>
  <c r="I12" s="1"/>
  <c r="G22" i="9"/>
  <c r="N43"/>
  <c r="C32"/>
  <c r="K25" i="69"/>
  <c r="E42"/>
  <c r="M38"/>
  <c r="K27" s="1"/>
  <c r="D42" l="1"/>
  <c r="D63"/>
  <c r="C90" s="1"/>
  <c r="C13" i="77"/>
  <c r="E13" s="1"/>
  <c r="E12"/>
  <c r="D12"/>
  <c r="N12"/>
  <c r="J12"/>
  <c r="C35" i="9"/>
  <c r="F42" s="1"/>
  <c r="O43"/>
  <c r="C34"/>
  <c r="O38"/>
  <c r="C33"/>
  <c r="C42"/>
  <c r="O13" i="77"/>
  <c r="R13"/>
  <c r="D71" i="69"/>
  <c r="D66" s="1"/>
  <c r="N72" s="1"/>
  <c r="C96"/>
  <c r="C91" s="1"/>
  <c r="D77" l="1"/>
  <c r="N75" s="1"/>
  <c r="D70"/>
  <c r="C103"/>
  <c r="C111"/>
  <c r="C104" s="1"/>
  <c r="C113" s="1"/>
  <c r="C114" s="1"/>
  <c r="E114" s="1"/>
  <c r="E115" s="1"/>
  <c r="C82"/>
  <c r="C81" s="1"/>
  <c r="C85" s="1"/>
  <c r="C86" s="1"/>
  <c r="D72" s="1"/>
  <c r="D13" i="77"/>
  <c r="D14" s="1"/>
  <c r="R12"/>
  <c r="R14" s="1"/>
  <c r="O12"/>
  <c r="J13"/>
  <c r="J14" s="1"/>
  <c r="H14"/>
  <c r="N38" i="9"/>
  <c r="K28" s="1"/>
  <c r="D42"/>
  <c r="Q5" i="54" s="1"/>
  <c r="B47" i="63" s="1"/>
  <c r="M38" i="9"/>
  <c r="K27" s="1"/>
  <c r="E42"/>
  <c r="P5" i="54" s="1"/>
  <c r="B46" i="63" s="1"/>
  <c r="N68" i="9"/>
  <c r="D63"/>
  <c r="D14" i="66"/>
  <c r="R5" i="54"/>
  <c r="B48" i="63" s="1"/>
  <c r="K25" i="9"/>
  <c r="K26"/>
  <c r="C97" i="69"/>
  <c r="B5" i="66" l="1"/>
  <c r="E14"/>
  <c r="F14"/>
  <c r="C90" i="9"/>
  <c r="C82"/>
  <c r="C81" s="1"/>
  <c r="C85" s="1"/>
  <c r="C86" s="1"/>
  <c r="D72" s="1"/>
  <c r="D70"/>
  <c r="C103"/>
  <c r="C96"/>
  <c r="C91" s="1"/>
  <c r="C97" s="1"/>
  <c r="D77"/>
  <c r="N75" s="1"/>
  <c r="C111"/>
  <c r="C104" s="1"/>
  <c r="D71"/>
  <c r="D66" s="1"/>
  <c r="N72" s="1"/>
  <c r="C115" i="69"/>
  <c r="D76" s="1"/>
  <c r="D74" s="1"/>
  <c r="N74" s="1"/>
  <c r="O77" s="1"/>
  <c r="O79" s="1"/>
  <c r="C98"/>
  <c r="E98" s="1"/>
  <c r="E99" s="1"/>
  <c r="C113" i="9" l="1"/>
  <c r="C114" s="1"/>
  <c r="E114" s="1"/>
  <c r="E115" s="1"/>
  <c r="C5" i="66"/>
  <c r="D5"/>
  <c r="C98" i="9"/>
  <c r="E98" s="1"/>
  <c r="E99" s="1"/>
  <c r="C99" i="69"/>
  <c r="O78"/>
  <c r="Q77"/>
  <c r="O80"/>
  <c r="O81"/>
  <c r="C99" i="9" l="1"/>
  <c r="C115"/>
  <c r="D76" s="1"/>
  <c r="D74" s="1"/>
  <c r="N74" s="1"/>
  <c r="O77" s="1"/>
  <c r="O79" l="1"/>
  <c r="Q77"/>
  <c r="O78"/>
  <c r="O80" l="1"/>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M7" authorId="0">
      <text>
        <r>
          <rPr>
            <b/>
            <sz val="9"/>
            <color indexed="81"/>
            <rFont val="Tahoma"/>
            <family val="2"/>
          </rPr>
          <t>USER:</t>
        </r>
        <r>
          <rPr>
            <b/>
            <sz val="9"/>
            <color indexed="81"/>
            <rFont val="宋体"/>
            <family val="3"/>
            <charset val="134"/>
          </rPr>
          <t>酒店</t>
        </r>
      </text>
    </comment>
    <comment ref="N8" authorId="0">
      <text>
        <r>
          <rPr>
            <b/>
            <sz val="9"/>
            <color indexed="81"/>
            <rFont val="Tahoma"/>
            <family val="2"/>
          </rPr>
          <t>USER:</t>
        </r>
        <r>
          <rPr>
            <sz val="9"/>
            <color indexed="81"/>
            <rFont val="Tahoma"/>
            <family val="2"/>
          </rPr>
          <t xml:space="preserve">
</t>
        </r>
        <r>
          <rPr>
            <sz val="9"/>
            <color indexed="81"/>
            <rFont val="宋体"/>
            <family val="3"/>
            <charset val="134"/>
          </rPr>
          <t>车库入口</t>
        </r>
      </text>
    </comment>
    <comment ref="E9" authorId="0">
      <text>
        <r>
          <rPr>
            <b/>
            <sz val="9"/>
            <color indexed="81"/>
            <rFont val="Tahoma"/>
            <family val="2"/>
          </rPr>
          <t>USER:</t>
        </r>
        <r>
          <rPr>
            <sz val="9"/>
            <color indexed="81"/>
            <rFont val="Tahoma"/>
            <family val="2"/>
          </rPr>
          <t xml:space="preserve">
</t>
        </r>
        <r>
          <rPr>
            <sz val="9"/>
            <color indexed="81"/>
            <rFont val="宋体"/>
            <family val="3"/>
            <charset val="134"/>
          </rPr>
          <t>连廊</t>
        </r>
      </text>
    </comment>
    <comment ref="G11" authorId="0">
      <text>
        <r>
          <rPr>
            <b/>
            <sz val="9"/>
            <color indexed="81"/>
            <rFont val="Tahoma"/>
            <family val="2"/>
          </rPr>
          <t>USER:</t>
        </r>
        <r>
          <rPr>
            <sz val="9"/>
            <color indexed="81"/>
            <rFont val="Tahoma"/>
            <family val="2"/>
          </rPr>
          <t xml:space="preserve">
</t>
        </r>
        <r>
          <rPr>
            <sz val="9"/>
            <color indexed="81"/>
            <rFont val="宋体"/>
            <family val="3"/>
            <charset val="134"/>
          </rPr>
          <t>车库入口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<sst xmlns="http://schemas.openxmlformats.org/spreadsheetml/2006/main" count="8247" uniqueCount="3155">
  <si>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</si>
  <si>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</si>
  <si>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</si>
  <si>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</si>
  <si>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</si>
  <si>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</si>
  <si>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</si>
  <si>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</si>
  <si>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</si>
  <si>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</si>
  <si>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</si>
  <si>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</si>
  <si>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</si>
  <si>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</si>
  <si>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</si>
  <si>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</si>
  <si>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</si>
  <si>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</si>
  <si>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</si>
  <si>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</si>
  <si>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</si>
  <si>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</si>
  <si>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</si>
  <si>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</si>
  <si>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</si>
  <si>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</si>
  <si>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</si>
  <si>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</si>
  <si>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</si>
  <si>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</si>
  <si>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</si>
  <si>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</si>
  <si>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</si>
  <si>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</si>
  <si>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</si>
  <si>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</si>
  <si>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</si>
  <si>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</si>
  <si>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</si>
  <si>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</si>
  <si>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</si>
  <si>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</si>
  <si>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</si>
  <si>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</si>
  <si>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</si>
  <si>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</si>
  <si>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</si>
  <si>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</si>
  <si>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</si>
  <si>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</si>
  <si>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</si>
  <si>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</si>
  <si>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</si>
  <si>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</si>
  <si>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</si>
  <si>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</si>
  <si>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</si>
  <si>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</si>
  <si>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</si>
  <si>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</si>
  <si>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</si>
  <si>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</si>
  <si>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</si>
  <si>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</si>
  <si>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</si>
  <si>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</si>
  <si>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</si>
  <si>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</si>
  <si>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</si>
  <si>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</si>
  <si>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</si>
  <si>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</si>
  <si>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</si>
  <si>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</si>
  <si>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</si>
  <si>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</si>
  <si>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</si>
  <si>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</si>
  <si>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</si>
  <si>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</si>
  <si>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</si>
  <si>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</si>
  <si>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</si>
  <si>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</si>
  <si>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</si>
  <si>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</si>
  <si>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</si>
  <si>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</si>
  <si>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</si>
  <si>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</si>
  <si>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</si>
  <si>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</si>
  <si>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</si>
  <si>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</si>
  <si>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</si>
  <si>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</si>
  <si>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</si>
  <si>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</si>
  <si>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</si>
  <si>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</si>
  <si>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</si>
  <si>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</si>
  <si>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</si>
  <si>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</si>
  <si>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</si>
  <si>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</si>
  <si>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</si>
  <si>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</si>
  <si>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</si>
  <si>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</si>
  <si>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</si>
  <si>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</si>
  <si>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</si>
  <si>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</si>
  <si>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</si>
  <si>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</si>
  <si>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</si>
  <si>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</si>
  <si>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</si>
  <si>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</si>
  <si>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</si>
  <si>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</si>
  <si>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</si>
  <si>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</si>
  <si>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</si>
  <si>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</si>
  <si>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</si>
  <si>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</si>
  <si>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</si>
  <si>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</si>
  <si>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</si>
  <si>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</si>
  <si>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</si>
  <si>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</si>
  <si>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</si>
  <si>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</si>
  <si>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</si>
  <si>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</si>
  <si>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</si>
  <si>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</si>
  <si>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</si>
  <si>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</si>
  <si>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</si>
  <si>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</si>
  <si>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</si>
  <si>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</si>
  <si>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</si>
  <si>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</si>
  <si>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</si>
  <si>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</si>
  <si>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</si>
  <si>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</si>
  <si>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</si>
  <si>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</si>
  <si>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</si>
  <si>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</si>
  <si>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</si>
  <si>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</si>
  <si>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</si>
  <si>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</si>
  <si>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</si>
  <si>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</si>
  <si>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</si>
  <si>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</si>
  <si>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</si>
  <si>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</si>
  <si>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</si>
  <si>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</si>
  <si>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</si>
  <si>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</si>
  <si>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</si>
  <si>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</si>
  <si>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</si>
  <si>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</si>
  <si>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</si>
  <si>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</si>
  <si>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</si>
  <si>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</si>
  <si>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</si>
  <si>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</si>
  <si>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</si>
  <si>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</si>
  <si>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</si>
  <si>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</si>
  <si>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</si>
  <si>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</si>
  <si>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</si>
  <si>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</si>
  <si>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</si>
  <si>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</si>
  <si>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</si>
  <si>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</si>
  <si>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</si>
  <si>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</si>
  <si>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</si>
  <si>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</si>
  <si>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</si>
  <si>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</si>
  <si>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</si>
  <si>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</si>
  <si>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</si>
  <si>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</si>
  <si>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</si>
  <si>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</si>
  <si>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</si>
  <si>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</si>
  <si>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</si>
  <si>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</si>
  <si>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</si>
  <si>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</si>
  <si>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</si>
  <si>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</si>
  <si>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</si>
  <si>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</si>
  <si>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</si>
  <si>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</si>
  <si>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</si>
  <si>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</si>
  <si>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</si>
  <si>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</si>
  <si>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</si>
  <si>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</si>
  <si>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</si>
  <si>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</si>
  <si>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</si>
  <si>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</si>
  <si>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</si>
  <si>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</si>
  <si>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</si>
  <si>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</si>
  <si>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</si>
  <si>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</si>
  <si>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</si>
  <si>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</si>
  <si>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</si>
  <si>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</si>
  <si>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</si>
  <si>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</si>
  <si>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</si>
  <si>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</si>
  <si>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</si>
  <si>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</si>
  <si>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</si>
  <si>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</si>
  <si>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</si>
  <si>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</si>
  <si>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</si>
  <si>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</si>
  <si>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</si>
  <si>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</si>
  <si>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</si>
  <si>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</si>
  <si>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</si>
  <si>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</si>
  <si>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</si>
  <si>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</si>
  <si>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</si>
  <si>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</si>
  <si>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</si>
  <si>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</si>
  <si>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</si>
  <si>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</si>
  <si>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</si>
  <si>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</si>
  <si>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</si>
  <si>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</si>
  <si>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</si>
  <si>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</si>
  <si>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</si>
  <si>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</si>
  <si>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</si>
  <si>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</si>
  <si>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</si>
  <si>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</si>
  <si>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</si>
  <si>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</si>
  <si>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</si>
  <si>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</si>
  <si>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</si>
  <si>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</si>
  <si>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</si>
  <si>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</si>
  <si>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</si>
  <si>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</si>
  <si>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</si>
  <si>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</si>
  <si>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</si>
  <si>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</si>
  <si>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</si>
  <si>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</si>
  <si>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</si>
  <si>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</si>
  <si>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</si>
  <si>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</si>
  <si>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</si>
  <si>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</si>
  <si>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</si>
  <si>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</si>
  <si>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</si>
  <si>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</si>
  <si>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</si>
  <si>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</si>
  <si>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</si>
  <si>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</si>
  <si>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</si>
  <si>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</si>
  <si>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</si>
  <si>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</si>
  <si>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</si>
  <si>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</si>
  <si>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</si>
  <si>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</si>
  <si>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</si>
  <si>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</si>
  <si>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</si>
  <si>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</si>
  <si>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</si>
  <si>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</si>
  <si>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</si>
  <si>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</si>
  <si>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</si>
  <si>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</si>
  <si>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</si>
  <si>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</si>
  <si>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</si>
  <si>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</si>
  <si>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</si>
  <si>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</si>
  <si>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</si>
  <si>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</si>
  <si>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</si>
  <si>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</si>
  <si>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</si>
  <si>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</si>
  <si>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</si>
  <si>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</si>
  <si>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</si>
  <si>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</si>
  <si>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</si>
  <si>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</si>
  <si>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</si>
  <si>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</si>
  <si>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</si>
  <si>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</si>
  <si>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</si>
  <si>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</si>
  <si>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</si>
  <si>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</si>
  <si>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</si>
  <si>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</si>
  <si>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</si>
  <si>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</si>
  <si>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</si>
  <si>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</si>
  <si>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</si>
  <si>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</si>
  <si>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</si>
  <si>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</si>
  <si>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</si>
  <si>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</si>
  <si>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</si>
  <si>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</si>
  <si>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</si>
  <si>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</si>
  <si>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</si>
  <si>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</si>
  <si>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</si>
  <si>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</si>
  <si>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</si>
  <si>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</si>
  <si>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</si>
  <si>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</si>
  <si>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</si>
  <si>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</si>
  <si>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</si>
  <si>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</si>
  <si>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</si>
  <si>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</si>
  <si>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</si>
  <si>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</si>
  <si>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</si>
  <si>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</si>
  <si>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</si>
  <si>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</si>
  <si>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</si>
  <si>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</si>
  <si>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</si>
  <si>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</si>
  <si>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</si>
  <si>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</si>
  <si>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</si>
  <si>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</si>
  <si>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</si>
  <si>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</si>
  <si>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</si>
  <si>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</si>
  <si>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</si>
  <si>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</si>
  <si>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</si>
  <si>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</si>
  <si>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</si>
  <si>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</si>
  <si>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</si>
  <si>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</si>
  <si>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</si>
  <si>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</si>
  <si>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</si>
  <si>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</si>
  <si>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</si>
  <si>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</si>
  <si>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</si>
  <si>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</si>
  <si>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</si>
  <si>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</si>
  <si>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</si>
  <si>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</si>
  <si>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</si>
  <si>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</si>
  <si>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</si>
  <si>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</si>
  <si>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</si>
  <si>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</si>
  <si>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</si>
  <si>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</si>
  <si>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</si>
  <si>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</si>
  <si>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</si>
  <si>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</si>
  <si>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</si>
  <si>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</si>
  <si>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</si>
  <si>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</si>
  <si>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</si>
  <si>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</si>
  <si>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</si>
  <si>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</si>
  <si>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</si>
  <si>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</si>
  <si>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</si>
  <si>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</si>
  <si>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</si>
  <si>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</si>
  <si>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</si>
  <si>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</si>
  <si>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</si>
  <si>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</si>
  <si>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</si>
  <si>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</si>
  <si>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</si>
  <si>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</si>
  <si>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</si>
  <si>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</si>
  <si>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</si>
  <si>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</si>
  <si>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</si>
  <si>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</si>
  <si>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</si>
  <si>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</si>
  <si>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</si>
  <si>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</si>
  <si>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</si>
  <si>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</si>
  <si>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</si>
  <si>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</si>
  <si>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</si>
  <si>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</si>
  <si>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</si>
  <si>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</si>
  <si>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</si>
  <si>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</si>
  <si>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</si>
  <si>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</si>
  <si>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</si>
  <si>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</si>
  <si>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</si>
  <si>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</si>
  <si>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</si>
  <si>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</si>
  <si>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</si>
  <si>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</si>
  <si>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</si>
  <si>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</si>
  <si>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</si>
  <si>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</si>
  <si>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</si>
  <si>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</si>
  <si>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</si>
  <si>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</si>
  <si>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</si>
  <si>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</si>
  <si>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</si>
  <si>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</si>
  <si>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</si>
  <si>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</si>
  <si>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</si>
  <si>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</si>
  <si>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</si>
  <si>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</si>
  <si>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</si>
  <si>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</si>
  <si>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</si>
  <si>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</si>
  <si>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</si>
  <si>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</si>
  <si>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</si>
  <si>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</si>
  <si>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</si>
  <si>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</si>
  <si>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</si>
  <si>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</si>
  <si>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</si>
  <si>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</si>
  <si>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</si>
  <si>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</si>
  <si>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</si>
  <si>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</si>
  <si>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</si>
  <si>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</si>
  <si>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</si>
  <si>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</si>
  <si>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</si>
  <si>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</si>
  <si>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</si>
  <si>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</si>
  <si>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</si>
  <si>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</si>
  <si>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</si>
  <si>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</si>
  <si>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</si>
  <si>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</si>
  <si>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</si>
  <si>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</si>
  <si>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</si>
  <si>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</si>
  <si>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</si>
  <si>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</si>
  <si>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</si>
  <si>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</si>
  <si>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</si>
  <si>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</si>
  <si>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</si>
  <si>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</si>
  <si>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</si>
  <si>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</si>
  <si>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</si>
  <si>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</si>
  <si>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</si>
  <si>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</si>
  <si>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</si>
  <si>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</si>
  <si>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</si>
  <si>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</si>
  <si>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</si>
  <si>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</si>
  <si>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</si>
  <si>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</si>
  <si>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</si>
  <si>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</si>
  <si>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</si>
  <si>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</si>
  <si>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</si>
  <si>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</si>
  <si>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</si>
  <si>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</si>
  <si>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</si>
  <si>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</si>
  <si>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</si>
  <si>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</si>
  <si>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</si>
  <si>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</si>
  <si>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</si>
  <si>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</si>
  <si>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</si>
  <si>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</si>
  <si>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</si>
  <si>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</si>
  <si>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</si>
  <si>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</si>
  <si>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</si>
  <si>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</si>
  <si>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</si>
  <si>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</si>
  <si>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</si>
  <si>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</si>
  <si>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</si>
  <si>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</si>
  <si>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</si>
  <si>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</si>
  <si>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</si>
  <si>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</si>
  <si>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</si>
  <si>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</si>
  <si>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</si>
  <si>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</si>
  <si>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</si>
  <si>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</si>
  <si>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</si>
  <si>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</si>
  <si>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</si>
  <si>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</si>
  <si>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</si>
  <si>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</si>
  <si>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</si>
  <si>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</si>
  <si>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</si>
  <si>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</si>
  <si>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</si>
  <si>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</si>
  <si>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</si>
  <si>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</si>
  <si>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</si>
  <si>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</si>
  <si>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</si>
  <si>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</si>
  <si>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</si>
  <si>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</si>
  <si>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</si>
  <si>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</si>
  <si>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</si>
  <si>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</si>
  <si>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</si>
  <si>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</si>
  <si>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</si>
  <si>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</si>
  <si>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</si>
  <si>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</si>
  <si>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</si>
  <si>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</si>
  <si>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</si>
  <si>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</si>
  <si>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</si>
  <si>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</si>
  <si>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</si>
  <si>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</si>
  <si>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</si>
  <si>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</si>
  <si>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</si>
  <si>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</si>
  <si>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</si>
  <si>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</si>
  <si>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</si>
  <si>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</si>
  <si>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</si>
  <si>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</si>
  <si>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</si>
  <si>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</si>
  <si>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</si>
  <si>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</si>
  <si>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</si>
  <si>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</si>
  <si>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</si>
  <si>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</si>
  <si>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</si>
  <si>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</si>
  <si>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</si>
  <si>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</si>
  <si>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</si>
  <si>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</si>
  <si>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</si>
  <si>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</si>
  <si>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</si>
  <si>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</si>
  <si>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</si>
  <si>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</si>
  <si>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</si>
  <si>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</si>
  <si>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</si>
  <si>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</si>
  <si>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</si>
  <si>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</si>
  <si>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</si>
  <si>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</si>
  <si>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</si>
  <si>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</si>
  <si>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</si>
  <si>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</si>
  <si>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</si>
  <si>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</si>
  <si>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</si>
  <si>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</si>
  <si>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</si>
  <si>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</si>
  <si>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</si>
  <si>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</si>
  <si>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</si>
  <si>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</si>
  <si>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</si>
  <si>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</si>
  <si>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</si>
  <si>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</si>
  <si>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</si>
  <si>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</si>
  <si>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</si>
  <si>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</si>
  <si>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</si>
  <si>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</si>
  <si>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</si>
  <si>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</si>
  <si>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</si>
  <si>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</si>
  <si>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</si>
  <si>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</si>
  <si>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</si>
  <si>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</si>
  <si>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</si>
  <si>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</si>
  <si>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</si>
  <si>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</si>
  <si>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</si>
  <si>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</si>
  <si>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</si>
  <si>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</si>
  <si>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</si>
  <si>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</si>
  <si>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</si>
  <si>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</si>
  <si>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</si>
  <si>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</si>
  <si>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</si>
  <si>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</si>
  <si>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</si>
  <si>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</si>
  <si>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</si>
  <si>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</si>
  <si>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</si>
  <si>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</si>
  <si>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</si>
  <si>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</si>
  <si>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</si>
  <si>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</si>
  <si>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</si>
  <si>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</si>
  <si>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</si>
  <si>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</si>
  <si>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</si>
  <si>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</si>
  <si>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</si>
  <si>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</si>
  <si>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</si>
  <si>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</si>
  <si>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</si>
  <si>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</si>
  <si>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</si>
  <si>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</si>
  <si>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</si>
  <si>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</si>
  <si>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</si>
  <si>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</si>
  <si>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</si>
  <si>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</si>
  <si>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</si>
  <si>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</si>
  <si>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</si>
  <si>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</si>
  <si>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</si>
  <si>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</si>
  <si>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</si>
  <si>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</si>
  <si>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</si>
  <si>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</si>
  <si>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</si>
  <si>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</si>
  <si>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</si>
  <si>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</si>
  <si>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</si>
  <si>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</si>
  <si>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</si>
  <si>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</si>
  <si>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</si>
  <si>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</si>
  <si>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</si>
  <si>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</si>
  <si>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</si>
  <si>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</si>
  <si>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</si>
  <si>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</si>
  <si>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</si>
  <si>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</si>
  <si>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</si>
  <si>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</si>
  <si>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</si>
  <si>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</si>
  <si>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</si>
  <si>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</si>
  <si>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</si>
  <si>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</si>
  <si>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</si>
  <si>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</si>
  <si>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</si>
  <si>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</si>
  <si>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</si>
  <si>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</si>
  <si>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</si>
  <si>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</si>
  <si>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</si>
  <si>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</si>
  <si>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</si>
  <si>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</si>
  <si>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</si>
  <si>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</si>
  <si>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</si>
  <si>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</si>
  <si>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</si>
  <si>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</si>
  <si>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</si>
  <si>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</si>
  <si>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</si>
  <si>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</si>
  <si>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</si>
  <si>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</si>
  <si>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</si>
  <si>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</si>
  <si>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</si>
  <si>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</si>
  <si>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</si>
  <si>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</si>
  <si>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</si>
  <si>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</si>
  <si>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</si>
  <si>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</si>
  <si>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</si>
  <si>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</si>
  <si>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</si>
  <si>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</si>
  <si>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</si>
  <si>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</si>
  <si>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</si>
  <si>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</si>
  <si>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</si>
  <si>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</si>
  <si>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</si>
  <si>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</si>
  <si>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</si>
  <si>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</si>
  <si>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</si>
  <si>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</si>
  <si>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</si>
  <si>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</si>
  <si>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</si>
  <si>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</si>
  <si>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</si>
  <si>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</si>
  <si>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</si>
  <si>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</si>
  <si>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</si>
  <si>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</si>
  <si>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</si>
  <si>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</si>
  <si>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</si>
  <si>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</si>
  <si>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</si>
  <si>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</si>
  <si>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</si>
  <si>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</si>
  <si>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</si>
  <si>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</si>
  <si>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</si>
  <si>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</si>
  <si>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</si>
  <si>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</si>
  <si>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</si>
  <si>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</si>
  <si>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</si>
  <si>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</si>
  <si>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</si>
  <si>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</si>
  <si>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</si>
  <si>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</si>
  <si>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</si>
  <si>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</si>
  <si>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</si>
  <si>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</si>
  <si>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</si>
  <si>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</si>
  <si>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</si>
  <si>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</si>
  <si>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</si>
  <si>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</si>
  <si>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</si>
  <si>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</si>
  <si>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</si>
  <si>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</si>
  <si>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</si>
  <si>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</si>
  <si>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</si>
  <si>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</si>
  <si>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</si>
  <si>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</si>
  <si>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</si>
  <si>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</si>
  <si>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</si>
  <si>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</si>
  <si>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</si>
  <si>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</si>
  <si>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</si>
  <si>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</si>
  <si>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</si>
  <si>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</si>
  <si>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</si>
  <si>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</si>
  <si>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</si>
  <si>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</si>
  <si>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</si>
  <si>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</si>
  <si>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</si>
  <si>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</si>
  <si>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</si>
  <si>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</si>
  <si>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</si>
  <si>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</si>
  <si>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</si>
  <si>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</si>
  <si>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</si>
  <si>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</si>
  <si>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</si>
  <si>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</si>
  <si>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</si>
  <si>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</si>
  <si>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</si>
  <si>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</si>
  <si>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</si>
  <si>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</si>
  <si>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</si>
  <si>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</si>
  <si>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</si>
  <si>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</si>
  <si>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</si>
  <si>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</si>
  <si>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</si>
  <si>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</si>
  <si>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</si>
  <si>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</si>
  <si>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</si>
  <si>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</si>
  <si>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</si>
  <si>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</si>
  <si>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</si>
  <si>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</si>
  <si>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</si>
  <si>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</si>
  <si>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</si>
  <si>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</si>
  <si>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</si>
  <si>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</si>
  <si>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</si>
  <si>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</si>
  <si>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</si>
  <si>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</si>
  <si>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</si>
  <si>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</si>
  <si>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</si>
  <si>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</si>
  <si>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</si>
  <si>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</si>
  <si>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</si>
  <si>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</si>
  <si>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</si>
  <si>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</si>
  <si>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</si>
  <si>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</si>
  <si>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</si>
  <si>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</si>
  <si>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</si>
  <si>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</si>
  <si>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</si>
  <si>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</si>
  <si>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</si>
  <si>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</si>
  <si>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</si>
  <si>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</si>
  <si>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</si>
  <si>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</si>
  <si>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</si>
  <si>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</si>
  <si>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</si>
  <si>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</si>
  <si>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</si>
  <si>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</si>
  <si>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</si>
  <si>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</si>
  <si>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</si>
  <si>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</si>
  <si>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</si>
  <si>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</si>
  <si>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</si>
  <si>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</si>
  <si>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</si>
  <si>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</si>
  <si>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</si>
  <si>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</si>
  <si>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</si>
  <si>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</si>
  <si>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</si>
  <si>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</si>
  <si>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</si>
  <si>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</si>
  <si>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</si>
  <si>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</si>
  <si>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</si>
  <si>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</si>
  <si>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</si>
  <si>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</si>
  <si>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</si>
  <si>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</si>
  <si>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</si>
  <si>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</si>
  <si>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</si>
  <si>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</si>
  <si>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</si>
  <si>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</si>
  <si>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</si>
  <si>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</si>
  <si>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</si>
  <si>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</si>
  <si>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</si>
  <si>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</si>
  <si>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</si>
  <si>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</si>
  <si>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</si>
  <si>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</si>
  <si>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</si>
  <si>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</si>
  <si>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</si>
  <si>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</si>
  <si>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</si>
  <si>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</si>
  <si>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</si>
  <si>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</si>
  <si>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</si>
  <si>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</si>
  <si>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</si>
  <si>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</si>
  <si>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</si>
  <si>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</si>
  <si>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</si>
  <si>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</si>
  <si>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</si>
  <si>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</si>
  <si>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</si>
  <si>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</si>
  <si>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</si>
  <si>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</si>
  <si>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</si>
  <si>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</si>
  <si>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</si>
  <si>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</si>
  <si>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</si>
  <si>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</si>
  <si>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</si>
  <si>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</si>
  <si>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</si>
  <si>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</si>
  <si>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</si>
  <si>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</si>
  <si>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</si>
  <si>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</si>
  <si>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</si>
  <si>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</si>
  <si>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</si>
  <si>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</si>
  <si>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</si>
  <si>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</si>
  <si>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</si>
  <si>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</si>
  <si>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</si>
  <si>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</si>
  <si>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</si>
  <si>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</si>
  <si>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</si>
  <si>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</si>
  <si>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</si>
  <si>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</si>
  <si>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</si>
  <si>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</si>
  <si>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</si>
  <si>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</si>
  <si>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</si>
  <si>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</si>
  <si>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</si>
  <si>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</si>
  <si>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</si>
  <si>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</si>
  <si>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</si>
  <si>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</si>
  <si>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</si>
  <si>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</si>
  <si>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</si>
  <si>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</si>
  <si>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</si>
  <si>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</si>
  <si>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</si>
  <si>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</si>
  <si>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</si>
  <si>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</si>
  <si>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</si>
  <si>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</si>
  <si>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</si>
  <si>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</si>
  <si>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</si>
  <si>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</si>
  <si>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</si>
  <si>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</si>
  <si>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</si>
  <si>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</si>
  <si>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</si>
  <si>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</si>
  <si>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</si>
  <si>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</si>
  <si>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</si>
  <si>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</si>
  <si>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</si>
  <si>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</si>
  <si>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</si>
  <si>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</si>
  <si>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</si>
  <si>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</si>
  <si>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</si>
  <si>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</si>
  <si>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</si>
  <si>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</si>
  <si>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</si>
  <si>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</si>
  <si>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</si>
  <si>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</si>
  <si>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</si>
  <si>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</si>
  <si>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</si>
  <si>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</si>
  <si>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</si>
  <si>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</si>
  <si>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</si>
  <si>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</si>
  <si>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</si>
  <si>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</si>
  <si>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</si>
  <si>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</si>
  <si>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</si>
  <si>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</si>
  <si>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</si>
  <si>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</si>
  <si>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</si>
  <si>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</si>
  <si>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</si>
  <si>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</si>
  <si>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</si>
  <si>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</si>
  <si>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</si>
  <si>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</si>
  <si>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</si>
  <si>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</si>
  <si>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</si>
  <si>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</si>
  <si>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</si>
  <si>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</si>
  <si>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</si>
  <si>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</si>
  <si>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</si>
  <si>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</si>
  <si>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</si>
  <si>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</si>
  <si>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</si>
  <si>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</si>
  <si>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</si>
  <si>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</si>
  <si>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</si>
  <si>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</si>
  <si>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</si>
  <si>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</si>
  <si>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</si>
  <si>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</si>
  <si>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</si>
  <si>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</si>
  <si>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</si>
  <si>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</si>
  <si>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</si>
  <si>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</si>
  <si>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</si>
  <si>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</si>
  <si>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</si>
  <si>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</si>
  <si>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</si>
  <si>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</si>
  <si>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</si>
  <si>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</si>
  <si>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</si>
  <si>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</si>
  <si>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</si>
  <si>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</si>
  <si>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</si>
  <si>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</si>
  <si>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</si>
  <si>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</si>
  <si>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</si>
  <si>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</si>
  <si>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</si>
  <si>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</si>
  <si>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</si>
  <si>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</si>
  <si>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</si>
  <si>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</si>
  <si>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</si>
  <si>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</si>
  <si>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</si>
  <si>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</si>
  <si>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</si>
  <si>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</si>
  <si>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</si>
  <si>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</si>
  <si>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</si>
  <si>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</si>
  <si>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</si>
  <si>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</si>
  <si>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</si>
  <si>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</si>
  <si>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</si>
  <si>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</si>
  <si>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</si>
  <si>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</si>
  <si>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</si>
  <si>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</si>
  <si>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</si>
  <si>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</si>
  <si>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</si>
  <si>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</si>
  <si>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</si>
  <si>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</si>
  <si>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</si>
  <si>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</si>
  <si>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</si>
  <si>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</si>
  <si>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</si>
  <si>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</si>
  <si>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</si>
  <si>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</si>
  <si>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</si>
  <si>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</si>
  <si>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</si>
  <si>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</si>
  <si>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</si>
  <si>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</si>
  <si>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</si>
  <si>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</si>
  <si>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</si>
  <si>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</si>
  <si>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</si>
  <si>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</si>
  <si>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</si>
  <si>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</si>
  <si>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</si>
  <si>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</si>
  <si>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</si>
  <si>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</si>
  <si>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</si>
  <si>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</si>
  <si>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</si>
  <si>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</si>
  <si>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</si>
  <si>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</si>
  <si>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</si>
  <si>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</si>
  <si>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</si>
  <si>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</si>
  <si>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</si>
  <si>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</si>
  <si>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</si>
  <si>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</si>
  <si>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</si>
  <si>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</si>
  <si>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</si>
  <si>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</si>
  <si>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</si>
  <si>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</si>
  <si>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</si>
  <si>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</si>
  <si>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</si>
  <si>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</si>
  <si>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</si>
  <si>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</si>
  <si>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</si>
  <si>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</si>
  <si>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</si>
  <si>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</si>
  <si>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</si>
  <si>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</si>
  <si>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</si>
  <si>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</si>
  <si>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</si>
  <si>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</si>
  <si>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</si>
  <si>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</si>
  <si>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</si>
  <si>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</si>
  <si>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</si>
  <si>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</si>
  <si>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</si>
  <si>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</si>
  <si>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</si>
  <si>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</si>
  <si>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</si>
  <si>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</si>
  <si>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</si>
  <si>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</si>
  <si>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</si>
  <si>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</si>
  <si>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</si>
  <si>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</si>
  <si>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</si>
  <si>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</si>
  <si>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</si>
  <si>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</si>
  <si>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</si>
  <si>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</si>
  <si>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</si>
  <si>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</si>
  <si>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</si>
  <si>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</si>
  <si>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</si>
  <si>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</si>
  <si>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</si>
  <si>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</si>
  <si>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</si>
  <si>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</si>
  <si>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</si>
  <si>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</si>
  <si>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</si>
  <si>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</si>
  <si>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</si>
  <si>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</si>
  <si>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</si>
  <si>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</si>
  <si>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</si>
  <si>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</si>
  <si>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</si>
  <si>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</si>
  <si>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</si>
  <si>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</si>
  <si>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</si>
  <si>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</si>
  <si>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</si>
  <si>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</si>
  <si>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</si>
  <si>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</si>
  <si>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</si>
  <si>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</si>
  <si>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</si>
  <si>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</si>
  <si>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</si>
  <si>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</si>
  <si>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</si>
  <si>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</si>
  <si>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</si>
  <si>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</si>
  <si>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</si>
  <si>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</si>
  <si>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</si>
  <si>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</si>
  <si>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</si>
  <si>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</si>
  <si>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</si>
  <si>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</si>
  <si>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</si>
  <si>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</si>
  <si>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</si>
  <si>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</si>
  <si>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</si>
  <si>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</si>
  <si>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</si>
  <si>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</si>
  <si>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</si>
  <si>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</si>
  <si>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</si>
  <si>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</si>
  <si>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</si>
  <si>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</si>
  <si>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</si>
  <si>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</si>
  <si>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</si>
  <si>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</si>
  <si>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</si>
  <si>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</si>
  <si>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</si>
  <si>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</si>
  <si>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</si>
  <si>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</si>
  <si>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</si>
  <si>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</si>
  <si>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</si>
  <si>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</si>
  <si>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</si>
  <si>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</si>
  <si>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</si>
  <si>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</si>
  <si>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</si>
  <si>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</si>
  <si>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</si>
  <si>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</si>
  <si>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</si>
  <si>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</si>
  <si>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</si>
  <si>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</si>
  <si>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</si>
  <si>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</si>
  <si>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</si>
  <si>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</si>
  <si>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</si>
  <si>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</si>
  <si>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</si>
  <si>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</si>
  <si>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</si>
  <si>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</si>
  <si>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</si>
  <si>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</si>
  <si>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</si>
  <si>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</si>
  <si>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</si>
  <si>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</si>
  <si>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</si>
  <si>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</si>
  <si>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</si>
  <si>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</si>
  <si>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</si>
  <si>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</si>
  <si>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</si>
  <si>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</si>
  <si>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</si>
  <si>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</si>
  <si>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</si>
  <si>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</si>
  <si>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</si>
  <si>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</si>
  <si>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</si>
  <si>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</si>
  <si>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</si>
  <si>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</si>
  <si>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</si>
  <si>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</si>
  <si>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</si>
  <si>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</si>
  <si>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</si>
  <si>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</si>
  <si>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</si>
  <si>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</si>
  <si>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</si>
  <si>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</si>
  <si>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</si>
  <si>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</si>
  <si>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</si>
  <si>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</si>
  <si>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</si>
  <si>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</si>
  <si>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</si>
  <si>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</si>
  <si>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</si>
  <si>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</si>
  <si>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</si>
  <si>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</si>
  <si>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</si>
  <si>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</si>
  <si>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</si>
  <si>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</si>
  <si>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</si>
  <si>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</si>
  <si>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</si>
  <si>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</si>
  <si>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</si>
  <si>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</si>
  <si>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</si>
  <si>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</si>
  <si>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</si>
  <si>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</si>
  <si>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</si>
  <si>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</si>
  <si>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</si>
  <si>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</si>
  <si>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</si>
  <si>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</si>
  <si>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</si>
  <si>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</si>
  <si>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</si>
  <si>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</si>
  <si>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</si>
  <si>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</si>
  <si>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</si>
  <si>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</si>
  <si>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</si>
  <si>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</si>
  <si>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</si>
  <si>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</si>
  <si>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</si>
  <si>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</si>
  <si>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</si>
  <si>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</si>
  <si>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</si>
  <si>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</si>
  <si>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</si>
  <si>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</si>
  <si>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</si>
  <si>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</si>
  <si>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</si>
  <si>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</si>
  <si>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</si>
  <si>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</si>
  <si>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</si>
  <si>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</si>
  <si>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</si>
  <si>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</si>
  <si>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</si>
  <si>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</si>
  <si>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</si>
  <si>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</si>
  <si>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</si>
  <si>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</si>
  <si>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</si>
  <si>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</si>
  <si>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</si>
  <si>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</si>
  <si>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</si>
  <si>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</si>
  <si>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</si>
  <si>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</si>
  <si>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</si>
  <si>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</si>
  <si>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</si>
  <si>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</si>
  <si>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</si>
  <si>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</si>
  <si>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</si>
  <si>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</si>
  <si>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</si>
  <si>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</si>
  <si>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</si>
  <si>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</si>
  <si>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</si>
  <si>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</si>
  <si>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</si>
  <si>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</si>
  <si>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</si>
  <si>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</si>
  <si>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</si>
  <si>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</si>
  <si>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</si>
  <si>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</si>
  <si>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</si>
  <si>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</si>
  <si>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</si>
  <si>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</si>
  <si>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</si>
  <si>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</si>
  <si>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</si>
  <si>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</si>
  <si>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</si>
  <si>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</si>
  <si>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</si>
  <si>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</si>
  <si>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</si>
  <si>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</si>
  <si>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</si>
  <si>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</si>
  <si>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</si>
  <si>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</si>
  <si>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</si>
  <si>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</si>
  <si>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</si>
  <si>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</si>
  <si>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</si>
  <si>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</si>
  <si>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</si>
  <si>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</si>
  <si>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</si>
  <si>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</si>
  <si>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</si>
  <si>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</si>
  <si>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</si>
  <si>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</si>
  <si>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</si>
  <si>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</si>
  <si>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</si>
  <si>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</si>
  <si>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</si>
  <si>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</si>
  <si>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</si>
  <si>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</si>
  <si>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</si>
  <si>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</si>
  <si>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</si>
  <si>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</si>
  <si>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</si>
  <si>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</si>
  <si>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</si>
  <si>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</si>
  <si>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</si>
  <si>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</si>
  <si>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</si>
  <si>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</si>
  <si>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</si>
  <si>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</si>
  <si>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</si>
  <si>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</si>
  <si>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</si>
  <si>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</si>
  <si>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</si>
  <si>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</si>
  <si>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</si>
  <si>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</si>
  <si>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</si>
  <si>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</si>
  <si>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</si>
  <si>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</si>
  <si>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</si>
  <si>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</si>
  <si>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</si>
  <si>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</si>
  <si>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</si>
  <si>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</si>
  <si>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</si>
  <si>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</si>
  <si>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</si>
  <si>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</si>
  <si>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</si>
  <si>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</si>
  <si>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</si>
  <si>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</si>
  <si>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</si>
  <si>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</si>
  <si>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</si>
  <si>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</si>
  <si>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</si>
  <si>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</si>
  <si>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</si>
  <si>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</si>
  <si>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</si>
  <si>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</si>
  <si>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</si>
  <si>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</si>
  <si>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</si>
  <si>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</si>
  <si>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</si>
  <si>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</si>
  <si>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</si>
  <si>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</si>
  <si>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</si>
  <si>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</si>
  <si>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</si>
  <si>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</si>
  <si>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</si>
  <si>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</si>
  <si>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</si>
  <si>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</si>
  <si>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</si>
  <si>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</si>
  <si>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</si>
  <si>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</si>
  <si>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</si>
  <si>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</si>
  <si>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</si>
  <si>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</si>
  <si>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</si>
  <si>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</si>
  <si>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</si>
  <si>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</si>
  <si>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</si>
  <si>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</si>
  <si>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</si>
  <si>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</si>
  <si>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</si>
  <si>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</si>
  <si>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</si>
  <si>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</si>
  <si>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</si>
  <si>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</si>
  <si>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</si>
  <si>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</si>
  <si>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</si>
  <si>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</si>
  <si>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</si>
  <si>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</si>
  <si>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</si>
  <si>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</si>
  <si>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</si>
  <si>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</si>
  <si>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</si>
  <si>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</si>
  <si>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</si>
  <si>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</si>
  <si>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</si>
  <si>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</si>
  <si>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</si>
  <si>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</si>
  <si>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</si>
  <si>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</si>
  <si>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</si>
  <si>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</si>
  <si>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</si>
  <si>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</si>
  <si>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</si>
  <si>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</si>
  <si>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</si>
  <si>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</si>
  <si>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</si>
  <si>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</si>
  <si>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</si>
  <si>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</si>
  <si>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</si>
  <si>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</si>
  <si>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</si>
  <si>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</si>
  <si>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</si>
  <si>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</si>
  <si>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</si>
  <si>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</si>
  <si>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</si>
  <si>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</si>
  <si>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</si>
  <si>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</si>
  <si>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</si>
  <si>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</si>
  <si>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</si>
  <si>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</si>
  <si>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</si>
  <si>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</si>
  <si>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</si>
  <si>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</si>
  <si>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</si>
  <si>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</si>
  <si>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</si>
  <si>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</si>
  <si>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</si>
  <si>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</si>
  <si>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</si>
  <si>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</si>
  <si>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</si>
  <si>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</si>
  <si>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</si>
  <si>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</si>
  <si>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</si>
  <si>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</si>
  <si>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</si>
  <si>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</si>
  <si>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</si>
  <si>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</si>
  <si>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</si>
  <si>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</si>
  <si>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</si>
  <si>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</si>
  <si>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</si>
  <si>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</si>
  <si>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</si>
  <si>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</si>
  <si>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</si>
  <si>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</si>
  <si>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</si>
  <si>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</si>
  <si>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</si>
  <si>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</si>
  <si>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</si>
  <si>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</si>
  <si>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</si>
  <si>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</si>
  <si>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</si>
  <si>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</si>
  <si>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</si>
  <si>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</si>
  <si>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</si>
  <si>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</si>
  <si>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</si>
  <si>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</si>
  <si>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</si>
  <si>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</si>
  <si>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</si>
  <si>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</si>
  <si>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</si>
  <si>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</si>
  <si>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</si>
  <si>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</si>
  <si>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</si>
  <si>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</si>
  <si>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</si>
  <si>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</si>
  <si>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</si>
  <si>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</si>
  <si>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</si>
  <si>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</si>
  <si>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</si>
  <si>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</si>
  <si>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</si>
  <si>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</si>
  <si>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</si>
  <si>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</si>
  <si>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</si>
  <si>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</si>
  <si>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</si>
  <si>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</si>
  <si>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</si>
  <si>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</si>
  <si>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</si>
  <si>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</si>
  <si>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</si>
  <si>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</si>
  <si>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</si>
  <si>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</si>
  <si>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</si>
  <si>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</si>
  <si>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</si>
  <si>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</si>
  <si>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</si>
  <si>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</si>
  <si>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</si>
  <si>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</si>
  <si>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</si>
  <si>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</si>
  <si>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</si>
  <si>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</si>
  <si>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</si>
  <si>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</si>
  <si>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</si>
  <si>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</si>
  <si>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</si>
  <si>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</si>
  <si>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</si>
  <si>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</si>
  <si>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</si>
  <si>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</si>
  <si>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</si>
  <si>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</si>
  <si>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</si>
  <si>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</si>
  <si>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</si>
  <si>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</si>
  <si>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</si>
  <si>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</si>
  <si>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</si>
  <si>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</si>
  <si>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</si>
  <si>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</si>
  <si>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</si>
  <si>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</si>
  <si>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</si>
  <si>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</si>
  <si>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</si>
  <si>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</si>
  <si>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</si>
  <si>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</si>
  <si>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</si>
  <si>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</si>
  <si>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</si>
  <si>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</si>
  <si>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</si>
  <si>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</si>
  <si>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</si>
  <si>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</si>
  <si>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</si>
  <si>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</si>
  <si>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</si>
  <si>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</si>
  <si>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</si>
  <si>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</si>
  <si>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</si>
  <si>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</si>
  <si>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</si>
  <si>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</si>
  <si>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</si>
  <si>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</si>
  <si>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</si>
  <si>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</si>
  <si>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</si>
  <si>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</si>
  <si>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</si>
  <si>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</si>
  <si>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</si>
  <si>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</si>
  <si>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</si>
  <si>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</si>
  <si>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</si>
  <si>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</si>
  <si>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</si>
  <si>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</si>
  <si>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</si>
  <si>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</si>
  <si>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</si>
  <si>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</si>
  <si>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</si>
  <si>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</si>
  <si>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</si>
  <si>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</si>
  <si>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</si>
  <si>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</si>
  <si>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</si>
  <si>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</si>
  <si>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</si>
  <si>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</si>
  <si>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</si>
  <si>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</si>
  <si>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</si>
  <si>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</si>
  <si>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</si>
  <si>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</si>
  <si>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</si>
  <si>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</si>
  <si>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</si>
  <si>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</si>
  <si>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</si>
  <si>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</si>
  <si>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</si>
  <si>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</si>
  <si>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</si>
  <si>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</si>
  <si>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</si>
  <si>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</si>
  <si>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</si>
  <si>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</si>
  <si>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</si>
  <si>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</si>
  <si>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</si>
  <si>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</si>
  <si>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</si>
  <si>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</si>
  <si>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</si>
  <si>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</si>
  <si>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</si>
  <si>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</si>
  <si>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</si>
  <si>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</si>
  <si>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</si>
  <si>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</si>
  <si>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</si>
  <si>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</si>
  <si>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</si>
  <si>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</si>
  <si>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</si>
  <si>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</si>
  <si>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</si>
  <si>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</si>
  <si>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</si>
  <si>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</si>
  <si>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</si>
  <si>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</si>
  <si>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</si>
  <si>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</si>
  <si>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</si>
  <si>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</si>
  <si>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</si>
  <si>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</si>
  <si>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</si>
  <si>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</si>
  <si>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</si>
  <si>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</si>
  <si>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</si>
  <si>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</si>
  <si>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</si>
  <si>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</si>
  <si>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</si>
  <si>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</si>
  <si>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</si>
  <si>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</si>
  <si>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</si>
  <si>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</si>
  <si>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</si>
  <si>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</si>
  <si>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</si>
  <si>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</si>
  <si>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</si>
  <si>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</si>
  <si>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</si>
  <si>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</si>
  <si>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</si>
  <si>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</si>
  <si>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</si>
  <si>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</si>
  <si>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</si>
  <si>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</si>
  <si>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</si>
  <si>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</si>
  <si>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</si>
  <si>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</si>
  <si>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</si>
  <si>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</si>
  <si>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</si>
  <si>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</si>
  <si>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</si>
  <si>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</si>
  <si>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</si>
  <si>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</si>
  <si>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</si>
  <si>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</si>
  <si>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</si>
  <si>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</si>
  <si>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</si>
  <si>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</si>
  <si>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</si>
  <si>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</si>
  <si>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</si>
  <si>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</si>
  <si>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</si>
  <si>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</si>
  <si>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</si>
  <si>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</si>
  <si>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</si>
  <si>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</si>
  <si>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</si>
  <si>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</si>
  <si>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</si>
  <si>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</si>
  <si>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</si>
  <si>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</si>
  <si>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</si>
  <si>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</si>
  <si>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</si>
  <si>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</si>
  <si>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</si>
  <si>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</si>
  <si>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</si>
  <si>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</si>
  <si>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</si>
  <si>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</si>
  <si>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</si>
  <si>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</si>
  <si>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</si>
  <si>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</si>
  <si>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</si>
  <si>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</si>
  <si>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</si>
  <si>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</si>
  <si>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</si>
  <si>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</si>
  <si>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</si>
  <si>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</si>
  <si>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</si>
  <si>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</si>
  <si>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</si>
  <si>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</si>
  <si>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</si>
  <si>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</si>
  <si>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</si>
  <si>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</si>
  <si>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</si>
  <si>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</si>
  <si>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</si>
  <si>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</si>
  <si>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</si>
  <si>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</si>
  <si>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</si>
  <si>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</si>
  <si>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</si>
  <si>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</si>
  <si>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</si>
  <si>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</si>
  <si>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</si>
  <si>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</si>
  <si>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</si>
  <si>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</si>
  <si>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</si>
  <si>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</si>
  <si>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</si>
  <si>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</si>
  <si>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</si>
  <si>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</si>
  <si>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</si>
  <si>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</si>
  <si>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</si>
  <si>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</si>
  <si>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</si>
  <si>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</si>
  <si>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</si>
  <si>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</si>
  <si>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</si>
  <si>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</si>
  <si>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</si>
  <si>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</si>
  <si>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</si>
  <si>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</si>
  <si>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</si>
  <si>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</si>
  <si>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</si>
  <si>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</si>
  <si>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</si>
  <si>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</si>
  <si>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</si>
  <si>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</si>
  <si>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</si>
  <si>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</si>
  <si>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</si>
  <si>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</si>
  <si>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</si>
  <si>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</si>
  <si>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</si>
  <si>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</si>
  <si>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</si>
  <si>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</si>
  <si>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</si>
  <si>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</si>
  <si>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</si>
  <si>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</si>
  <si>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</si>
  <si>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</si>
  <si>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</si>
  <si>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</si>
  <si>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</si>
  <si>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</si>
  <si>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</si>
  <si>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</si>
  <si>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</si>
  <si>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</si>
  <si>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</si>
  <si>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</si>
  <si>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</si>
  <si>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</si>
  <si>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</si>
  <si>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</si>
  <si>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</si>
  <si>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</si>
  <si>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</si>
  <si>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</si>
  <si>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</si>
  <si>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</si>
  <si>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</si>
  <si>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</si>
  <si>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</si>
  <si>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</si>
  <si>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</si>
  <si>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</si>
  <si>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</si>
  <si>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</si>
  <si>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</si>
  <si>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</si>
  <si>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</si>
  <si>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</si>
  <si>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</si>
  <si>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</si>
  <si>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</si>
  <si>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</si>
  <si>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</si>
  <si>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</si>
  <si>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</si>
  <si>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</si>
  <si>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</si>
  <si>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</si>
  <si>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</si>
  <si>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</si>
  <si>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</si>
  <si>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</si>
  <si>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</si>
  <si>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</si>
  <si>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</si>
  <si>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</si>
  <si>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</si>
  <si>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</si>
  <si>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</si>
  <si>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</si>
  <si>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</si>
  <si>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</si>
  <si>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</si>
  <si>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</si>
  <si>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</si>
  <si>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</si>
  <si>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</si>
  <si>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</si>
  <si>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</si>
  <si>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</si>
  <si>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</si>
  <si>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</si>
  <si>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</si>
  <si>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</si>
  <si>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</si>
  <si>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</si>
  <si>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</si>
  <si>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</si>
  <si>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</si>
  <si>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</si>
  <si>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</si>
  <si>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</si>
  <si>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</si>
  <si>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</si>
  <si>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</si>
  <si>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</si>
  <si>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</si>
  <si>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</si>
  <si>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</si>
  <si>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</si>
  <si>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</si>
  <si>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</si>
  <si>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</si>
  <si>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</si>
  <si>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</si>
  <si>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</si>
  <si>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</si>
  <si>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</si>
  <si>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</si>
  <si>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</si>
  <si>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</si>
  <si>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</si>
  <si>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</si>
  <si>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</si>
  <si>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</si>
  <si>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</si>
  <si>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</si>
  <si>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</si>
  <si>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</si>
  <si>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</si>
  <si>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</si>
  <si>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</si>
  <si>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</si>
  <si>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</si>
  <si>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</si>
  <si>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</si>
  <si>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</si>
  <si>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</si>
  <si>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</si>
  <si>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</si>
  <si>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</si>
  <si>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</si>
  <si>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</si>
  <si>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</si>
  <si>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</si>
  <si>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</si>
  <si>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</si>
  <si>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</si>
  <si>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</si>
  <si>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</si>
  <si>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</si>
  <si>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</si>
  <si>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</si>
  <si>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</si>
  <si>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</si>
  <si>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</si>
  <si>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</si>
  <si>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</si>
  <si>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</si>
  <si>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</si>
  <si>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</si>
  <si>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</si>
  <si>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</si>
  <si>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</si>
  <si>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</si>
  <si>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</si>
  <si>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</si>
  <si>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</si>
  <si>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</si>
  <si>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</si>
  <si>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</si>
  <si>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</si>
  <si>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</si>
  <si>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</si>
  <si>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</si>
  <si>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</si>
  <si>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</si>
  <si>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</si>
  <si>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</si>
  <si>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</si>
  <si>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</si>
  <si>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</si>
  <si>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</si>
  <si>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</si>
  <si>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</si>
  <si>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</si>
  <si>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</si>
  <si>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</si>
  <si>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</si>
  <si>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</si>
  <si>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</si>
  <si>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</si>
  <si>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</si>
  <si>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</si>
  <si>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</si>
  <si>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</si>
  <si>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</si>
  <si>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</si>
  <si>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</si>
  <si>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</si>
  <si>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</si>
  <si>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</si>
  <si>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</si>
  <si>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</si>
  <si>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</si>
  <si>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</si>
  <si>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</si>
  <si>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</si>
  <si>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</si>
  <si>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</si>
  <si>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</si>
  <si>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</si>
  <si>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</si>
  <si>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</si>
  <si>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</si>
  <si>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</si>
  <si>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</si>
  <si>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</si>
  <si>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</si>
  <si>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</si>
  <si>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</si>
  <si>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</si>
  <si>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</si>
  <si>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</si>
  <si>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</si>
  <si>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</si>
  <si>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</si>
  <si>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</si>
  <si>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</si>
  <si>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</si>
  <si>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</si>
  <si>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</si>
  <si>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</si>
  <si>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</si>
  <si>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</si>
  <si>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</si>
  <si>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</si>
  <si>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</si>
  <si>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</si>
  <si>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</si>
  <si>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</si>
  <si>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</si>
  <si>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</si>
  <si>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</si>
  <si>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</si>
  <si>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</si>
  <si>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</si>
  <si>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</si>
  <si>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</si>
  <si>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</si>
  <si>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</si>
  <si>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</si>
  <si>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</si>
  <si>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</si>
  <si>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</si>
  <si>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</si>
  <si>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</si>
  <si>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</si>
  <si>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</si>
  <si>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</si>
  <si>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</si>
  <si>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</si>
  <si>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</si>
  <si>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</si>
  <si>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</si>
  <si>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</si>
  <si>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</si>
  <si>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</si>
  <si>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</si>
  <si>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</si>
  <si>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</si>
  <si>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</si>
  <si>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</si>
  <si>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</si>
  <si>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</si>
  <si>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</si>
  <si>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</si>
  <si>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</si>
  <si>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</si>
  <si>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</si>
  <si>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</si>
  <si>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</si>
  <si>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</si>
  <si>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</si>
  <si>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</si>
  <si>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</si>
  <si>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</si>
  <si>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</si>
  <si>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</si>
  <si>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</si>
  <si>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</si>
  <si>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</si>
  <si>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</si>
  <si>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</si>
  <si>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</si>
  <si>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</si>
  <si>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</si>
  <si>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</si>
  <si>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</si>
  <si>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</si>
  <si>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</si>
  <si>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</si>
  <si>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</si>
  <si>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</si>
  <si>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</si>
  <si>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</si>
  <si>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</si>
  <si>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</si>
  <si>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</si>
  <si>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</si>
  <si>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</si>
  <si>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</si>
  <si>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</si>
  <si>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</si>
  <si>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</si>
  <si>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</si>
  <si>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</si>
  <si>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</si>
  <si>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</si>
  <si>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</si>
  <si>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</si>
  <si>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</si>
  <si>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</si>
  <si>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</si>
  <si>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</si>
  <si>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</si>
  <si>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</si>
  <si>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</si>
  <si>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</si>
  <si>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</si>
  <si>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</si>
  <si>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</si>
  <si>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</si>
  <si>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</si>
  <si>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</si>
  <si>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</si>
  <si>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</si>
  <si>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</si>
  <si>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</si>
  <si>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</si>
  <si>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</si>
  <si>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</si>
  <si>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</si>
  <si>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</si>
  <si>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</si>
  <si>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</si>
  <si>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</si>
  <si>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</si>
  <si>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</si>
  <si>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</si>
  <si>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</si>
  <si>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</si>
  <si>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</si>
  <si>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</si>
  <si>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</si>
  <si>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</si>
  <si>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</si>
  <si>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</si>
  <si>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</si>
  <si>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</si>
  <si>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</si>
  <si>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</si>
  <si>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</si>
  <si>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</si>
  <si>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</si>
  <si>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</si>
  <si>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</si>
  <si>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</si>
  <si>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</si>
  <si>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</si>
  <si>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</si>
  <si>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</si>
  <si>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</si>
  <si>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</si>
  <si>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</si>
  <si>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</si>
  <si>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</si>
  <si>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</si>
  <si>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</si>
  <si>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</si>
  <si>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</si>
  <si>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</si>
  <si>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</si>
  <si>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</si>
  <si>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</si>
  <si>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</si>
  <si>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</si>
  <si>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</si>
  <si>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</si>
  <si>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</si>
  <si>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</si>
  <si>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</si>
  <si>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</si>
  <si>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</si>
  <si>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</si>
  <si>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</si>
  <si>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</si>
  <si>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</si>
  <si>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</si>
  <si>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</si>
  <si>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</si>
  <si>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</si>
  <si>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</si>
  <si>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</si>
  <si>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</si>
  <si>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</si>
  <si>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</si>
  <si>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</si>
  <si>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</si>
  <si>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</si>
  <si>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</si>
  <si>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</si>
  <si>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</si>
  <si>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</si>
  <si>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</si>
  <si>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</si>
  <si>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</si>
  <si>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</si>
  <si>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</si>
  <si>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</si>
  <si>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</si>
  <si>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</si>
  <si>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</si>
  <si>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</si>
  <si>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</si>
  <si>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</si>
  <si>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</si>
  <si>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</si>
  <si>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</si>
  <si>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</si>
  <si>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</si>
  <si>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</si>
  <si>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</si>
  <si>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</si>
  <si>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</si>
  <si>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</si>
  <si>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</si>
  <si>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</si>
  <si>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</si>
  <si>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</si>
  <si>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</si>
  <si>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</si>
  <si>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</si>
  <si>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</si>
  <si>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</si>
  <si>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</si>
  <si>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</si>
  <si>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</si>
  <si>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</si>
  <si>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</si>
  <si>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</si>
  <si>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</si>
  <si>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</si>
  <si>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</si>
  <si>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</si>
  <si>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</si>
  <si>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</si>
  <si>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</si>
  <si>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</si>
  <si>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</si>
  <si>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</si>
  <si>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</si>
  <si>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</si>
  <si>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</si>
  <si>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</si>
  <si>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</si>
  <si>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</si>
  <si>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</si>
  <si>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</si>
  <si>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</si>
  <si>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</si>
  <si>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</si>
  <si>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</si>
  <si>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</si>
  <si>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</si>
  <si>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</si>
  <si>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</si>
  <si>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</si>
  <si>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</si>
  <si>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</si>
  <si>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</si>
  <si>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</si>
  <si>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</si>
  <si>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</si>
  <si>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</si>
  <si>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</si>
  <si>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</si>
  <si>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</si>
  <si>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</si>
  <si>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</si>
  <si>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</si>
  <si>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</si>
  <si>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</si>
  <si>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</si>
  <si>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</si>
  <si>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</si>
  <si>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</si>
  <si>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</si>
  <si>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</si>
  <si>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</si>
  <si>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</si>
  <si>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</si>
  <si>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</si>
  <si>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</si>
  <si>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</si>
  <si>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</si>
  <si>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</si>
  <si>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</si>
  <si>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</si>
  <si>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</si>
  <si>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</si>
  <si>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</si>
  <si>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</si>
  <si>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</si>
  <si>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</si>
  <si>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</si>
  <si>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</si>
  <si>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</si>
  <si>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</si>
  <si>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</si>
  <si>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</si>
  <si>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</si>
  <si>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</si>
  <si>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</si>
  <si>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</si>
  <si>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</si>
  <si>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</si>
  <si>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</si>
  <si>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</si>
  <si>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</si>
  <si>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</si>
  <si>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</si>
  <si>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</si>
  <si>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</si>
  <si>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</si>
  <si>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</si>
  <si>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</si>
  <si>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</si>
  <si>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</si>
  <si>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</si>
  <si>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</si>
  <si>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</si>
  <si>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</si>
  <si>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</si>
  <si>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</si>
  <si>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</si>
  <si>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</si>
  <si>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</si>
  <si>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</si>
  <si>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</si>
  <si>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</si>
  <si>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</si>
  <si>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</si>
  <si>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</si>
  <si>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</si>
  <si>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</si>
  <si>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</si>
  <si>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</si>
  <si>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</si>
  <si>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</si>
  <si>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</si>
  <si>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</si>
  <si>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</si>
  <si>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</si>
  <si>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</si>
  <si>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</si>
  <si>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</si>
  <si>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</si>
  <si>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</si>
  <si>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</si>
  <si>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</si>
  <si>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</si>
  <si>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</si>
  <si>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</si>
  <si>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</si>
  <si>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</si>
  <si>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</si>
  <si>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</si>
  <si>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</si>
  <si>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</si>
  <si>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</si>
  <si>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</si>
  <si>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</si>
  <si>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</si>
  <si>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</si>
  <si>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</si>
  <si>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</si>
  <si>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</si>
  <si>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</si>
  <si>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</si>
  <si>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</si>
  <si>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</si>
  <si>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</si>
  <si>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</si>
  <si>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</si>
  <si>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</si>
  <si>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</si>
  <si>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</si>
  <si>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</si>
  <si>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</si>
  <si>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</si>
  <si>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</si>
  <si>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</si>
  <si>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</si>
  <si>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</si>
  <si>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</si>
  <si>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</si>
  <si>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</si>
  <si>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</si>
  <si>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</si>
  <si>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</si>
  <si>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</si>
  <si>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</si>
  <si>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</si>
  <si>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</si>
  <si>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</si>
  <si>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</si>
  <si>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</si>
  <si>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</si>
  <si>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</si>
  <si>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</si>
  <si>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</si>
  <si>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</si>
  <si>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</si>
  <si>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</si>
  <si>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</si>
  <si>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</si>
  <si>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</si>
  <si>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</si>
  <si>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</si>
  <si>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</si>
  <si>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</si>
  <si>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</si>
  <si>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</si>
  <si>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</si>
  <si>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</si>
  <si>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</si>
  <si>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</si>
  <si>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</si>
  <si>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</si>
  <si>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</si>
  <si>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</si>
  <si>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</si>
  <si>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</si>
  <si>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</si>
  <si>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</si>
  <si>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</si>
  <si>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</si>
  <si>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</si>
  <si>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</si>
  <si>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</si>
  <si>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</si>
  <si>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</si>
  <si>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</si>
  <si>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</si>
  <si>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</si>
  <si>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</si>
  <si>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</si>
  <si>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</si>
  <si>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</si>
  <si>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</si>
  <si>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</si>
  <si>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</si>
  <si>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</si>
  <si>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</si>
  <si>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</si>
  <si>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</si>
  <si>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</si>
  <si>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</si>
  <si>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</si>
  <si>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</si>
  <si>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</si>
  <si>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</si>
  <si>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</si>
  <si>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</si>
  <si>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</si>
  <si>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</si>
  <si>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</si>
  <si>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</si>
  <si>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</si>
  <si>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</si>
  <si>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</si>
  <si>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</si>
  <si>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</si>
  <si>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</si>
  <si>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</si>
  <si>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</si>
  <si>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</si>
  <si>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</si>
  <si>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</si>
  <si>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</si>
  <si>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</si>
  <si>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</si>
  <si>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</si>
  <si>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</si>
  <si>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</si>
  <si>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</si>
  <si>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</si>
  <si>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</si>
  <si>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</si>
  <si>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</si>
  <si>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</si>
  <si>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</si>
  <si>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</si>
  <si>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</si>
  <si>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</si>
  <si>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</si>
  <si>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</si>
  <si>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</si>
  <si>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</si>
  <si>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</si>
  <si>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</si>
  <si>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</si>
  <si>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</si>
  <si>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</si>
  <si>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</si>
  <si>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</si>
  <si>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</si>
  <si>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</si>
  <si>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</si>
  <si>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</si>
  <si>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</si>
  <si>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</si>
  <si>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</si>
  <si>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</si>
  <si>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</si>
  <si>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</si>
  <si>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</si>
  <si>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</si>
  <si>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</si>
  <si>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</si>
  <si>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</si>
  <si>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</si>
  <si>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</si>
  <si>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</si>
  <si>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</si>
  <si>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</si>
  <si>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</si>
  <si>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</si>
  <si>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</si>
  <si>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</si>
  <si>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</si>
  <si>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</si>
  <si>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</si>
  <si>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</si>
  <si>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</si>
  <si>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</si>
  <si>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</si>
  <si>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</si>
  <si>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</si>
  <si>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</si>
  <si>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</si>
  <si>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</si>
  <si>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</si>
  <si>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</si>
  <si>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</si>
  <si>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</si>
  <si>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</si>
  <si>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</si>
  <si>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</si>
  <si>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</si>
  <si>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</si>
  <si>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</si>
  <si>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</si>
  <si>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</si>
  <si>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</si>
  <si>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</si>
  <si>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</si>
  <si>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</si>
  <si>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</si>
  <si>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</si>
  <si>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</si>
  <si>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</si>
  <si>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</si>
  <si>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</si>
  <si>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</si>
  <si>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</si>
  <si>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</si>
  <si>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</si>
  <si>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</si>
  <si>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</si>
  <si>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</si>
  <si>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</si>
  <si>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</si>
  <si>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</si>
  <si>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</si>
  <si>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</si>
  <si>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</si>
  <si>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</si>
  <si>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</si>
  <si>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</si>
  <si>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</si>
  <si>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</si>
  <si>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</si>
  <si>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</si>
  <si>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</si>
  <si>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</si>
  <si>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</si>
  <si>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</si>
  <si>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</si>
  <si>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</si>
  <si>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</si>
  <si>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</si>
  <si>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</si>
  <si>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</si>
  <si>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</si>
  <si>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</si>
  <si>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</si>
  <si>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</si>
  <si>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</si>
  <si>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</si>
  <si>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</si>
  <si>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</si>
  <si>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</si>
  <si>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</si>
  <si>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</si>
  <si>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</si>
  <si>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</si>
  <si>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</si>
  <si>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</si>
  <si>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</si>
  <si>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</si>
  <si>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</si>
  <si>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</si>
  <si>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</si>
  <si>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</si>
  <si>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</si>
  <si>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</si>
  <si>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</si>
  <si>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</si>
  <si>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</si>
  <si>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</si>
  <si>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</si>
  <si>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</si>
  <si>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</si>
  <si>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</si>
  <si>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</si>
  <si>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</si>
  <si>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</si>
  <si>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</si>
  <si>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</si>
  <si>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</si>
  <si>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</si>
  <si>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</si>
  <si>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</si>
  <si>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</si>
  <si>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</si>
  <si>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</si>
  <si>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</si>
  <si>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</si>
  <si>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</si>
  <si>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</si>
  <si>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</si>
  <si>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</si>
  <si>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</si>
  <si>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</si>
  <si>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</si>
  <si>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</si>
  <si>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</si>
  <si>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</si>
  <si>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</si>
  <si>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</si>
  <si>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</si>
  <si>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</si>
  <si>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</si>
  <si>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</si>
  <si>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</si>
  <si>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</si>
  <si>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</si>
  <si>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</si>
  <si>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</si>
  <si>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</si>
  <si>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</si>
  <si>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</si>
  <si>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</si>
  <si>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</si>
  <si>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</si>
  <si>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</si>
  <si>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</si>
  <si>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</si>
  <si>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</si>
  <si>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</si>
  <si>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</si>
  <si>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</si>
  <si>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</si>
  <si>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</si>
  <si>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</si>
  <si>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</si>
  <si>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</si>
  <si>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</si>
  <si>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</si>
  <si>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</si>
  <si>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</si>
  <si>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</si>
  <si>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</si>
  <si>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</si>
  <si>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</si>
  <si>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</si>
  <si>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</si>
  <si>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</si>
  <si>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</si>
  <si>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</si>
  <si>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</si>
  <si>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</si>
  <si>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</si>
  <si>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</si>
  <si>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</si>
  <si>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</si>
  <si>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</si>
  <si>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</si>
  <si>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</si>
  <si>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</si>
  <si>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</si>
  <si>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</si>
  <si>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</si>
  <si>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</si>
  <si>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</si>
  <si>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</si>
  <si>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</si>
  <si>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</si>
  <si>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r>
      <rPr>
        <sz val="11"/>
        <color theme="1"/>
        <rFont val="宋体"/>
        <family val="3"/>
        <charset val="134"/>
      </rPr>
      <t>结果表</t>
    </r>
    <r>
      <rPr>
        <sz val="11"/>
        <color theme="1"/>
        <rFont val="Arial"/>
        <family val="2"/>
      </rPr>
      <t>-</t>
    </r>
    <r>
      <rPr>
        <sz val="11"/>
        <color theme="1"/>
        <rFont val="宋体"/>
        <family val="3"/>
        <charset val="134"/>
      </rPr>
      <t>住宅</t>
    </r>
    <phoneticPr fontId="3" type="noConversion"/>
  </si>
  <si>
    <r>
      <rPr>
        <sz val="11"/>
        <color theme="1"/>
        <rFont val="宋体"/>
        <family val="3"/>
        <charset val="134"/>
      </rPr>
      <t>结果表</t>
    </r>
    <r>
      <rPr>
        <sz val="11"/>
        <color theme="1"/>
        <rFont val="Arial"/>
        <family val="2"/>
      </rPr>
      <t>-</t>
    </r>
    <r>
      <rPr>
        <sz val="11"/>
        <color theme="1"/>
        <rFont val="宋体"/>
        <family val="3"/>
        <charset val="134"/>
      </rPr>
      <t>办公</t>
    </r>
    <phoneticPr fontId="3" type="noConversion"/>
  </si>
  <si>
    <r>
      <rPr>
        <sz val="11"/>
        <color theme="1"/>
        <rFont val="宋体"/>
        <family val="3"/>
        <charset val="134"/>
      </rPr>
      <t>结果表</t>
    </r>
    <r>
      <rPr>
        <sz val="11"/>
        <color theme="1"/>
        <rFont val="Arial"/>
        <family val="2"/>
      </rPr>
      <t>-</t>
    </r>
    <r>
      <rPr>
        <sz val="11"/>
        <color theme="1"/>
        <rFont val="宋体"/>
        <family val="3"/>
        <charset val="134"/>
      </rPr>
      <t>商业</t>
    </r>
    <phoneticPr fontId="3"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</si>
  <si>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3"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</si>
  <si>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3"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</si>
  <si>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3"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</si>
  <si>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3" type="noConversion"/>
  </si>
  <si>
    <t>叶凌</t>
  </si>
  <si>
    <t>杨红英</t>
  </si>
  <si>
    <t>核定资产</t>
  </si>
  <si>
    <t>市场价格</t>
  </si>
  <si>
    <t>企业</t>
  </si>
  <si>
    <t>商业</t>
  </si>
  <si>
    <t>地上</t>
  </si>
  <si>
    <t>商业</t>
    <phoneticPr fontId="7" type="noConversion"/>
  </si>
  <si>
    <t>办公</t>
    <phoneticPr fontId="7" type="noConversion"/>
  </si>
  <si>
    <t>批发零售用地</t>
  </si>
  <si>
    <t>三通一平</t>
  </si>
  <si>
    <t>通讯</t>
  </si>
  <si>
    <t>通下水</t>
  </si>
  <si>
    <t>通热</t>
  </si>
  <si>
    <t>燃气</t>
  </si>
  <si>
    <t>按公示增长率计算</t>
  </si>
  <si>
    <t>容积率修正</t>
  </si>
  <si>
    <t>商务金融用地（办公类）</t>
  </si>
  <si>
    <t>缺少</t>
  </si>
  <si>
    <t>项目局部</t>
  </si>
  <si>
    <t>土地</t>
  </si>
  <si>
    <t>剩余法-商业</t>
  </si>
  <si>
    <t>基准地价-商业</t>
  </si>
  <si>
    <t>剩余法-办公</t>
  </si>
  <si>
    <t>基准地价-办公</t>
  </si>
  <si>
    <t>商业</t>
    <phoneticPr fontId="26" type="noConversion"/>
  </si>
  <si>
    <t>40-50（含）</t>
  </si>
  <si>
    <t>商业</t>
    <phoneticPr fontId="26" type="noConversion"/>
  </si>
  <si>
    <t>估价对象所在区域基础设施水平达到三通一平</t>
    <phoneticPr fontId="3" type="noConversion"/>
  </si>
  <si>
    <t>区域自然环境：；人文环境；综合评价环境状况较好</t>
    <phoneticPr fontId="3" type="noConversion"/>
  </si>
  <si>
    <t>较好</t>
  </si>
  <si>
    <t>较差</t>
  </si>
  <si>
    <t>七通</t>
  </si>
  <si>
    <t>单面临街</t>
  </si>
  <si>
    <t>多面临街</t>
    <phoneticPr fontId="26" type="noConversion"/>
  </si>
  <si>
    <t>商业综合体</t>
    <phoneticPr fontId="26" type="noConversion"/>
  </si>
  <si>
    <t>钢混</t>
  </si>
  <si>
    <t>钢混</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</si>
  <si>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</si>
  <si>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</si>
  <si>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</si>
  <si>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</si>
  <si>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</si>
  <si>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</si>
  <si>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三通一平</t>
    <phoneticPr fontId="26" type="noConversion"/>
  </si>
  <si>
    <t>五通一平</t>
  </si>
  <si>
    <t>五通一平</t>
    <phoneticPr fontId="26" type="noConversion"/>
  </si>
  <si>
    <t>六通一平</t>
    <phoneticPr fontId="26" type="noConversion"/>
  </si>
  <si>
    <t>七通一平</t>
    <phoneticPr fontId="26" type="noConversion"/>
  </si>
  <si>
    <t>正常</t>
  </si>
  <si>
    <t>正常</t>
    <phoneticPr fontId="26" type="noConversion"/>
  </si>
  <si>
    <t>已部分缴纳</t>
  </si>
  <si>
    <t>办公</t>
    <phoneticPr fontId="27" type="noConversion"/>
  </si>
  <si>
    <t>30-40（含）</t>
  </si>
  <si>
    <t>高速路</t>
    <phoneticPr fontId="27" type="noConversion"/>
  </si>
  <si>
    <t>城市主干道</t>
    <phoneticPr fontId="27" type="noConversion"/>
  </si>
  <si>
    <t>城市次干道</t>
  </si>
  <si>
    <t>城市次干道</t>
    <phoneticPr fontId="27" type="noConversion"/>
  </si>
  <si>
    <t>城市支路</t>
    <phoneticPr fontId="27" type="noConversion"/>
  </si>
  <si>
    <t>将台路</t>
    <phoneticPr fontId="27" type="noConversion"/>
  </si>
  <si>
    <t>中楼层</t>
    <phoneticPr fontId="27" type="noConversion"/>
  </si>
  <si>
    <t>写字楼</t>
    <phoneticPr fontId="27" type="noConversion"/>
  </si>
  <si>
    <t>华仑大厦面积=（144+113+144）÷3×232户÷70%=约44000平方米</t>
    <phoneticPr fontId="228" type="noConversion"/>
  </si>
  <si>
    <t>钢混</t>
    <phoneticPr fontId="27" type="noConversion"/>
  </si>
  <si>
    <t>精装修</t>
    <phoneticPr fontId="27" type="noConversion"/>
  </si>
  <si>
    <t>物业公司管理</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</si>
  <si>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</si>
  <si>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</si>
  <si>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</si>
  <si>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</si>
  <si>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</si>
  <si>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正常</t>
    <phoneticPr fontId="27" type="noConversion"/>
  </si>
  <si>
    <t>临街道路</t>
    <phoneticPr fontId="26" type="noConversion"/>
  </si>
  <si>
    <t>一般</t>
    <phoneticPr fontId="26" type="noConversion"/>
  </si>
  <si>
    <t>较好</t>
    <phoneticPr fontId="26" type="noConversion"/>
  </si>
  <si>
    <t>地上一层</t>
    <phoneticPr fontId="26" type="noConversion"/>
  </si>
  <si>
    <t>建成年代</t>
    <phoneticPr fontId="27"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</si>
  <si>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7" type="noConversion"/>
  </si>
  <si>
    <t>现房</t>
    <phoneticPr fontId="27" type="noConversion"/>
  </si>
  <si>
    <t>现房</t>
    <phoneticPr fontId="27" type="noConversion"/>
  </si>
  <si>
    <t>地块1</t>
    <phoneticPr fontId="228" type="noConversion"/>
  </si>
  <si>
    <t>商业</t>
    <phoneticPr fontId="228" type="noConversion"/>
  </si>
  <si>
    <t>办公</t>
    <phoneticPr fontId="228" type="noConversion"/>
  </si>
  <si>
    <t>车库入口</t>
    <phoneticPr fontId="228" type="noConversion"/>
  </si>
  <si>
    <r>
      <t>1</t>
    </r>
    <r>
      <rPr>
        <sz val="11"/>
        <color theme="1"/>
        <rFont val="宋体"/>
        <family val="3"/>
        <charset val="134"/>
        <scheme val="minor"/>
      </rPr>
      <t>#</t>
    </r>
    <phoneticPr fontId="228" type="noConversion"/>
  </si>
  <si>
    <r>
      <t>2</t>
    </r>
    <r>
      <rPr>
        <sz val="11"/>
        <color theme="1"/>
        <rFont val="宋体"/>
        <family val="3"/>
        <charset val="134"/>
        <scheme val="minor"/>
      </rPr>
      <t>#</t>
    </r>
    <phoneticPr fontId="228"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</si>
  <si>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</si>
  <si>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</si>
  <si>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</si>
  <si>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</si>
  <si>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</si>
  <si>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t>合计</t>
    <phoneticPr fontId="228" type="noConversion"/>
  </si>
  <si>
    <t>地块2</t>
    <phoneticPr fontId="228" type="noConversion"/>
  </si>
  <si>
    <t>酒店</t>
    <phoneticPr fontId="228" type="noConversion"/>
  </si>
  <si>
    <t>建筑面积</t>
    <phoneticPr fontId="228" type="noConversion"/>
  </si>
  <si>
    <t>基准地价法</t>
    <phoneticPr fontId="228" type="noConversion"/>
  </si>
  <si>
    <t>剩余法</t>
    <phoneticPr fontId="228" type="noConversion"/>
  </si>
  <si>
    <t>绿隔产业（商业）</t>
  </si>
  <si>
    <t>绿隔产业（办公）</t>
  </si>
  <si>
    <t>用途</t>
  </si>
  <si>
    <t>出让建筑面积（㎡）</t>
    <phoneticPr fontId="228" type="noConversion"/>
  </si>
  <si>
    <t>楼面熟地单价（元/㎡）</t>
    <phoneticPr fontId="228" type="noConversion"/>
  </si>
  <si>
    <t>熟地总价(万元）</t>
    <phoneticPr fontId="228" type="noConversion"/>
  </si>
  <si>
    <t>地面熟地单价（元/㎡）</t>
    <phoneticPr fontId="228" type="noConversion"/>
  </si>
  <si>
    <t>——</t>
    <phoneticPr fontId="228" type="noConversion"/>
  </si>
  <si>
    <t>绿隔产业（商业）</t>
    <phoneticPr fontId="228" type="noConversion"/>
  </si>
  <si>
    <t>熟地价</t>
    <phoneticPr fontId="228" type="noConversion"/>
  </si>
  <si>
    <t>绿隔产业（办公）</t>
    <phoneticPr fontId="228" type="noConversion"/>
  </si>
  <si>
    <t>政府土地出让收益楼面单价（元/㎡）</t>
    <phoneticPr fontId="228" type="noConversion"/>
  </si>
  <si>
    <t>政府土地出让收益楼面总价（万元）</t>
    <phoneticPr fontId="228" type="noConversion"/>
  </si>
  <si>
    <t>权重楼面熟地单价</t>
    <phoneticPr fontId="228" type="noConversion"/>
  </si>
  <si>
    <t>政府土地收益楼面单价</t>
    <phoneticPr fontId="228" type="noConversion"/>
  </si>
  <si>
    <t>政府土地出让收益</t>
    <phoneticPr fontId="228" type="noConversion"/>
  </si>
  <si>
    <t>底价建议</t>
    <phoneticPr fontId="228" type="noConversion"/>
  </si>
  <si>
    <t>政府土地出让收益与应分摊成本合计楼面单价（元/㎡）</t>
    <phoneticPr fontId="228" type="noConversion"/>
  </si>
  <si>
    <t xml:space="preserve">所在基准地价级别低限楼面熟地价
（元/㎡）
</t>
    <phoneticPr fontId="228" type="noConversion"/>
  </si>
  <si>
    <t xml:space="preserve">所在基准地价级别低限政府土地出让收益
（元/㎡）
</t>
    <phoneticPr fontId="228" type="noConversion"/>
  </si>
  <si>
    <t xml:space="preserve">建议出让底价
总价(万元）
</t>
    <phoneticPr fontId="228" type="noConversion"/>
  </si>
  <si>
    <t>合计</t>
    <phoneticPr fontId="228" type="noConversion"/>
  </si>
  <si>
    <t>用途</t>
    <phoneticPr fontId="228" type="noConversion"/>
  </si>
  <si>
    <t>方法</t>
    <phoneticPr fontId="228" type="noConversion"/>
  </si>
  <si>
    <t>楼面熟地单价</t>
    <phoneticPr fontId="276" type="noConversion"/>
  </si>
  <si>
    <t>权重</t>
    <phoneticPr fontId="228" type="noConversion"/>
  </si>
  <si>
    <t>分摊成本</t>
    <phoneticPr fontId="228" type="noConversion"/>
  </si>
  <si>
    <t>不临58条商业街</t>
  </si>
  <si>
    <t>双面临街</t>
  </si>
  <si>
    <t>双面临街</t>
    <phoneticPr fontId="26" type="noConversion"/>
  </si>
  <si>
    <t>单面临街</t>
    <phoneticPr fontId="26" type="noConversion"/>
  </si>
  <si>
    <t>五通一平</t>
    <phoneticPr fontId="26" type="noConversion"/>
  </si>
  <si>
    <t>商业综合体</t>
  </si>
  <si>
    <t>押一</t>
  </si>
  <si>
    <t>土地（套用方法）</t>
  </si>
  <si>
    <t>工程进度</t>
  </si>
  <si>
    <t>按租金收入计税</t>
  </si>
  <si>
    <t>颐堤港</t>
    <phoneticPr fontId="3" type="noConversion"/>
  </si>
  <si>
    <t>低楼层</t>
    <phoneticPr fontId="27" type="noConversion"/>
  </si>
  <si>
    <t>高楼层</t>
    <phoneticPr fontId="27" type="noConversion"/>
  </si>
  <si>
    <t>中楼层</t>
    <phoneticPr fontId="27" type="noConversion"/>
  </si>
  <si>
    <t>低楼层</t>
    <phoneticPr fontId="27" type="noConversion"/>
  </si>
  <si>
    <t>方恒购物中心</t>
    <phoneticPr fontId="3" type="noConversion"/>
  </si>
  <si>
    <t>六佰本商业中心</t>
    <phoneticPr fontId="3"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</si>
  <si>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6" type="noConversion"/>
  </si>
  <si>
    <t>现房</t>
    <phoneticPr fontId="26" type="noConversion"/>
  </si>
  <si>
    <t>现房</t>
    <phoneticPr fontId="26"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</si>
  <si>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6" type="noConversion"/>
  </si>
  <si>
    <t>丽都水岸</t>
    <phoneticPr fontId="3" type="noConversion"/>
  </si>
  <si>
    <t>城市支路—</t>
    <phoneticPr fontId="26" type="noConversion"/>
  </si>
  <si>
    <t>城市次干道—阜通东大街</t>
    <phoneticPr fontId="26" type="noConversion"/>
  </si>
  <si>
    <t>城市次干道—广顺北大街</t>
    <phoneticPr fontId="26" type="noConversion"/>
  </si>
  <si>
    <t>住宅底商</t>
    <phoneticPr fontId="26" type="noConversion"/>
  </si>
  <si>
    <t>商业街商铺</t>
    <phoneticPr fontId="26" type="noConversion"/>
  </si>
  <si>
    <t>不动产收益法-商业</t>
  </si>
  <si>
    <t>不动产收益法-办公</t>
  </si>
  <si>
    <t>六通</t>
  </si>
  <si>
    <t>估价对象位于酒仙桥商圈，周边商业氛围较成熟，人流量较大，商业繁华度较好</t>
    <phoneticPr fontId="3" type="noConversion"/>
  </si>
  <si>
    <t>估价对象周边有445路、516路、659路、983路等多条公交线路经过，距14号线地铁（将台站）约300米，道路状况较好、公共交通通达情况较好、综合评价交通便捷度较好。</t>
    <phoneticPr fontId="3" type="noConversion"/>
  </si>
  <si>
    <t>城市次干道—将台路</t>
    <phoneticPr fontId="26" type="noConversion"/>
  </si>
  <si>
    <t>估价对象所在区域公共配套设施齐备度较好</t>
    <phoneticPr fontId="3" type="noConversion"/>
  </si>
  <si>
    <t>估价对象位于酒仙桥商圈，周边办公楼项目较多，入驻率高，办公集聚程度较好</t>
    <phoneticPr fontId="3" type="noConversion"/>
  </si>
  <si>
    <t>20-30（含）</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</si>
</sst>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1"/>
      <name val="Tahoma"/>
      <family val="2"/>
    </font>
    <font>
      <b/>
      <sz val="9"/>
      <color indexed="81"/>
      <name val="Tahoma"/>
      <family val="2"/>
    </font>
    <font>
      <sz val="9"/>
      <name val="宋体"/>
      <family val="2"/>
      <charset val="134"/>
      <scheme val="minor"/>
    </font>
    <font>
      <b/>
      <sz val="20"/>
      <color theme="1"/>
      <name val="华文楷体"/>
      <family val="3"/>
      <charset val="134"/>
    </font>
    <font>
      <b/>
      <sz val="11"/>
      <color theme="1"/>
      <name val="Adobe 黑体 Std R"/>
      <family val="2"/>
      <charset val="134"/>
    </font>
    <font>
      <b/>
      <sz val="11"/>
      <color theme="1"/>
      <name val="Adobe 黑体 Std R"/>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49" fillId="0" borderId="0" xfId="0" applyFont="1" applyBorder="1" applyAlignment="1" applyProtection="1">
      <alignment horizontal="center" vertical="center"/>
      <protection locked="0"/>
    </xf>
    <xf numFmtId="0" fontId="81" fillId="6" borderId="6" xfId="2"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6" borderId="0" xfId="0" applyFill="1">
      <alignment vertical="center"/>
    </xf>
    <xf numFmtId="0" fontId="145" fillId="0" borderId="2" xfId="0" applyFont="1" applyBorder="1">
      <alignment vertical="center"/>
    </xf>
    <xf numFmtId="0" fontId="0" fillId="9" borderId="2" xfId="0" applyFill="1" applyBorder="1">
      <alignment vertical="center"/>
    </xf>
    <xf numFmtId="0" fontId="0" fillId="6" borderId="2" xfId="0" applyFill="1" applyBorder="1">
      <alignment vertical="center"/>
    </xf>
    <xf numFmtId="0" fontId="145" fillId="9" borderId="2" xfId="0" applyFont="1" applyFill="1" applyBorder="1">
      <alignment vertical="center"/>
    </xf>
    <xf numFmtId="0" fontId="145" fillId="6" borderId="2" xfId="0" applyFont="1"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17" borderId="13" xfId="0" applyFont="1" applyFill="1" applyBorder="1">
      <alignment vertical="center"/>
    </xf>
    <xf numFmtId="0" fontId="147" fillId="0" borderId="2" xfId="0" applyFont="1" applyBorder="1">
      <alignment vertical="center"/>
    </xf>
    <xf numFmtId="0" fontId="147" fillId="0" borderId="0" xfId="0" applyFont="1">
      <alignment vertical="center"/>
    </xf>
    <xf numFmtId="0" fontId="145" fillId="6" borderId="2" xfId="0" applyFont="1" applyFill="1" applyBorder="1" applyAlignment="1">
      <alignment vertical="center" wrapText="1"/>
    </xf>
    <xf numFmtId="0" fontId="0" fillId="6" borderId="2" xfId="0" applyFill="1" applyBorder="1" applyAlignment="1">
      <alignment vertical="center" wrapText="1"/>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76" fillId="0" borderId="82" xfId="0" applyFont="1" applyBorder="1" applyAlignment="1">
      <alignment horizontal="center" vertical="center" wrapText="1"/>
    </xf>
    <xf numFmtId="0" fontId="277" fillId="0" borderId="0" xfId="0" applyFont="1" applyFill="1" applyBorder="1" applyAlignment="1">
      <alignment vertical="center" wrapText="1"/>
    </xf>
    <xf numFmtId="0" fontId="199" fillId="0" borderId="35" xfId="0" applyFont="1" applyBorder="1" applyAlignment="1">
      <alignment vertical="center" wrapText="1"/>
    </xf>
    <xf numFmtId="0" fontId="199" fillId="0" borderId="79" xfId="0" applyFont="1" applyBorder="1" applyAlignment="1">
      <alignment vertical="center" wrapText="1"/>
    </xf>
    <xf numFmtId="0" fontId="199" fillId="0" borderId="80" xfId="0" applyFont="1" applyBorder="1" applyAlignment="1">
      <alignment vertical="center" wrapText="1"/>
    </xf>
    <xf numFmtId="0" fontId="160" fillId="0" borderId="11" xfId="0" applyFont="1" applyBorder="1" applyAlignment="1">
      <alignment vertical="center" wrapText="1"/>
    </xf>
    <xf numFmtId="0" fontId="149" fillId="0" borderId="2" xfId="0" applyFont="1" applyBorder="1" applyAlignment="1">
      <alignment horizontal="center" vertical="center" wrapText="1"/>
    </xf>
    <xf numFmtId="0" fontId="149" fillId="0" borderId="12" xfId="0" applyFont="1" applyBorder="1" applyAlignment="1">
      <alignment horizontal="center" vertical="center" wrapText="1"/>
    </xf>
    <xf numFmtId="0" fontId="160" fillId="0" borderId="82" xfId="0" applyFont="1" applyBorder="1" applyAlignment="1">
      <alignment vertical="center" wrapText="1"/>
    </xf>
    <xf numFmtId="0" fontId="149" fillId="0" borderId="82" xfId="0" applyFont="1" applyBorder="1" applyAlignment="1">
      <alignment horizontal="center" vertical="center" wrapText="1"/>
    </xf>
    <xf numFmtId="0" fontId="160" fillId="0" borderId="60" xfId="0" applyFont="1" applyBorder="1" applyAlignment="1">
      <alignment vertical="center" wrapText="1"/>
    </xf>
    <xf numFmtId="0" fontId="149" fillId="0" borderId="44" xfId="0" applyFont="1" applyBorder="1" applyAlignment="1">
      <alignment horizontal="center" vertical="center" wrapText="1"/>
    </xf>
    <xf numFmtId="0" fontId="149" fillId="0" borderId="46" xfId="0" applyFont="1" applyBorder="1" applyAlignment="1">
      <alignment horizontal="center" vertical="center" wrapText="1"/>
    </xf>
    <xf numFmtId="0" fontId="278" fillId="17" borderId="2" xfId="0" applyFont="1" applyFill="1" applyBorder="1" applyAlignment="1">
      <alignment horizontal="center" vertical="center" wrapText="1"/>
    </xf>
    <xf numFmtId="0" fontId="279" fillId="17" borderId="2" xfId="0" applyFont="1" applyFill="1" applyBorder="1" applyAlignment="1">
      <alignment horizontal="center" vertical="center" wrapText="1"/>
    </xf>
    <xf numFmtId="0" fontId="149" fillId="0" borderId="82" xfId="0" applyFont="1" applyFill="1" applyBorder="1" applyAlignment="1">
      <alignment horizontal="center" vertical="center" wrapText="1"/>
    </xf>
    <xf numFmtId="0" fontId="176" fillId="0" borderId="82" xfId="0" applyFont="1" applyFill="1" applyBorder="1" applyAlignment="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2" borderId="18"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7" fillId="0" borderId="0" xfId="0" applyFont="1" applyFill="1" applyBorder="1" applyAlignment="1">
      <alignment horizontal="center" vertical="center" wrapText="1"/>
    </xf>
    <xf numFmtId="0" fontId="199" fillId="0" borderId="82" xfId="0" applyFont="1" applyBorder="1" applyAlignment="1">
      <alignment horizontal="center" vertical="center" wrapText="1"/>
    </xf>
    <xf numFmtId="0" fontId="277" fillId="0" borderId="61" xfId="0" applyFont="1" applyFill="1" applyBorder="1" applyAlignment="1">
      <alignment horizontal="center" vertical="center" wrapText="1"/>
    </xf>
    <xf numFmtId="0" fontId="199" fillId="0" borderId="35" xfId="0" applyFont="1" applyBorder="1" applyAlignment="1">
      <alignment horizontal="center" vertical="center" wrapText="1"/>
    </xf>
    <xf numFmtId="0" fontId="199" fillId="0" borderId="79" xfId="0" applyFont="1" applyBorder="1" applyAlignment="1">
      <alignment horizontal="center" vertical="center" wrapText="1"/>
    </xf>
    <xf numFmtId="0" fontId="199" fillId="0" borderId="80" xfId="0" applyFont="1" applyBorder="1" applyAlignment="1">
      <alignment horizontal="center" vertical="center" wrapText="1"/>
    </xf>
    <xf numFmtId="0" fontId="199" fillId="0" borderId="53" xfId="0" applyFont="1" applyBorder="1" applyAlignment="1">
      <alignment horizontal="center" vertical="center" wrapText="1"/>
    </xf>
    <xf numFmtId="0" fontId="199" fillId="0" borderId="24" xfId="0" applyFont="1" applyBorder="1" applyAlignment="1">
      <alignment horizontal="center" vertical="center" wrapText="1"/>
    </xf>
    <xf numFmtId="0" fontId="199" fillId="0" borderId="50" xfId="0" applyFont="1" applyBorder="1" applyAlignment="1">
      <alignment horizontal="center" vertical="center" wrapText="1"/>
    </xf>
    <xf numFmtId="0" fontId="199" fillId="0" borderId="27" xfId="0" applyFont="1" applyBorder="1" applyAlignment="1">
      <alignment horizontal="center" vertical="center" wrapText="1"/>
    </xf>
    <xf numFmtId="0" fontId="199" fillId="0" borderId="3" xfId="0" applyFont="1" applyBorder="1" applyAlignment="1">
      <alignment horizontal="center" vertical="center" wrapText="1"/>
    </xf>
    <xf numFmtId="0" fontId="199" fillId="0" borderId="21" xfId="0" applyFont="1" applyBorder="1" applyAlignment="1">
      <alignment horizontal="center" vertical="center" wrapText="1"/>
    </xf>
    <xf numFmtId="0" fontId="199" fillId="0" borderId="41" xfId="0" applyFont="1" applyBorder="1" applyAlignment="1">
      <alignment horizontal="center" vertical="center" wrapText="1"/>
    </xf>
    <xf numFmtId="0" fontId="199" fillId="0" borderId="52" xfId="0" applyFont="1" applyBorder="1" applyAlignment="1">
      <alignment horizontal="center" vertical="center" wrapText="1"/>
    </xf>
    <xf numFmtId="0" fontId="199" fillId="0" borderId="51" xfId="0" applyFont="1" applyBorder="1" applyAlignment="1">
      <alignment horizontal="center" vertical="center" wrapText="1"/>
    </xf>
    <xf numFmtId="0" fontId="145" fillId="6" borderId="2"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10" xfId="0" applyFill="1" applyBorder="1" applyAlignment="1">
      <alignment horizontal="center" vertical="center"/>
    </xf>
    <xf numFmtId="0" fontId="0" fillId="6" borderId="21" xfId="0" applyFill="1" applyBorder="1" applyAlignment="1">
      <alignment horizontal="center" vertical="center"/>
    </xf>
    <xf numFmtId="0" fontId="145" fillId="9" borderId="2" xfId="0" applyFont="1"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10" xfId="0" applyFill="1" applyBorder="1" applyAlignment="1">
      <alignment horizontal="center" vertical="center"/>
    </xf>
    <xf numFmtId="0" fontId="0" fillId="9" borderId="21" xfId="0" applyFill="1" applyBorder="1" applyAlignment="1">
      <alignment horizontal="center" vertical="center"/>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152" fillId="5" borderId="2"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166" fillId="5" borderId="21"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6" fillId="5" borderId="22" xfId="0" applyFont="1" applyFill="1" applyBorder="1" applyAlignment="1" applyProtection="1">
      <alignment horizontal="left"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457200</xdr:colOff>
      <xdr:row>8</xdr:row>
      <xdr:rowOff>142875</xdr:rowOff>
    </xdr:to>
    <xdr:pic>
      <xdr:nvPicPr>
        <xdr:cNvPr id="737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001000" cy="1514475"/>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11</xdr:col>
      <xdr:colOff>276225</xdr:colOff>
      <xdr:row>17</xdr:row>
      <xdr:rowOff>0</xdr:rowOff>
    </xdr:to>
    <xdr:pic>
      <xdr:nvPicPr>
        <xdr:cNvPr id="7373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820025" cy="1200150"/>
        </a:xfrm>
        <a:prstGeom prst="rect">
          <a:avLst/>
        </a:prstGeom>
        <a:noFill/>
        <a:ln w="1">
          <a:noFill/>
          <a:miter lim="800000"/>
          <a:headEnd/>
          <a:tailEnd type="none" w="med" len="med"/>
        </a:ln>
        <a:effectLst/>
      </xdr:spPr>
    </xdr:pic>
    <xdr:clientData/>
  </xdr:twoCellAnchor>
  <xdr:twoCellAnchor editAs="oneCell">
    <xdr:from>
      <xdr:col>0</xdr:col>
      <xdr:colOff>38100</xdr:colOff>
      <xdr:row>18</xdr:row>
      <xdr:rowOff>28575</xdr:rowOff>
    </xdr:from>
    <xdr:to>
      <xdr:col>11</xdr:col>
      <xdr:colOff>333375</xdr:colOff>
      <xdr:row>25</xdr:row>
      <xdr:rowOff>104775</xdr:rowOff>
    </xdr:to>
    <xdr:pic>
      <xdr:nvPicPr>
        <xdr:cNvPr id="73732"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38100" y="3114675"/>
          <a:ext cx="7839075" cy="1276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314325</xdr:colOff>
      <xdr:row>21</xdr:row>
      <xdr:rowOff>161925</xdr:rowOff>
    </xdr:from>
    <xdr:to>
      <xdr:col>16</xdr:col>
      <xdr:colOff>485775</xdr:colOff>
      <xdr:row>42</xdr:row>
      <xdr:rowOff>123825</xdr:rowOff>
    </xdr:to>
    <xdr:pic>
      <xdr:nvPicPr>
        <xdr:cNvPr id="593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486525" y="3762375"/>
          <a:ext cx="4972050" cy="35623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304800</xdr:colOff>
      <xdr:row>27</xdr:row>
      <xdr:rowOff>66674</xdr:rowOff>
    </xdr:to>
    <xdr:pic>
      <xdr:nvPicPr>
        <xdr:cNvPr id="3" name="图片 2"/>
        <xdr:cNvPicPr/>
      </xdr:nvPicPr>
      <xdr:blipFill>
        <a:blip xmlns:r="http://schemas.openxmlformats.org/officeDocument/2006/relationships" r:embed="rId2" cstate="print"/>
        <a:stretch>
          <a:fillRect/>
        </a:stretch>
      </xdr:blipFill>
      <xdr:spPr>
        <a:xfrm>
          <a:off x="0" y="0"/>
          <a:ext cx="6477000" cy="4695824"/>
        </a:xfrm>
        <a:prstGeom prst="rect">
          <a:avLst/>
        </a:prstGeom>
      </xdr:spPr>
    </xdr:pic>
    <xdr:clientData/>
  </xdr:twoCellAnchor>
  <xdr:twoCellAnchor editAs="oneCell">
    <xdr:from>
      <xdr:col>0</xdr:col>
      <xdr:colOff>28575</xdr:colOff>
      <xdr:row>29</xdr:row>
      <xdr:rowOff>123825</xdr:rowOff>
    </xdr:from>
    <xdr:to>
      <xdr:col>9</xdr:col>
      <xdr:colOff>409575</xdr:colOff>
      <xdr:row>59</xdr:row>
      <xdr:rowOff>0</xdr:rowOff>
    </xdr:to>
    <xdr:pic>
      <xdr:nvPicPr>
        <xdr:cNvPr id="4" name="图片 3"/>
        <xdr:cNvPicPr/>
      </xdr:nvPicPr>
      <xdr:blipFill>
        <a:blip xmlns:r="http://schemas.openxmlformats.org/officeDocument/2006/relationships" r:embed="rId3" cstate="print"/>
        <a:stretch>
          <a:fillRect/>
        </a:stretch>
      </xdr:blipFill>
      <xdr:spPr>
        <a:xfrm>
          <a:off x="28575" y="5095875"/>
          <a:ext cx="6553200" cy="5019675"/>
        </a:xfrm>
        <a:prstGeom prst="rect">
          <a:avLst/>
        </a:prstGeom>
      </xdr:spPr>
    </xdr:pic>
    <xdr:clientData/>
  </xdr:twoCellAnchor>
  <xdr:twoCellAnchor editAs="oneCell">
    <xdr:from>
      <xdr:col>0</xdr:col>
      <xdr:colOff>0</xdr:colOff>
      <xdr:row>59</xdr:row>
      <xdr:rowOff>114299</xdr:rowOff>
    </xdr:from>
    <xdr:to>
      <xdr:col>9</xdr:col>
      <xdr:colOff>66674</xdr:colOff>
      <xdr:row>66</xdr:row>
      <xdr:rowOff>47624</xdr:rowOff>
    </xdr:to>
    <xdr:pic>
      <xdr:nvPicPr>
        <xdr:cNvPr id="5" name="图片 4"/>
        <xdr:cNvPicPr/>
      </xdr:nvPicPr>
      <xdr:blipFill>
        <a:blip xmlns:r="http://schemas.openxmlformats.org/officeDocument/2006/relationships" r:embed="rId4" cstate="print"/>
        <a:stretch>
          <a:fillRect/>
        </a:stretch>
      </xdr:blipFill>
      <xdr:spPr>
        <a:xfrm>
          <a:off x="0" y="10229849"/>
          <a:ext cx="6238874" cy="1133475"/>
        </a:xfrm>
        <a:prstGeom prst="rect">
          <a:avLst/>
        </a:prstGeom>
      </xdr:spPr>
    </xdr:pic>
    <xdr:clientData/>
  </xdr:twoCellAnchor>
  <xdr:twoCellAnchor editAs="oneCell">
    <xdr:from>
      <xdr:col>0</xdr:col>
      <xdr:colOff>0</xdr:colOff>
      <xdr:row>67</xdr:row>
      <xdr:rowOff>161924</xdr:rowOff>
    </xdr:from>
    <xdr:to>
      <xdr:col>9</xdr:col>
      <xdr:colOff>600074</xdr:colOff>
      <xdr:row>101</xdr:row>
      <xdr:rowOff>38099</xdr:rowOff>
    </xdr:to>
    <xdr:pic>
      <xdr:nvPicPr>
        <xdr:cNvPr id="6" name="图片 5"/>
        <xdr:cNvPicPr/>
      </xdr:nvPicPr>
      <xdr:blipFill>
        <a:blip xmlns:r="http://schemas.openxmlformats.org/officeDocument/2006/relationships" r:embed="rId5" cstate="print"/>
        <a:stretch>
          <a:fillRect/>
        </a:stretch>
      </xdr:blipFill>
      <xdr:spPr>
        <a:xfrm>
          <a:off x="0" y="11649074"/>
          <a:ext cx="6772274" cy="5705475"/>
        </a:xfrm>
        <a:prstGeom prst="rect">
          <a:avLst/>
        </a:prstGeom>
      </xdr:spPr>
    </xdr:pic>
    <xdr:clientData/>
  </xdr:twoCellAnchor>
  <xdr:twoCellAnchor editAs="oneCell">
    <xdr:from>
      <xdr:col>9</xdr:col>
      <xdr:colOff>561975</xdr:colOff>
      <xdr:row>0</xdr:row>
      <xdr:rowOff>0</xdr:rowOff>
    </xdr:from>
    <xdr:to>
      <xdr:col>19</xdr:col>
      <xdr:colOff>66675</xdr:colOff>
      <xdr:row>21</xdr:row>
      <xdr:rowOff>113332</xdr:rowOff>
    </xdr:to>
    <xdr:pic>
      <xdr:nvPicPr>
        <xdr:cNvPr id="7"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6734175" y="0"/>
          <a:ext cx="6362700" cy="3713782"/>
        </a:xfrm>
        <a:prstGeom prst="rect">
          <a:avLst/>
        </a:prstGeom>
        <a:noFill/>
        <a:ln w="1">
          <a:noFill/>
          <a:miter lim="800000"/>
          <a:headEnd/>
          <a:tailEnd type="none" w="med" len="med"/>
        </a:ln>
        <a:effectLst/>
      </xdr:spPr>
    </xdr:pic>
    <xdr:clientData/>
  </xdr:twoCellAnchor>
  <xdr:twoCellAnchor editAs="oneCell">
    <xdr:from>
      <xdr:col>10</xdr:col>
      <xdr:colOff>38099</xdr:colOff>
      <xdr:row>43</xdr:row>
      <xdr:rowOff>51986</xdr:rowOff>
    </xdr:from>
    <xdr:to>
      <xdr:col>18</xdr:col>
      <xdr:colOff>638174</xdr:colOff>
      <xdr:row>65</xdr:row>
      <xdr:rowOff>0</xdr:rowOff>
    </xdr:to>
    <xdr:pic>
      <xdr:nvPicPr>
        <xdr:cNvPr id="593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896099" y="7424336"/>
          <a:ext cx="6086475" cy="3719914"/>
        </a:xfrm>
        <a:prstGeom prst="rect">
          <a:avLst/>
        </a:prstGeom>
        <a:noFill/>
        <a:ln w="1">
          <a:noFill/>
          <a:miter lim="800000"/>
          <a:headEnd/>
          <a:tailEnd type="none" w="med" len="med"/>
        </a:ln>
        <a:effectLst/>
      </xdr:spPr>
    </xdr:pic>
    <xdr:clientData/>
  </xdr:twoCellAnchor>
  <xdr:twoCellAnchor editAs="oneCell">
    <xdr:from>
      <xdr:col>18</xdr:col>
      <xdr:colOff>104775</xdr:colOff>
      <xdr:row>47</xdr:row>
      <xdr:rowOff>121275</xdr:rowOff>
    </xdr:from>
    <xdr:to>
      <xdr:col>23</xdr:col>
      <xdr:colOff>295275</xdr:colOff>
      <xdr:row>65</xdr:row>
      <xdr:rowOff>104774</xdr:rowOff>
    </xdr:to>
    <xdr:pic>
      <xdr:nvPicPr>
        <xdr:cNvPr id="5939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12449175" y="8179425"/>
          <a:ext cx="3619500" cy="30695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209550</xdr:colOff>
      <xdr:row>20</xdr:row>
      <xdr:rowOff>164597</xdr:rowOff>
    </xdr:from>
    <xdr:to>
      <xdr:col>16</xdr:col>
      <xdr:colOff>536780</xdr:colOff>
      <xdr:row>42</xdr:row>
      <xdr:rowOff>104775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67550" y="3593597"/>
          <a:ext cx="4442030" cy="3712078"/>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10</xdr:col>
      <xdr:colOff>123824</xdr:colOff>
      <xdr:row>26</xdr:row>
      <xdr:rowOff>133350</xdr:rowOff>
    </xdr:to>
    <xdr:pic>
      <xdr:nvPicPr>
        <xdr:cNvPr id="3" name="图片 2"/>
        <xdr:cNvPicPr/>
      </xdr:nvPicPr>
      <xdr:blipFill>
        <a:blip xmlns:r="http://schemas.openxmlformats.org/officeDocument/2006/relationships" r:embed="rId2" cstate="print"/>
        <a:stretch>
          <a:fillRect/>
        </a:stretch>
      </xdr:blipFill>
      <xdr:spPr>
        <a:xfrm>
          <a:off x="0" y="0"/>
          <a:ext cx="6981824" cy="4591050"/>
        </a:xfrm>
        <a:prstGeom prst="rect">
          <a:avLst/>
        </a:prstGeom>
      </xdr:spPr>
    </xdr:pic>
    <xdr:clientData/>
  </xdr:twoCellAnchor>
  <xdr:twoCellAnchor editAs="oneCell">
    <xdr:from>
      <xdr:col>0</xdr:col>
      <xdr:colOff>0</xdr:colOff>
      <xdr:row>27</xdr:row>
      <xdr:rowOff>95250</xdr:rowOff>
    </xdr:from>
    <xdr:to>
      <xdr:col>10</xdr:col>
      <xdr:colOff>180975</xdr:colOff>
      <xdr:row>61</xdr:row>
      <xdr:rowOff>66674</xdr:rowOff>
    </xdr:to>
    <xdr:pic>
      <xdr:nvPicPr>
        <xdr:cNvPr id="4" name="图片 3"/>
        <xdr:cNvPicPr/>
      </xdr:nvPicPr>
      <xdr:blipFill>
        <a:blip xmlns:r="http://schemas.openxmlformats.org/officeDocument/2006/relationships" r:embed="rId3" cstate="print"/>
        <a:stretch>
          <a:fillRect/>
        </a:stretch>
      </xdr:blipFill>
      <xdr:spPr>
        <a:xfrm>
          <a:off x="0" y="4724400"/>
          <a:ext cx="7038975" cy="5800724"/>
        </a:xfrm>
        <a:prstGeom prst="rect">
          <a:avLst/>
        </a:prstGeom>
      </xdr:spPr>
    </xdr:pic>
    <xdr:clientData/>
  </xdr:twoCellAnchor>
  <xdr:twoCellAnchor editAs="oneCell">
    <xdr:from>
      <xdr:col>0</xdr:col>
      <xdr:colOff>0</xdr:colOff>
      <xdr:row>64</xdr:row>
      <xdr:rowOff>0</xdr:rowOff>
    </xdr:from>
    <xdr:to>
      <xdr:col>10</xdr:col>
      <xdr:colOff>238124</xdr:colOff>
      <xdr:row>88</xdr:row>
      <xdr:rowOff>95250</xdr:rowOff>
    </xdr:to>
    <xdr:pic>
      <xdr:nvPicPr>
        <xdr:cNvPr id="5" name="图片 4"/>
        <xdr:cNvPicPr/>
      </xdr:nvPicPr>
      <xdr:blipFill>
        <a:blip xmlns:r="http://schemas.openxmlformats.org/officeDocument/2006/relationships" r:embed="rId4" cstate="print"/>
        <a:stretch>
          <a:fillRect/>
        </a:stretch>
      </xdr:blipFill>
      <xdr:spPr>
        <a:xfrm>
          <a:off x="0" y="10972800"/>
          <a:ext cx="7096124" cy="4210050"/>
        </a:xfrm>
        <a:prstGeom prst="rect">
          <a:avLst/>
        </a:prstGeom>
      </xdr:spPr>
    </xdr:pic>
    <xdr:clientData/>
  </xdr:twoCellAnchor>
  <xdr:twoCellAnchor editAs="oneCell">
    <xdr:from>
      <xdr:col>0</xdr:col>
      <xdr:colOff>0</xdr:colOff>
      <xdr:row>91</xdr:row>
      <xdr:rowOff>171449</xdr:rowOff>
    </xdr:from>
    <xdr:to>
      <xdr:col>10</xdr:col>
      <xdr:colOff>314324</xdr:colOff>
      <xdr:row>125</xdr:row>
      <xdr:rowOff>47624</xdr:rowOff>
    </xdr:to>
    <xdr:pic>
      <xdr:nvPicPr>
        <xdr:cNvPr id="6" name="图片 5"/>
        <xdr:cNvPicPr/>
      </xdr:nvPicPr>
      <xdr:blipFill>
        <a:blip xmlns:r="http://schemas.openxmlformats.org/officeDocument/2006/relationships" r:embed="rId5" cstate="print"/>
        <a:stretch>
          <a:fillRect/>
        </a:stretch>
      </xdr:blipFill>
      <xdr:spPr>
        <a:xfrm>
          <a:off x="0" y="15773399"/>
          <a:ext cx="7172324" cy="5705475"/>
        </a:xfrm>
        <a:prstGeom prst="rect">
          <a:avLst/>
        </a:prstGeom>
      </xdr:spPr>
    </xdr:pic>
    <xdr:clientData/>
  </xdr:twoCellAnchor>
  <xdr:twoCellAnchor editAs="oneCell">
    <xdr:from>
      <xdr:col>10</xdr:col>
      <xdr:colOff>66675</xdr:colOff>
      <xdr:row>0</xdr:row>
      <xdr:rowOff>0</xdr:rowOff>
    </xdr:from>
    <xdr:to>
      <xdr:col>18</xdr:col>
      <xdr:colOff>666101</xdr:colOff>
      <xdr:row>20</xdr:row>
      <xdr:rowOff>21468</xdr:rowOff>
    </xdr:to>
    <xdr:pic>
      <xdr:nvPicPr>
        <xdr:cNvPr id="7"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924675" y="0"/>
          <a:ext cx="6085826" cy="3450468"/>
        </a:xfrm>
        <a:prstGeom prst="rect">
          <a:avLst/>
        </a:prstGeom>
        <a:noFill/>
        <a:ln w="1">
          <a:noFill/>
          <a:miter lim="800000"/>
          <a:headEnd/>
          <a:tailEnd type="none" w="med" len="med"/>
        </a:ln>
        <a:effectLst/>
      </xdr:spPr>
    </xdr:pic>
    <xdr:clientData/>
  </xdr:twoCellAnchor>
  <xdr:twoCellAnchor editAs="oneCell">
    <xdr:from>
      <xdr:col>10</xdr:col>
      <xdr:colOff>28575</xdr:colOff>
      <xdr:row>43</xdr:row>
      <xdr:rowOff>85724</xdr:rowOff>
    </xdr:from>
    <xdr:to>
      <xdr:col>15</xdr:col>
      <xdr:colOff>648544</xdr:colOff>
      <xdr:row>63</xdr:row>
      <xdr:rowOff>76199</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6886575" y="7458074"/>
          <a:ext cx="4048969" cy="3419475"/>
        </a:xfrm>
        <a:prstGeom prst="rect">
          <a:avLst/>
        </a:prstGeom>
        <a:noFill/>
        <a:ln w="1">
          <a:noFill/>
          <a:miter lim="800000"/>
          <a:headEnd/>
          <a:tailEnd type="none" w="med" len="med"/>
        </a:ln>
        <a:effectLst/>
      </xdr:spPr>
    </xdr:pic>
    <xdr:clientData/>
  </xdr:twoCellAnchor>
  <xdr:twoCellAnchor editAs="oneCell">
    <xdr:from>
      <xdr:col>16</xdr:col>
      <xdr:colOff>28575</xdr:colOff>
      <xdr:row>43</xdr:row>
      <xdr:rowOff>92630</xdr:rowOff>
    </xdr:from>
    <xdr:to>
      <xdr:col>21</xdr:col>
      <xdr:colOff>419100</xdr:colOff>
      <xdr:row>64</xdr:row>
      <xdr:rowOff>19050</xdr:rowOff>
    </xdr:to>
    <xdr:pic>
      <xdr:nvPicPr>
        <xdr:cNvPr id="9"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1001375" y="7464980"/>
          <a:ext cx="3819525" cy="352687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657225</xdr:colOff>
      <xdr:row>10</xdr:row>
      <xdr:rowOff>38100</xdr:rowOff>
    </xdr:to>
    <xdr:pic>
      <xdr:nvPicPr>
        <xdr:cNvPr id="7270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8201025" cy="1666875"/>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11</xdr:col>
      <xdr:colOff>638175</xdr:colOff>
      <xdr:row>20</xdr:row>
      <xdr:rowOff>76200</xdr:rowOff>
    </xdr:to>
    <xdr:pic>
      <xdr:nvPicPr>
        <xdr:cNvPr id="72708"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8181975" cy="16192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11</xdr:col>
      <xdr:colOff>619125</xdr:colOff>
      <xdr:row>30</xdr:row>
      <xdr:rowOff>19050</xdr:rowOff>
    </xdr:to>
    <xdr:pic>
      <xdr:nvPicPr>
        <xdr:cNvPr id="7270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4800600"/>
          <a:ext cx="8162925" cy="156210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38100</xdr:rowOff>
    </xdr:from>
    <xdr:to>
      <xdr:col>11</xdr:col>
      <xdr:colOff>600075</xdr:colOff>
      <xdr:row>38</xdr:row>
      <xdr:rowOff>85725</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5353050"/>
          <a:ext cx="8143875" cy="12477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叶凌、杨红英</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受贵公司委托，我公司对北京市国有建设用地使用权市场价格进行了预评估。</v>
      </c>
      <c r="AM6" s="2881"/>
    </row>
    <row r="7" spans="1:55" s="2855" customFormat="1">
      <c r="A7" s="2856" t="s">
        <v>2658</v>
      </c>
      <c r="B7" s="2857" t="str">
        <f>'预评函-1'!A6</f>
        <v>估价对象为使用的、位于北京市国有建设用地使用权。根据《国有土地使用证》[]，估价对象（分摊）国有建设用地使用权面积为78298.68平方米。根据《建设工程规划许可证》[]、《出让合同》[]，估价对象规划建筑面积为400500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本次评估为委托估价方了解标的物之市场价格提供参考依据而评估国有建设用地使用权市场价格。</v>
      </c>
    </row>
    <row r="10" spans="1:55" s="2855" customFormat="1">
      <c r="A10" s="2856" t="s">
        <v>2660</v>
      </c>
      <c r="B10" s="2857" t="str">
        <f>'预评函-1'!A11</f>
        <v>2018年10月15日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根据《国有土地使用证》[]，估价对象（分摊）出让国有建设用地使用权面积为78298.68平方米。根据《建设工程规划许可证》[]、《出让合同》[]，估价对象规划建筑面积为400500平方米。</v>
      </c>
    </row>
    <row r="16" spans="1:55" s="2855" customFormat="1">
      <c r="A16" s="2856" t="s">
        <v>2670</v>
      </c>
      <c r="B16" s="2857" t="str">
        <f>'预评函-1'!A22</f>
        <v>本次估价对象国有建设用地使用权类型为划拨，无土地使用年限限制。</v>
      </c>
    </row>
    <row r="17" spans="1:48" s="2855" customFormat="1">
      <c r="A17" s="2856" t="s">
        <v>2671</v>
      </c>
      <c r="B17" s="2857" t="str">
        <f>'预评函-1'!A23</f>
        <v/>
      </c>
    </row>
    <row r="18" spans="1:48" s="2855" customFormat="1">
      <c r="A18" s="2856" t="s">
        <v>2672</v>
      </c>
      <c r="B18" s="285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23" spans="1:48">
      <c r="A23" s="2856" t="s">
        <v>2677</v>
      </c>
      <c r="B23" s="2857" t="str">
        <f>'预评函-2'!K2</f>
        <v>估价期日：2018年10月15日</v>
      </c>
    </row>
    <row r="24" spans="1:48">
      <c r="A24" s="2856" t="s">
        <v>2678</v>
      </c>
      <c r="B24" s="2857" t="str">
        <f>'预评函-2'!R2</f>
        <v>估价期日的国有建设用地使用权性质：</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v>
      </c>
    </row>
    <row r="42" spans="1:2">
      <c r="A42" s="2856" t="s">
        <v>2740</v>
      </c>
      <c r="B42" s="2857" t="str">
        <f>'预评函-2'!N3</f>
        <v>（分摊）国有建设用地使用权面积/㎡</v>
      </c>
    </row>
    <row r="43" spans="1:2">
      <c r="A43" s="2856" t="s">
        <v>2722</v>
      </c>
      <c r="B43" s="2857">
        <f>'预评函-2'!N5</f>
        <v>78298.679999999993</v>
      </c>
    </row>
    <row r="44" spans="1:2">
      <c r="A44" s="2856" t="s">
        <v>2741</v>
      </c>
      <c r="B44" s="2857" t="str">
        <f>'预评函-2'!O3</f>
        <v>规划建筑面积/㎡</v>
      </c>
    </row>
    <row r="45" spans="1:2">
      <c r="A45" s="2856" t="s">
        <v>2723</v>
      </c>
      <c r="B45" s="2857">
        <f>'预评函-2'!O5</f>
        <v>400500</v>
      </c>
    </row>
    <row r="46" spans="1:2">
      <c r="A46" s="2856" t="s">
        <v>2724</v>
      </c>
      <c r="B46" s="2857">
        <f ca="1">'预评函-2'!P5</f>
        <v>81743</v>
      </c>
    </row>
    <row r="47" spans="1:2">
      <c r="A47" s="2856" t="s">
        <v>2725</v>
      </c>
      <c r="B47" s="2857">
        <f ca="1">'预评函-2'!Q5</f>
        <v>15981</v>
      </c>
    </row>
    <row r="48" spans="1:2">
      <c r="A48" s="2856" t="s">
        <v>2726</v>
      </c>
      <c r="B48" s="2857">
        <f ca="1">'预评函-2'!R5</f>
        <v>640033</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叶凌</v>
      </c>
    </row>
    <row r="70" spans="1:2">
      <c r="A70" s="2856" t="s">
        <v>2691</v>
      </c>
      <c r="B70" s="2863">
        <f ca="1">'预评函-3'!B20</f>
        <v>94010078</v>
      </c>
    </row>
    <row r="71" spans="1:2">
      <c r="A71" s="2856" t="s">
        <v>2692</v>
      </c>
      <c r="B71" s="2857" t="str">
        <f>'预评函-3'!A21</f>
        <v>杨红英</v>
      </c>
    </row>
    <row r="72" spans="1:2" s="2871" customFormat="1" ht="15" thickBot="1">
      <c r="A72" s="2878" t="s">
        <v>2692</v>
      </c>
      <c r="B72" s="2884">
        <f ca="1">'预评函-3'!B21</f>
        <v>2004110128</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Normal="100" zoomScaleSheetLayoutView="90" workbookViewId="0">
      <selection activeCell="I23" sqref="I2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302" t="str">
        <f>IF(B10="北京市","北京市",C10)&amp;F10&amp;B16&amp;"国有建设用地使用权"&amp;B9&amp;"预评估"</f>
        <v>北京市国有建设用地使用权市场价格预评估</v>
      </c>
      <c r="C1" s="3303"/>
      <c r="D1" s="3303"/>
      <c r="E1" s="3303"/>
      <c r="F1" s="3303"/>
      <c r="G1" s="3303"/>
      <c r="H1" s="3303"/>
      <c r="I1" s="3304"/>
      <c r="J1" s="1692"/>
      <c r="K1" s="2433" t="str">
        <f>IF(B10="北京市","北京市",C10)&amp;F10&amp;B16&amp;"国有建设用地使用权"&amp;B9</f>
        <v>北京市国有建设用地使用权市场价格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北京市国有建设用地使用权</v>
      </c>
      <c r="L2" s="1721"/>
      <c r="M2" s="1721"/>
      <c r="N2" s="1692"/>
      <c r="O2" s="1693"/>
      <c r="P2" s="1692"/>
      <c r="Q2" s="1692"/>
      <c r="R2" s="1692"/>
      <c r="S2" s="1692"/>
      <c r="T2" s="1692"/>
      <c r="U2" s="1692"/>
    </row>
    <row r="3" spans="1:21">
      <c r="A3" s="1659" t="s">
        <v>1940</v>
      </c>
      <c r="B3" s="1660">
        <v>43463</v>
      </c>
      <c r="C3" s="1661" t="s">
        <v>1996</v>
      </c>
      <c r="D3" s="1660">
        <v>43388</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2995</v>
      </c>
      <c r="C4" s="1844">
        <f ca="1">SUMIF(土地估价师,B4,估价师及机构信息!E3:E24)</f>
        <v>94010078</v>
      </c>
      <c r="D4" s="1841" t="s">
        <v>2996</v>
      </c>
      <c r="E4" s="1844">
        <f ca="1">SUMIF(土地估价师,D4,估价师及机构信息!E3:E24)</f>
        <v>2004110128</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叶凌、杨红英</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1"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2997</v>
      </c>
      <c r="C8" s="1669"/>
      <c r="D8" s="3308"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t="s">
        <v>2998</v>
      </c>
      <c r="C9" s="1673"/>
      <c r="D9" s="3309"/>
      <c r="E9" s="1672"/>
      <c r="F9" s="1745"/>
      <c r="G9" s="1740"/>
      <c r="H9" s="1740"/>
      <c r="I9" s="1741"/>
      <c r="J9" s="1692"/>
      <c r="K9" s="1772"/>
      <c r="L9" s="1721"/>
      <c r="M9" s="1721"/>
      <c r="N9" s="1692"/>
      <c r="O9" s="1693"/>
      <c r="P9" s="1692"/>
      <c r="Q9" s="1692"/>
      <c r="R9" s="1692"/>
      <c r="S9" s="1692"/>
      <c r="T9" s="1692"/>
      <c r="U9" s="1692"/>
    </row>
    <row r="10" spans="1:21" ht="15" thickTop="1">
      <c r="A10" s="1742" t="s">
        <v>2000</v>
      </c>
      <c r="B10" s="3178" t="s">
        <v>1946</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2999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05"/>
      <c r="C12" s="3306"/>
      <c r="D12" s="3307"/>
      <c r="E12" s="1697" t="s">
        <v>2062</v>
      </c>
      <c r="F12" s="3323" t="s">
        <v>2888</v>
      </c>
      <c r="G12" s="3324"/>
      <c r="H12" s="3324"/>
      <c r="I12" s="3325"/>
      <c r="J12" s="1692"/>
      <c r="K12" s="1772"/>
      <c r="L12" s="1721"/>
      <c r="M12" s="1721"/>
      <c r="N12" s="1692"/>
      <c r="O12" s="1693"/>
      <c r="P12" s="1692"/>
      <c r="Q12" s="1692"/>
      <c r="R12" s="1692"/>
      <c r="S12" s="1692"/>
      <c r="T12" s="1692"/>
      <c r="U12" s="1692"/>
    </row>
    <row r="13" spans="1:21">
      <c r="A13" s="1685" t="s">
        <v>2060</v>
      </c>
      <c r="B13" s="3305"/>
      <c r="C13" s="3306"/>
      <c r="D13" s="3307"/>
      <c r="E13" s="1697" t="s">
        <v>2062</v>
      </c>
      <c r="F13" s="3323" t="s">
        <v>2889</v>
      </c>
      <c r="G13" s="3324"/>
      <c r="H13" s="3324"/>
      <c r="I13" s="3325"/>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c r="C16" s="1697" t="s">
        <v>1949</v>
      </c>
      <c r="D16" s="2624" t="s">
        <v>1950</v>
      </c>
      <c r="E16" s="1720" t="s">
        <v>3000</v>
      </c>
      <c r="F16" s="1720" t="s">
        <v>1678</v>
      </c>
      <c r="G16" s="1720"/>
      <c r="H16" s="1720"/>
      <c r="I16" s="1684" t="s">
        <v>1955</v>
      </c>
      <c r="J16" s="1692"/>
      <c r="K16" s="2434" t="str">
        <f>IF(D17="","",D16&amp;TEXT(D17,"yyyy年m月d日;;"))</f>
        <v/>
      </c>
      <c r="L16" s="1697" t="str">
        <f>IF(OR(K16="",M16=""),"","、")</f>
        <v/>
      </c>
      <c r="M16" s="2434" t="str">
        <f>IF(E17="","",E16&amp;TEXT(E17,"yyyy年m月d日;;"))</f>
        <v>商业2058年10月15日</v>
      </c>
      <c r="N16" s="1697" t="str">
        <f>IF(OR(M16="",O16=""),"","、")</f>
        <v>、</v>
      </c>
      <c r="O16" s="2434" t="str">
        <f>IF(F17="","",F16&amp;TEXT(F17,"yyyy年m月d日;;"))</f>
        <v>办公2068年10月15日</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c r="E17" s="1698">
        <v>57998</v>
      </c>
      <c r="F17" s="1698">
        <v>61651</v>
      </c>
      <c r="G17" s="1698"/>
      <c r="H17" s="1698"/>
      <c r="I17" s="1698"/>
      <c r="J17" s="1692"/>
      <c r="K17" s="2433" t="str">
        <f>CONCATENATE(K16,L16,M16,N16,O16,P16,Q16,R16,S16,T16,,U16)</f>
        <v>商业2058年10月15日、办公2068年10月15日</v>
      </c>
      <c r="L17" s="1721"/>
      <c r="M17" s="1721"/>
      <c r="N17" s="1692"/>
      <c r="O17" s="1693"/>
      <c r="P17" s="1692"/>
      <c r="Q17" s="1692"/>
      <c r="R17" s="1692"/>
      <c r="S17" s="1692"/>
      <c r="T17" s="1692"/>
      <c r="U17" s="1692"/>
    </row>
    <row r="18" spans="1:21">
      <c r="A18" s="1761"/>
      <c r="B18" s="1680"/>
      <c r="C18" s="1681" t="s">
        <v>1957</v>
      </c>
      <c r="D18" s="1682"/>
      <c r="E18" s="1682">
        <v>40</v>
      </c>
      <c r="F18" s="1682">
        <v>50</v>
      </c>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0</v>
      </c>
      <c r="E19" s="1683">
        <f>IF(B16="出让",IF(E17="","",ROUNDDOWN(MIN((E17-$D$3)/365,E18),2)),E18)</f>
        <v>40</v>
      </c>
      <c r="F19" s="1683">
        <f>IF(B16="出让",IF(F17="","",ROUNDDOWN(MIN((F17-$D$3)/365,F18),2)),F18)</f>
        <v>50</v>
      </c>
      <c r="G19" s="1683">
        <f>IF(B16="出让",IF(G17="","",ROUNDDOWN(MIN((G17-$D$3)/365,G18),2)),G18)</f>
        <v>0</v>
      </c>
      <c r="H19" s="1683">
        <f>IF(B16="出让",IF(H17="","",ROUNDDOWN(MIN((H17-$D$3)/365,H18),2)),H18)</f>
        <v>0</v>
      </c>
      <c r="I19" s="1683">
        <f>IF(B16="出让",IF(I17="","",ROUNDDOWN(MIN((I17-$D$3)/365,I18),2)),I18)</f>
        <v>0</v>
      </c>
      <c r="J19" s="1692"/>
      <c r="K19" s="1772"/>
      <c r="L19" s="1721"/>
      <c r="M19" s="1721"/>
      <c r="N19" s="1692"/>
      <c r="O19" s="1693"/>
      <c r="P19" s="1692"/>
      <c r="Q19" s="1692"/>
      <c r="R19" s="1692"/>
      <c r="S19" s="1692"/>
      <c r="T19" s="1692"/>
      <c r="U19" s="1692"/>
    </row>
    <row r="20" spans="1:21">
      <c r="A20" s="1784"/>
      <c r="B20" s="1785"/>
      <c r="C20" s="1786" t="s">
        <v>2061</v>
      </c>
      <c r="D20" s="3320"/>
      <c r="E20" s="3321"/>
      <c r="F20" s="3321"/>
      <c r="G20" s="3321"/>
      <c r="H20" s="3321"/>
      <c r="I20" s="3322"/>
      <c r="J20" s="1692"/>
      <c r="K20" s="1772"/>
      <c r="L20" s="1721"/>
      <c r="M20" s="1721"/>
      <c r="N20" s="1692"/>
      <c r="O20" s="1693"/>
      <c r="P20" s="1692"/>
      <c r="Q20" s="1692"/>
      <c r="R20" s="1692"/>
      <c r="S20" s="1692"/>
      <c r="T20" s="1692"/>
      <c r="U20" s="1692"/>
    </row>
    <row r="21" spans="1:21">
      <c r="A21" s="1761" t="s">
        <v>1959</v>
      </c>
      <c r="B21" s="1762" t="s">
        <v>1960</v>
      </c>
      <c r="C21" s="1757">
        <f>'数据-汇总表'!E3</f>
        <v>400500</v>
      </c>
      <c r="D21" s="1758" t="s">
        <v>1961</v>
      </c>
      <c r="E21" s="3310" t="s">
        <v>1999</v>
      </c>
      <c r="F21" s="3311"/>
      <c r="G21" s="3311"/>
      <c r="H21" s="3311"/>
      <c r="I21" s="3312"/>
      <c r="J21" s="1692"/>
      <c r="K21" s="1772"/>
      <c r="L21" s="1721"/>
      <c r="M21" s="1721"/>
      <c r="N21" s="1692"/>
      <c r="O21" s="1693"/>
      <c r="P21" s="1692"/>
      <c r="Q21" s="1692"/>
      <c r="R21" s="1692"/>
      <c r="S21" s="1692"/>
      <c r="T21" s="1692"/>
      <c r="U21" s="1692"/>
    </row>
    <row r="22" spans="1:21">
      <c r="A22" s="3123" t="s">
        <v>952</v>
      </c>
      <c r="B22" s="1659" t="s">
        <v>1962</v>
      </c>
      <c r="C22" s="1684">
        <f>'数据-汇总表'!D3</f>
        <v>78298.679999999993</v>
      </c>
      <c r="D22" s="1685" t="s">
        <v>1961</v>
      </c>
      <c r="E22" s="3310" t="s">
        <v>2890</v>
      </c>
      <c r="F22" s="3311"/>
      <c r="G22" s="3311"/>
      <c r="H22" s="3311"/>
      <c r="I22" s="3312"/>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13" t="s">
        <v>1967</v>
      </c>
      <c r="C24" s="3314"/>
      <c r="D24" s="3315" t="s">
        <v>1968</v>
      </c>
      <c r="E24" s="3316"/>
      <c r="F24" s="1706" t="s">
        <v>1969</v>
      </c>
      <c r="G24" s="1692"/>
      <c r="H24" s="1692"/>
      <c r="I24" s="1705"/>
      <c r="J24" s="1692"/>
      <c r="K24" s="3301"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301"/>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301"/>
      <c r="L26" s="2435" t="str">
        <f>IF(E24="否","",IF('结果表-办公'!H33="同一抵押权人同一抵押物续贷","由于本次评估为同一抵押权人的续贷土地抵押估价，故未将已抵押担保的债权数额（"&amp;C31&amp;"）作为法定优先受偿款予以扣减。",IF('结果表-办公'!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87" t="s">
        <v>2002</v>
      </c>
      <c r="B31" s="1762" t="s">
        <v>2003</v>
      </c>
      <c r="C31" s="3326"/>
      <c r="D31" s="3327"/>
      <c r="E31" s="1692"/>
      <c r="F31" s="1692"/>
      <c r="G31" s="1692"/>
      <c r="H31" s="1692"/>
      <c r="I31" s="1705"/>
      <c r="J31" s="1692"/>
      <c r="K31" s="2436"/>
      <c r="L31" s="1692"/>
      <c r="M31" s="1692"/>
      <c r="N31" s="1692"/>
      <c r="O31" s="1692"/>
      <c r="P31" s="1692"/>
      <c r="Q31" s="1692"/>
      <c r="R31" s="1692"/>
      <c r="S31" s="1692"/>
      <c r="T31" s="1692"/>
      <c r="U31" s="1692"/>
    </row>
    <row r="32" spans="1:21">
      <c r="A32" s="3287"/>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87"/>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88"/>
      <c r="B34" s="1659" t="s">
        <v>2006</v>
      </c>
      <c r="C34" s="3289"/>
      <c r="D34" s="3290"/>
      <c r="E34" s="1692"/>
      <c r="F34" s="1692"/>
      <c r="G34" s="1692"/>
      <c r="H34" s="1692"/>
      <c r="I34" s="1705"/>
      <c r="J34" s="1692"/>
      <c r="K34" s="2436"/>
      <c r="L34" s="1692"/>
      <c r="M34" s="1692"/>
      <c r="N34" s="1692"/>
      <c r="O34" s="1692"/>
      <c r="P34" s="1692"/>
      <c r="Q34" s="1692"/>
      <c r="R34" s="1692"/>
      <c r="S34" s="1692"/>
      <c r="T34" s="1692"/>
      <c r="U34" s="1692"/>
    </row>
    <row r="35" spans="1:21">
      <c r="A35" s="3291" t="s">
        <v>847</v>
      </c>
      <c r="B35" s="1720"/>
      <c r="C35" s="1774" t="str">
        <f>IF(B35="场地平整","——","具体情况：")</f>
        <v>具体情况：</v>
      </c>
      <c r="D35" s="3293"/>
      <c r="E35" s="3294"/>
      <c r="F35" s="3294"/>
      <c r="G35" s="3294"/>
      <c r="H35" s="3294"/>
      <c r="I35" s="3295"/>
      <c r="J35" s="1692"/>
      <c r="K35" s="1773"/>
      <c r="L35" s="1721"/>
      <c r="M35" s="1721"/>
      <c r="N35" s="1692"/>
      <c r="O35" s="1693"/>
      <c r="P35" s="1692"/>
      <c r="Q35" s="1692"/>
      <c r="R35" s="1692"/>
      <c r="S35" s="1692"/>
      <c r="T35" s="1692"/>
      <c r="U35" s="1692"/>
    </row>
    <row r="36" spans="1:21">
      <c r="A36" s="3287"/>
      <c r="B36" s="3296" t="s">
        <v>2055</v>
      </c>
      <c r="C36" s="3297"/>
      <c r="D36" s="1790"/>
      <c r="E36" s="3298"/>
      <c r="F36" s="3298"/>
      <c r="G36" s="1685" t="str">
        <f>IF(B35="场地未平整","估价结果处理","")</f>
        <v/>
      </c>
      <c r="H36" s="3299"/>
      <c r="I36" s="3299"/>
      <c r="J36" s="1692"/>
      <c r="K36" s="1773"/>
      <c r="L36" s="1721"/>
      <c r="M36" s="1721"/>
      <c r="N36" s="1692"/>
      <c r="O36" s="1693"/>
      <c r="P36" s="1692"/>
      <c r="Q36" s="1692"/>
      <c r="R36" s="1692"/>
      <c r="S36" s="1692"/>
      <c r="T36" s="1692"/>
      <c r="U36" s="1692"/>
    </row>
    <row r="37" spans="1:21" ht="28.5">
      <c r="A37" s="3287"/>
      <c r="B37" s="331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7"/>
      <c r="B38" s="3318"/>
      <c r="C38" s="1667" t="s">
        <v>850</v>
      </c>
      <c r="D38" s="1789">
        <f>ROUNDDOWN(MIN(('数据-取费表'!$B$2-D37)/365,D34),1)</f>
        <v>118.8</v>
      </c>
      <c r="E38" s="1725" t="s">
        <v>851</v>
      </c>
      <c r="F38" s="1692"/>
      <c r="G38" s="1692"/>
      <c r="H38" s="1692"/>
      <c r="I38" s="1705"/>
      <c r="J38" s="1692"/>
      <c r="K38" s="1773"/>
      <c r="L38" s="1692"/>
      <c r="M38" s="1692"/>
      <c r="N38" s="1692"/>
      <c r="O38" s="1692"/>
      <c r="P38" s="1692"/>
      <c r="Q38" s="1692"/>
      <c r="R38" s="1692"/>
      <c r="S38" s="1692"/>
      <c r="T38" s="1692"/>
      <c r="U38" s="1692"/>
    </row>
    <row r="39" spans="1:21">
      <c r="A39" s="3288"/>
      <c r="B39" s="331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300" t="s">
        <v>1986</v>
      </c>
      <c r="T40" s="1729" t="str">
        <f>NUMBERSTRING(7-K40,1)&amp;"通"</f>
        <v>七通</v>
      </c>
      <c r="U40" s="1692"/>
    </row>
    <row r="41" spans="1:21">
      <c r="A41" s="1661"/>
      <c r="B41" s="3292" t="s">
        <v>1722</v>
      </c>
      <c r="C41" s="3292"/>
      <c r="D41" s="3292"/>
      <c r="E41" s="329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00"/>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925</v>
      </c>
      <c r="C43" s="1736" t="s">
        <v>925</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t="s">
        <v>1250</v>
      </c>
      <c r="C44" s="1736" t="s">
        <v>1240</v>
      </c>
      <c r="D44" s="1736"/>
      <c r="E44" s="1790"/>
      <c r="F44" s="1737"/>
      <c r="G44" s="1692"/>
      <c r="H44" s="1692"/>
      <c r="I44" s="1705"/>
      <c r="J44" s="1692"/>
      <c r="K44" s="1772"/>
      <c r="L44" s="1721"/>
      <c r="M44" s="1721"/>
      <c r="N44" s="1692"/>
      <c r="O44" s="1693"/>
      <c r="P44" s="1692"/>
      <c r="Q44" s="1692"/>
      <c r="R44" s="1692"/>
      <c r="S44" s="1692"/>
      <c r="T44" s="1692"/>
      <c r="U44" s="1692"/>
    </row>
    <row r="45" spans="1:21" s="3048" customFormat="1" ht="21" thickBot="1">
      <c r="A45" s="3049" t="s">
        <v>2891</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78298.683000000005</v>
      </c>
      <c r="B3" s="22">
        <f>IF(C3="否",G5-AT5,G5)</f>
        <v>400500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400500</v>
      </c>
      <c r="H5" s="27">
        <f t="shared" ref="H5:AT5" si="0">SUM(H13:H641)</f>
        <v>400500</v>
      </c>
      <c r="I5" s="27">
        <f t="shared" si="0"/>
        <v>85455</v>
      </c>
      <c r="J5" s="27">
        <f t="shared" si="0"/>
        <v>0</v>
      </c>
      <c r="K5" s="27">
        <f t="shared" si="0"/>
        <v>315045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400500</v>
      </c>
      <c r="BA5" s="29">
        <f t="shared" si="1"/>
        <v>400500</v>
      </c>
      <c r="BB5" s="29">
        <f t="shared" si="1"/>
        <v>85455</v>
      </c>
      <c r="BC5" s="29">
        <f t="shared" si="1"/>
        <v>315045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78298.679999999993</v>
      </c>
      <c r="F6" s="27" t="s">
        <v>1</v>
      </c>
      <c r="G6" s="27" t="s">
        <v>2</v>
      </c>
      <c r="H6" s="33">
        <f>SUMIF(I$12:AB$12,"总值",I6:AB6)</f>
        <v>78298.679999999993</v>
      </c>
      <c r="I6" s="27">
        <f t="shared" ref="I6:AB6" si="2">ROUND($A$3*I5/$B$3,2)</f>
        <v>16706.650000000001</v>
      </c>
      <c r="J6" s="27">
        <f t="shared" si="2"/>
        <v>0</v>
      </c>
      <c r="K6" s="27">
        <f t="shared" si="2"/>
        <v>61592.03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78298.679999999993</v>
      </c>
      <c r="AZ6" s="27" t="s">
        <v>3</v>
      </c>
      <c r="BA6" s="27">
        <f>ROUND($AY$6*BA5/$AZ$5,2)</f>
        <v>78298.679999999993</v>
      </c>
      <c r="BB6" s="27">
        <f>ROUND($AY$6*BB5/$AZ$5,2)</f>
        <v>16706.650000000001</v>
      </c>
      <c r="BC6" s="27">
        <f t="shared" ref="BC6:BH6" si="4">ROUND($AY$6*BC5/$AZ$5,2)</f>
        <v>61592.03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t="s">
        <v>3001</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t="s">
        <v>1678</v>
      </c>
      <c r="L10" s="51"/>
      <c r="M10" s="299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t="s">
        <v>1679</v>
      </c>
      <c r="E13" s="27">
        <f t="shared" ref="E13:E20" si="6">IF($C$3="是",ROUND($A$3*G13/$B$3,2),ROUND($A$3*(G13-AT13)/$B$3,2))</f>
        <v>16706.650000000001</v>
      </c>
      <c r="F13" s="81"/>
      <c r="G13" s="82">
        <f t="shared" ref="G13:G20" si="7">H13+AC13+AT13</f>
        <v>85455</v>
      </c>
      <c r="H13" s="33">
        <f t="shared" ref="H13:H20" si="8">SUMIF(I$12:AB$12,"总值",I13:AB13)</f>
        <v>85455</v>
      </c>
      <c r="I13" s="81">
        <v>85455</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f t="shared" si="10"/>
        <v>0</v>
      </c>
      <c r="AY13" s="996">
        <f t="shared" ref="AY13:AY20" si="11">ROUND($AY$6*AZ13/$AZ$5,2)</f>
        <v>16706.650000000001</v>
      </c>
      <c r="AZ13" s="27">
        <f t="shared" ref="AZ13:AZ20" si="12">BA13+BL13</f>
        <v>85455</v>
      </c>
      <c r="BA13" s="27">
        <f t="shared" ref="BA13:BA20" si="13">SUM(BB13:BK13)</f>
        <v>85455</v>
      </c>
      <c r="BB13" s="27">
        <f t="shared" ref="BB13:BB20" si="14">IF($D13="是",I13-J13,0)</f>
        <v>85455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t="s">
        <v>1679</v>
      </c>
      <c r="E14" s="27">
        <f t="shared" si="6"/>
        <v>61592.03</v>
      </c>
      <c r="F14" s="81"/>
      <c r="G14" s="82">
        <f t="shared" si="7"/>
        <v>315045</v>
      </c>
      <c r="H14" s="33">
        <f t="shared" si="8"/>
        <v>315045</v>
      </c>
      <c r="I14" s="2993"/>
      <c r="J14" s="2993"/>
      <c r="K14" s="2993">
        <v>315045</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61592.03</v>
      </c>
      <c r="AZ14" s="27">
        <f t="shared" si="12"/>
        <v>315045</v>
      </c>
      <c r="BA14" s="27">
        <f t="shared" si="13"/>
        <v>315045</v>
      </c>
      <c r="BB14" s="27">
        <f t="shared" si="14"/>
        <v>0</v>
      </c>
      <c r="BC14" s="27">
        <f t="shared" si="15"/>
        <v>315045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8" t="s">
        <v>0</v>
      </c>
      <c r="B1" s="3328" t="s">
        <v>4</v>
      </c>
      <c r="C1" s="3328" t="s">
        <v>5</v>
      </c>
      <c r="D1" s="3329" t="s">
        <v>40</v>
      </c>
      <c r="E1" s="3329" t="s">
        <v>41</v>
      </c>
      <c r="F1" s="3329"/>
      <c r="G1" s="3329"/>
      <c r="H1" s="3329"/>
      <c r="I1" s="3329"/>
      <c r="J1" s="3329"/>
      <c r="K1" s="3329"/>
      <c r="L1" s="3329"/>
      <c r="M1" s="3329"/>
    </row>
    <row r="2" spans="1:13" ht="27" customHeight="1">
      <c r="A2" s="3328"/>
      <c r="B2" s="3328"/>
      <c r="C2" s="3328"/>
      <c r="D2" s="3329"/>
      <c r="E2" s="3329" t="s">
        <v>24</v>
      </c>
      <c r="F2" s="3329" t="s">
        <v>25</v>
      </c>
      <c r="G2" s="3329"/>
      <c r="H2" s="3329"/>
      <c r="I2" s="3329"/>
      <c r="J2" s="3329" t="s">
        <v>26</v>
      </c>
      <c r="K2" s="3329"/>
      <c r="L2" s="3329"/>
      <c r="M2" s="3329"/>
    </row>
    <row r="3" spans="1:13" ht="28.5">
      <c r="A3" s="3328"/>
      <c r="B3" s="3328"/>
      <c r="C3" s="3328"/>
      <c r="D3" s="3329"/>
      <c r="E3" s="332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9" t="s">
        <v>42</v>
      </c>
      <c r="B9" s="3329"/>
      <c r="C9" s="332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20" sqref="D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9" t="s">
        <v>203</v>
      </c>
      <c r="B2" s="3339"/>
      <c r="C2" s="3339"/>
      <c r="D2" s="1974" t="s">
        <v>204</v>
      </c>
      <c r="E2" s="106" t="s">
        <v>205</v>
      </c>
      <c r="F2" s="1983"/>
      <c r="G2" s="1198"/>
      <c r="H2" s="1199"/>
      <c r="I2" s="1200" t="s">
        <v>857</v>
      </c>
      <c r="J2" s="1983"/>
      <c r="K2" s="1983"/>
      <c r="L2" s="1983"/>
    </row>
    <row r="3" spans="1:16" ht="15.75" thickBot="1">
      <c r="A3" s="3340" t="s">
        <v>206</v>
      </c>
      <c r="B3" s="3340"/>
      <c r="C3" s="3340"/>
      <c r="D3" s="107">
        <f>'数据-基础表'!AY6</f>
        <v>78298.679999999993</v>
      </c>
      <c r="E3" s="107">
        <f>'数据-基础表'!AZ5</f>
        <v>400500</v>
      </c>
      <c r="F3" s="1983"/>
      <c r="G3" s="280" t="s">
        <v>858</v>
      </c>
      <c r="H3" s="275" t="s">
        <v>859</v>
      </c>
      <c r="I3" s="1975">
        <f>ROUND('数据-基础表'!B3/'数据-基础表'!A3,2)</f>
        <v>5.12</v>
      </c>
      <c r="J3" s="1983"/>
      <c r="K3" s="1983"/>
      <c r="L3" s="1983"/>
    </row>
    <row r="4" spans="1:16" ht="15">
      <c r="A4" s="3341"/>
      <c r="B4" s="3342"/>
      <c r="C4" s="3343"/>
      <c r="D4" s="108" t="s">
        <v>204</v>
      </c>
      <c r="E4" s="109" t="s">
        <v>205</v>
      </c>
      <c r="F4" s="1983"/>
      <c r="G4" s="1201"/>
      <c r="H4" s="275" t="s">
        <v>860</v>
      </c>
      <c r="I4" s="1975">
        <f>ROUND(SUMIF('数据-基础表'!I9:AS9,"地上",'数据-基础表'!I5:AS5)/'数据-基础表'!A3,2)</f>
        <v>5.12</v>
      </c>
      <c r="J4" s="1983"/>
      <c r="K4" s="1983"/>
      <c r="L4" s="1983"/>
    </row>
    <row r="5" spans="1:16">
      <c r="A5" s="110" t="s">
        <v>207</v>
      </c>
      <c r="B5" s="3344" t="s">
        <v>230</v>
      </c>
      <c r="C5" s="3344"/>
      <c r="D5" s="111">
        <f>ROUND($D$3*E5/$E$3,2)</f>
        <v>0</v>
      </c>
      <c r="E5" s="112">
        <f>SUMIF('数据-基础表'!$11:$11,"住宅",'数据-基础表'!$5:$5)</f>
        <v>0</v>
      </c>
      <c r="F5" s="1983"/>
      <c r="G5" s="280" t="s">
        <v>861</v>
      </c>
      <c r="H5" s="275" t="s">
        <v>859</v>
      </c>
      <c r="I5" s="1975">
        <f>ROUND(E31/D31,2)</f>
        <v>5.12</v>
      </c>
      <c r="J5" s="1983"/>
      <c r="K5" s="1983"/>
      <c r="L5" s="1983"/>
    </row>
    <row r="6" spans="1:16" ht="15" thickBot="1">
      <c r="A6" s="113"/>
      <c r="B6" s="3344" t="s">
        <v>208</v>
      </c>
      <c r="C6" s="3344"/>
      <c r="D6" s="111">
        <f>ROUND($D$3*E6/$E$3,2)</f>
        <v>78298.679999999993</v>
      </c>
      <c r="E6" s="112">
        <f>E3-E5</f>
        <v>400500</v>
      </c>
      <c r="F6" s="1983"/>
      <c r="G6" s="1201"/>
      <c r="H6" s="275" t="s">
        <v>860</v>
      </c>
      <c r="I6" s="1975">
        <f>ROUND(F31/D31,2)</f>
        <v>5.12</v>
      </c>
      <c r="J6" s="1983"/>
      <c r="K6" s="1983"/>
      <c r="L6" s="1983"/>
    </row>
    <row r="7" spans="1:16" ht="15">
      <c r="A7" s="3336"/>
      <c r="B7" s="3337"/>
      <c r="C7" s="3338"/>
      <c r="D7" s="108" t="s">
        <v>204</v>
      </c>
      <c r="E7" s="114" t="s">
        <v>231</v>
      </c>
      <c r="F7" s="1983"/>
      <c r="G7" s="1156" t="s">
        <v>1646</v>
      </c>
      <c r="H7" s="1157"/>
      <c r="I7" s="1845"/>
      <c r="J7" s="1983"/>
      <c r="K7" s="1983"/>
      <c r="L7" s="1983"/>
    </row>
    <row r="8" spans="1:16">
      <c r="A8" s="110" t="s">
        <v>209</v>
      </c>
      <c r="B8" s="115" t="s">
        <v>210</v>
      </c>
      <c r="C8" s="111" t="s">
        <v>211</v>
      </c>
      <c r="D8" s="111">
        <f t="shared" ref="D8:D15" si="0">ROUND($D$3*E8/$E$3,2)</f>
        <v>78298.679999999993</v>
      </c>
      <c r="E8" s="116">
        <f>SUMIF('数据-基础表'!BB10:BK10,"地上",'数据-基础表'!BB5:BK5)</f>
        <v>400500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78298.679999999993</v>
      </c>
      <c r="E16" s="120">
        <f>SUM(E8:E15)</f>
        <v>400500</v>
      </c>
      <c r="F16" s="1983"/>
      <c r="G16" s="1985"/>
      <c r="H16" s="968" t="s">
        <v>219</v>
      </c>
      <c r="I16" s="969"/>
      <c r="J16" s="1983"/>
      <c r="K16" s="3330" t="s">
        <v>2567</v>
      </c>
      <c r="L16" s="3331"/>
      <c r="M16" s="3331"/>
      <c r="N16" s="3331"/>
      <c r="O16" s="3331"/>
      <c r="P16" s="3332"/>
    </row>
    <row r="17" spans="1:19" ht="15">
      <c r="A17" s="121" t="s">
        <v>216</v>
      </c>
      <c r="B17" s="122" t="s">
        <v>217</v>
      </c>
      <c r="C17" s="2297" t="s">
        <v>2314</v>
      </c>
      <c r="D17" s="108" t="s">
        <v>204</v>
      </c>
      <c r="E17" s="124" t="s">
        <v>205</v>
      </c>
      <c r="F17" s="125"/>
      <c r="G17" s="1365"/>
      <c r="H17" s="970" t="s">
        <v>218</v>
      </c>
      <c r="I17" s="971" t="s">
        <v>2313</v>
      </c>
      <c r="J17" s="1983"/>
      <c r="K17" s="3333" t="s">
        <v>2568</v>
      </c>
      <c r="L17" s="3334"/>
      <c r="M17" s="3335"/>
      <c r="N17" s="3333" t="s">
        <v>2569</v>
      </c>
      <c r="O17" s="3334"/>
      <c r="P17" s="3335"/>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3000" t="s">
        <v>3002</v>
      </c>
      <c r="D19" s="111">
        <f t="shared" ref="D19:D26" si="1">ROUND($D$3*E19/$E$3,2)</f>
        <v>16706.650000000001</v>
      </c>
      <c r="E19" s="134">
        <f t="shared" ref="E19:E26" si="2">SUM(F19:G19)</f>
        <v>85455</v>
      </c>
      <c r="F19" s="135">
        <f>'数据-基础表'!I13</f>
        <v>85455</v>
      </c>
      <c r="G19" s="1367"/>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16706.650000000001</v>
      </c>
      <c r="S19" s="2300">
        <f t="shared" si="5"/>
        <v>85455</v>
      </c>
    </row>
    <row r="20" spans="1:19">
      <c r="A20" s="138"/>
      <c r="B20" s="115" t="s">
        <v>226</v>
      </c>
      <c r="C20" s="3000" t="s">
        <v>3003</v>
      </c>
      <c r="D20" s="111">
        <f t="shared" si="1"/>
        <v>61592.03</v>
      </c>
      <c r="E20" s="134">
        <f t="shared" si="2"/>
        <v>315045</v>
      </c>
      <c r="F20" s="135">
        <f>'数据-基础表'!K14</f>
        <v>315045</v>
      </c>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61592.03</v>
      </c>
      <c r="S20" s="2300">
        <f t="shared" si="5"/>
        <v>315045</v>
      </c>
    </row>
    <row r="21" spans="1:19">
      <c r="A21" s="138"/>
      <c r="B21" s="115" t="s">
        <v>226</v>
      </c>
      <c r="C21" s="3000"/>
      <c r="D21" s="111">
        <f t="shared" si="1"/>
        <v>0</v>
      </c>
      <c r="E21" s="134">
        <f t="shared" si="2"/>
        <v>0</v>
      </c>
      <c r="F21" s="135"/>
      <c r="G21" s="1367"/>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78298.679999999993</v>
      </c>
      <c r="E27" s="143">
        <f>IF(SUM(E19:E26)='数据-基础表'!BA5,SUM(E19:E26),IF(F27="地上面积有误","面积有误","地下面积有误"))</f>
        <v>400500</v>
      </c>
      <c r="F27" s="134">
        <f>IF(SUM(F19:F26)=E8,SUM(F19:F26),"地上面积有误")</f>
        <v>400500</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78298.679999999993</v>
      </c>
      <c r="S27" s="275">
        <f>IF(SUM(S19:S26)=$E$3,SUM(S19:S26),SUM(S19:S26)&amp;"误差"&amp;ROUND(SUM(S19:S26)-E3,2))</f>
        <v>400500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78298.679999999993</v>
      </c>
      <c r="E31" s="1371">
        <f>E27+E30</f>
        <v>400500</v>
      </c>
      <c r="F31" s="1372">
        <f>F27+F30</f>
        <v>400500</v>
      </c>
      <c r="G31" s="1373">
        <f>G27+G30</f>
        <v>0</v>
      </c>
      <c r="H31" s="1983"/>
      <c r="I31" s="1983"/>
      <c r="J31" s="1983"/>
      <c r="K31" s="1983"/>
      <c r="L31" s="1983"/>
    </row>
    <row r="32" spans="1:19">
      <c r="A32" s="1983"/>
      <c r="B32" s="2341" t="s">
        <v>2322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7" sqref="N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43388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3199" t="s">
        <v>3127</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商业</v>
      </c>
      <c r="B6" s="2336" t="str">
        <f>IF(A6=0,"","经营性")</f>
        <v>经营性</v>
      </c>
      <c r="C6" s="173" t="s">
        <v>3000</v>
      </c>
      <c r="D6" s="2307">
        <f>SUMIF(项目基本情况!D$15:I$15,C6,项目基本情况!D$18:I$18)</f>
        <v>40</v>
      </c>
      <c r="E6" s="2308">
        <f>IF(B6="","",SUMIF(项目基本情况!D$15:I$15,C6,项目基本情况!D$17:I$17))</f>
        <v>57998</v>
      </c>
      <c r="F6" s="174">
        <f>SUMIF(项目基本情况!D$15:I$15,C6,项目基本情况!D$19:I$19)</f>
        <v>40</v>
      </c>
      <c r="G6" s="175">
        <f>IF(ISERROR(ROUND(POWER(1+H6,D6-F6)*(POWER(1+H6,F6)-1)/(POWER(1+H6,D6)-1),3)),0,ROUND(POWER(1+H6,D6-F6)*(POWER(1+H6,F6)-1)/(POWER(1+H6,D6)-1),3))</f>
        <v>1</v>
      </c>
      <c r="H6" s="3001">
        <v>0.04</v>
      </c>
      <c r="I6" s="3001">
        <v>0.06</v>
      </c>
      <c r="J6" s="176">
        <v>0.08</v>
      </c>
      <c r="K6" s="179">
        <f>SUMIF('数据-汇总表'!C$19:C$33,'数据-取费表'!A6,'数据-汇总表'!E$19:E$33)</f>
        <v>85455</v>
      </c>
      <c r="L6" s="3002">
        <v>4800</v>
      </c>
      <c r="M6" s="177">
        <f t="shared" ref="M6:M14" si="0">ROUND(K6*L6/10000,0)</f>
        <v>41018</v>
      </c>
      <c r="N6" s="3003">
        <v>0</v>
      </c>
      <c r="O6" s="177">
        <f>IF($N$5="成新度","——",ROUND(M6*N6,0))</f>
        <v>0</v>
      </c>
      <c r="P6" s="178">
        <f>IF($N$5="成新度","——",M6-O6)</f>
        <v>41018</v>
      </c>
      <c r="Q6" s="3004">
        <v>0.2</v>
      </c>
      <c r="R6" s="179">
        <f>SUMIF('数据-汇总表'!C$19:C$33,A6,'数据-汇总表'!R$19:R$33)</f>
        <v>16706.650000000001</v>
      </c>
      <c r="S6" s="132">
        <f>IF('数据-汇总表'!$I$17="按面积比例",SUMIF('数据-汇总表'!C$19:C$33,A6,'数据-汇总表'!K$19:K$33),SUMIF('数据-汇总表'!C$19:C$33,A6,'数据-汇总表'!N$19:N$33))</f>
        <v>0</v>
      </c>
      <c r="T6" s="2233" t="str">
        <f>IF($T$4="按面积比例",IF(ISERROR(ROUND($M$14*S6/S$16,0)),"0",ROUND($M$14*S6/S$16,0)),"需自行计算录入")</f>
        <v>0</v>
      </c>
      <c r="U6" s="180">
        <f>'不动产比较法-商业'!C49</f>
        <v>11</v>
      </c>
      <c r="V6" s="181">
        <v>0</v>
      </c>
      <c r="W6" s="181">
        <v>0.08</v>
      </c>
      <c r="X6" s="2320"/>
      <c r="Y6" s="182">
        <v>1</v>
      </c>
      <c r="Z6" s="183"/>
      <c r="AA6" s="176"/>
      <c r="AB6" s="176"/>
      <c r="AC6" s="2323"/>
      <c r="AD6" s="184">
        <v>1</v>
      </c>
      <c r="AE6" s="972">
        <f ca="1">IF(AN6="",0,SUMIF(INDIRECT("'"&amp;AN6&amp;"'"&amp;"!E:E"),$AE$5,INDIRECT("'"&amp;AN6&amp;"'"&amp;"!F:F")))</f>
        <v>38</v>
      </c>
      <c r="AF6" s="141">
        <v>40</v>
      </c>
      <c r="AG6" s="1213">
        <f ca="1">IF(AF6="",0,AE6-AF6)</f>
        <v>-2</v>
      </c>
      <c r="AH6" s="141">
        <f>'数据-基础表'!I13</f>
        <v>85455</v>
      </c>
      <c r="AI6" s="187">
        <v>365</v>
      </c>
      <c r="AJ6" s="188"/>
      <c r="AK6" s="189">
        <v>0.02</v>
      </c>
      <c r="AL6" s="190">
        <v>3.0000000000000001E-3</v>
      </c>
      <c r="AM6" s="3015">
        <v>0.03</v>
      </c>
      <c r="AN6" s="2370" t="s">
        <v>3146</v>
      </c>
      <c r="AO6" s="1999"/>
      <c r="AP6" s="1204">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办公</v>
      </c>
      <c r="B7" s="2336" t="str">
        <f t="shared" ref="B7:B13" si="1">IF(A7=0,"","经营性")</f>
        <v>经营性</v>
      </c>
      <c r="C7" s="173" t="s">
        <v>1678</v>
      </c>
      <c r="D7" s="2307">
        <f>SUMIF(项目基本情况!D$15:I$15,C7,项目基本情况!D$18:I$18)</f>
        <v>50</v>
      </c>
      <c r="E7" s="2308">
        <f>IF(B7="","",SUMIF(项目基本情况!D$15:I$15,C7,项目基本情况!D$17:I$17))</f>
        <v>61651</v>
      </c>
      <c r="F7" s="174">
        <f>SUMIF(项目基本情况!D$15:I$15,C7,项目基本情况!D$19:I$19)</f>
        <v>50</v>
      </c>
      <c r="G7" s="175">
        <f t="shared" ref="G7:G11" si="2">IF(ISERROR(ROUND(POWER(1+H7,D7-F7)*(POWER(1+H7,F7)-1)/(POWER(1+H7,D7)-1),3)),0,ROUND(POWER(1+H7,D7-F7)*(POWER(1+H7,F7)-1)/(POWER(1+H7,D7)-1),3))</f>
        <v>1</v>
      </c>
      <c r="H7" s="3001">
        <v>0.04</v>
      </c>
      <c r="I7" s="3001">
        <v>5.5E-2</v>
      </c>
      <c r="J7" s="176">
        <v>0.08</v>
      </c>
      <c r="K7" s="179">
        <f>SUMIF('数据-汇总表'!C$19:C$33,'数据-取费表'!A7,'数据-汇总表'!E$19:E$33)</f>
        <v>315045</v>
      </c>
      <c r="L7" s="3002">
        <v>4500</v>
      </c>
      <c r="M7" s="177">
        <f t="shared" si="0"/>
        <v>141770</v>
      </c>
      <c r="N7" s="3003">
        <v>0</v>
      </c>
      <c r="O7" s="177">
        <f t="shared" ref="O7:O14" si="3">IF($N$5="成新度","——",ROUND(M7*N7,0))</f>
        <v>0</v>
      </c>
      <c r="P7" s="178">
        <f t="shared" ref="P7:P14" si="4">IF($N$5="成新度","——",M7-O7)</f>
        <v>141770</v>
      </c>
      <c r="Q7" s="3004">
        <f>Q6</f>
        <v>0.2</v>
      </c>
      <c r="R7" s="179">
        <f>SUMIF('数据-汇总表'!C$19:C$33,A7,'数据-汇总表'!R$19:R$33)</f>
        <v>61592.03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'不动产比较法-办公'!C50</f>
        <v>9</v>
      </c>
      <c r="V7" s="181">
        <v>0</v>
      </c>
      <c r="W7" s="181">
        <v>0.05</v>
      </c>
      <c r="X7" s="2320"/>
      <c r="Y7" s="182">
        <v>1</v>
      </c>
      <c r="Z7" s="183"/>
      <c r="AA7" s="176"/>
      <c r="AB7" s="176"/>
      <c r="AC7" s="2323"/>
      <c r="AD7" s="184">
        <v>1</v>
      </c>
      <c r="AE7" s="972">
        <f t="shared" ref="AE7:AE13" ca="1" si="6">IF(AN7="",0,SUMIF(INDIRECT("'"&amp;AN7&amp;"'"&amp;"!E:E"),$AE$5,INDIRECT("'"&amp;AN7&amp;"'"&amp;"!F:F")))</f>
        <v>48</v>
      </c>
      <c r="AF7" s="141">
        <v>50</v>
      </c>
      <c r="AG7" s="1213">
        <f t="shared" ref="AG7:AG13" ca="1" si="7">IF(AF7="",0,AE7-AF7)</f>
        <v>-2</v>
      </c>
      <c r="AH7" s="141">
        <f>'数据-基础表'!K14</f>
        <v>315045</v>
      </c>
      <c r="AI7" s="187">
        <v>365</v>
      </c>
      <c r="AJ7" s="188"/>
      <c r="AK7" s="189">
        <v>1.4999999999999999E-2</v>
      </c>
      <c r="AL7" s="190">
        <v>2E-3</v>
      </c>
      <c r="AM7" s="2368">
        <v>0.02</v>
      </c>
      <c r="AN7" s="2370" t="s">
        <v>3147</v>
      </c>
      <c r="AO7" s="1999"/>
      <c r="AP7" s="1204">
        <f t="shared" ref="AP7:AP13" si="8">ROUND(1-1/(1+H7)^F7,3)</f>
        <v>0.85899999999999999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400500</v>
      </c>
      <c r="L16" s="206">
        <f>ROUND(M16*10000/SUM(K6:K14),0)</f>
        <v>4564</v>
      </c>
      <c r="M16" s="206">
        <f>SUM(M6:M14)</f>
        <v>182788</v>
      </c>
      <c r="N16" s="207">
        <f>ROUND(SUMPRODUCT(M6:M14,N6:N14)/M16,3)</f>
        <v>0</v>
      </c>
      <c r="O16" s="206">
        <f>SUM(O6:O14)</f>
        <v>0</v>
      </c>
      <c r="P16" s="206">
        <f>SUM(P6:P14)</f>
        <v>182788</v>
      </c>
      <c r="Q16" s="208">
        <f>ROUND(SUMPRODUCT(Q6:Q13,K6:K13)/SUMPRODUCT((Q6:Q13&gt;0)*(K6:K13)),2)</f>
        <v>0.2</v>
      </c>
      <c r="R16" s="2310">
        <f>SUM(R6:R13)</f>
        <v>78298.679999999993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0.84499999999999997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160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160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140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20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0.03</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50"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1"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1"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2" t="s">
        <v>2903</v>
      </c>
      <c r="D53" s="3053"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5" t="s">
        <v>2905</v>
      </c>
      <c r="B54" s="186"/>
      <c r="C54" s="1993">
        <v>30</v>
      </c>
      <c r="D54" s="305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5" t="s">
        <v>2906</v>
      </c>
      <c r="B55" s="186"/>
      <c r="C55" s="1993">
        <v>24</v>
      </c>
      <c r="D55" s="305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5" t="s">
        <v>2907</v>
      </c>
      <c r="B56" s="186"/>
      <c r="C56" s="1993">
        <v>18</v>
      </c>
      <c r="D56" s="305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5" t="s">
        <v>2908</v>
      </c>
      <c r="B57" s="186">
        <v>12</v>
      </c>
      <c r="C57" s="1993">
        <v>12</v>
      </c>
      <c r="D57" s="305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5" t="s">
        <v>2909</v>
      </c>
      <c r="B58" s="186"/>
      <c r="C58" s="1993">
        <v>3</v>
      </c>
      <c r="D58" s="305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5" t="s">
        <v>2910</v>
      </c>
      <c r="B59" s="186"/>
      <c r="C59" s="1993">
        <v>1.5</v>
      </c>
      <c r="D59" s="305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5"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5"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5"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6"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5" t="s">
        <v>1664</v>
      </c>
      <c r="B1" s="3346"/>
      <c r="C1" s="3346"/>
      <c r="D1" s="3346"/>
      <c r="E1" s="3346"/>
      <c r="F1" s="3346"/>
      <c r="G1" s="3346"/>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hidden="1">
      <c r="A3" s="1226" t="s">
        <v>1667</v>
      </c>
      <c r="B3" s="1227" t="s">
        <v>1654</v>
      </c>
      <c r="C3" s="3057" t="s">
        <v>2920</v>
      </c>
      <c r="D3" s="2008"/>
      <c r="E3" s="1228" t="s">
        <v>1667</v>
      </c>
      <c r="F3" s="1229" t="s">
        <v>1655</v>
      </c>
      <c r="G3" s="3060" t="s">
        <v>2919</v>
      </c>
      <c r="H3" s="2007"/>
      <c r="I3" s="2007"/>
      <c r="J3" s="2007"/>
      <c r="K3" s="2007"/>
      <c r="L3" s="2007"/>
      <c r="M3" s="2007"/>
      <c r="N3" s="2007"/>
      <c r="O3" s="2007"/>
      <c r="P3" s="2007"/>
      <c r="Q3" s="2007"/>
      <c r="R3" s="2007"/>
    </row>
    <row r="4" spans="1:18" ht="54">
      <c r="A4" s="1228"/>
      <c r="B4" s="1230" t="s">
        <v>1668</v>
      </c>
      <c r="C4" s="3203" t="s">
        <v>3149</v>
      </c>
      <c r="D4" s="2008"/>
      <c r="E4" s="1231"/>
      <c r="F4" s="1232" t="s">
        <v>1669</v>
      </c>
      <c r="G4" s="3058" t="s">
        <v>2916</v>
      </c>
      <c r="H4" s="2007"/>
      <c r="I4" s="2007"/>
      <c r="J4" s="2007"/>
      <c r="K4" s="2007"/>
      <c r="L4" s="2007"/>
      <c r="M4" s="2007"/>
      <c r="N4" s="2007"/>
      <c r="O4" s="2007"/>
      <c r="P4" s="2007"/>
      <c r="Q4" s="2007"/>
      <c r="R4" s="2007"/>
    </row>
    <row r="5" spans="1:18" ht="54">
      <c r="A5" s="1228"/>
      <c r="B5" s="1230" t="s">
        <v>1670</v>
      </c>
      <c r="C5" s="3203" t="s">
        <v>3153</v>
      </c>
      <c r="D5" s="2008"/>
      <c r="E5" s="1231"/>
      <c r="F5" s="1230" t="s">
        <v>2547</v>
      </c>
      <c r="G5" s="3058" t="s">
        <v>2917</v>
      </c>
      <c r="H5" s="2007"/>
      <c r="I5" s="2007"/>
      <c r="J5" s="2007"/>
      <c r="K5" s="2007"/>
      <c r="L5" s="2007"/>
      <c r="M5" s="2007"/>
      <c r="N5" s="2007"/>
      <c r="O5" s="2007"/>
      <c r="P5" s="2007"/>
      <c r="Q5" s="2007"/>
      <c r="R5" s="2007"/>
    </row>
    <row r="6" spans="1:18" ht="94.5">
      <c r="A6" s="1228"/>
      <c r="B6" s="1230" t="s">
        <v>1656</v>
      </c>
      <c r="C6" s="3202" t="s">
        <v>3150</v>
      </c>
      <c r="D6" s="2008"/>
      <c r="E6" s="1231"/>
      <c r="F6" s="1230" t="s">
        <v>2548</v>
      </c>
      <c r="G6" s="3058" t="s">
        <v>2915</v>
      </c>
      <c r="H6" s="2007"/>
      <c r="I6" s="2007"/>
      <c r="J6" s="2007"/>
      <c r="K6" s="2007"/>
      <c r="L6" s="2007"/>
      <c r="M6" s="2007"/>
      <c r="N6" s="2007"/>
      <c r="O6" s="2007"/>
      <c r="P6" s="2007"/>
      <c r="Q6" s="2007"/>
      <c r="R6" s="2007"/>
    </row>
    <row r="7" spans="1:18" ht="41.25" thickBot="1">
      <c r="A7" s="1228"/>
      <c r="B7" s="1230" t="s">
        <v>2547</v>
      </c>
      <c r="C7" s="3202" t="s">
        <v>3152</v>
      </c>
      <c r="D7" s="2009"/>
      <c r="E7" s="1233"/>
      <c r="F7" s="1234" t="s">
        <v>1671</v>
      </c>
      <c r="G7" s="3061" t="s">
        <v>2918</v>
      </c>
      <c r="H7" s="2007"/>
      <c r="I7" s="2007"/>
      <c r="J7" s="2007"/>
      <c r="K7" s="2007"/>
      <c r="L7" s="2007"/>
      <c r="M7" s="2007"/>
      <c r="N7" s="2007"/>
      <c r="O7" s="2007"/>
      <c r="P7" s="2007"/>
      <c r="Q7" s="2007"/>
      <c r="R7" s="2007"/>
    </row>
    <row r="8" spans="1:18" ht="27">
      <c r="A8" s="1228"/>
      <c r="B8" s="1230" t="s">
        <v>2548</v>
      </c>
      <c r="C8" s="3202" t="s">
        <v>3023</v>
      </c>
      <c r="D8" s="2009"/>
      <c r="E8" s="2009"/>
      <c r="F8" s="1553"/>
      <c r="G8" s="1553"/>
      <c r="H8" s="2007"/>
      <c r="I8" s="2007"/>
      <c r="J8" s="2007"/>
      <c r="K8" s="2007"/>
      <c r="L8" s="2007"/>
      <c r="M8" s="2007"/>
      <c r="N8" s="2007"/>
      <c r="O8" s="2007"/>
      <c r="P8" s="2007"/>
      <c r="Q8" s="2007"/>
      <c r="R8" s="2007"/>
    </row>
    <row r="9" spans="1:18" ht="40.5">
      <c r="A9" s="1228"/>
      <c r="B9" s="1230" t="s">
        <v>1657</v>
      </c>
      <c r="C9" s="3203" t="s">
        <v>3024</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54">
      <c r="A16" s="2567"/>
      <c r="B16" s="1244" t="s">
        <v>1668</v>
      </c>
      <c r="C16" s="1245" t="str">
        <f>C4</f>
        <v>估价对象位于酒仙桥商圈，周边商业氛围较成熟，人流量较大，商业繁华度较好</v>
      </c>
      <c r="D16" s="2008"/>
      <c r="E16" s="2564"/>
      <c r="F16" s="1246" t="s">
        <v>1669</v>
      </c>
      <c r="G16" s="1005" t="str">
        <f>G4</f>
        <v>估价对象周边道路状况、公共交通通达情况、停车便捷程度，综合评价交通便捷度较好</v>
      </c>
    </row>
    <row r="17" spans="1:7" ht="54">
      <c r="A17" s="2567"/>
      <c r="B17" s="1244" t="s">
        <v>1670</v>
      </c>
      <c r="C17" s="1245" t="str">
        <f>C5</f>
        <v>估价对象位于酒仙桥商圈，周边办公楼项目较多，入驻率高，办公集聚程度较好</v>
      </c>
      <c r="D17" s="2009"/>
      <c r="E17" s="2564"/>
      <c r="F17" s="1246" t="s">
        <v>1675</v>
      </c>
      <c r="G17" s="2772"/>
    </row>
    <row r="18" spans="1:7" ht="94.5">
      <c r="A18" s="2567"/>
      <c r="B18" s="1246" t="s">
        <v>1656</v>
      </c>
      <c r="C18" s="1005" t="str">
        <f>C6</f>
        <v>估价对象周边有445路、516路、659路、983路等多条公交线路经过，距14号线地铁（将台站）约300米，道路状况较好、公共交通通达情况较好、综合评价交通便捷度较好。</v>
      </c>
      <c r="D18" s="2009"/>
      <c r="E18" s="2564"/>
      <c r="F18" s="1246" t="s">
        <v>1671</v>
      </c>
      <c r="G18" s="1005" t="str">
        <f>G7</f>
        <v>该园区内是否有污染型企业，绿化情况，卫生条件，整体环境状况判断</v>
      </c>
    </row>
    <row r="19" spans="1:7" ht="27">
      <c r="A19" s="2567"/>
      <c r="B19" s="1246" t="s">
        <v>1660</v>
      </c>
      <c r="C19" s="2772"/>
      <c r="D19" s="2008"/>
      <c r="E19" s="2564"/>
      <c r="F19" s="1230" t="s">
        <v>2547</v>
      </c>
      <c r="G19" s="1005" t="str">
        <f>G5</f>
        <v>估价对象所在区域公共配套设施齐备情况</v>
      </c>
    </row>
    <row r="20" spans="1:7" ht="40.5">
      <c r="A20" s="2567"/>
      <c r="B20" s="1246" t="s">
        <v>1661</v>
      </c>
      <c r="C20" s="1245" t="str">
        <f>C9</f>
        <v>区域自然环境：；人文环境；综合评价环境状况较好</v>
      </c>
      <c r="D20" s="2009"/>
      <c r="E20" s="2564"/>
      <c r="F20" s="1230" t="s">
        <v>2548</v>
      </c>
      <c r="G20" s="1005" t="str">
        <f>G6</f>
        <v>估价对象所在区域基础设施水平</v>
      </c>
    </row>
    <row r="21" spans="1:7" ht="27">
      <c r="A21" s="2567"/>
      <c r="B21" s="1230" t="s">
        <v>2547</v>
      </c>
      <c r="C21" s="1005" t="str">
        <f>C7</f>
        <v>估价对象所在区域公共配套设施齐备度较好</v>
      </c>
      <c r="D21" s="2008"/>
      <c r="E21" s="2564"/>
      <c r="F21" s="1246" t="s">
        <v>1662</v>
      </c>
      <c r="G21" s="3062"/>
    </row>
    <row r="22" spans="1:7" ht="27">
      <c r="A22" s="2567"/>
      <c r="B22" s="1230" t="s">
        <v>2548</v>
      </c>
      <c r="C22" s="1005" t="str">
        <f>C8</f>
        <v>估价对象所在区域基础设施水平达到三通一平</v>
      </c>
      <c r="D22" s="2008"/>
      <c r="E22" s="2564"/>
      <c r="F22" s="1246" t="s">
        <v>1672</v>
      </c>
      <c r="G22" s="2772"/>
    </row>
    <row r="23" spans="1:7" ht="15" thickBot="1">
      <c r="A23" s="2567"/>
      <c r="B23" s="1246" t="s">
        <v>1662</v>
      </c>
      <c r="C23" s="3062"/>
      <c r="E23" s="2565"/>
      <c r="F23" s="1247" t="s">
        <v>1676</v>
      </c>
      <c r="G23" s="3063"/>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S20"/>
  <sheetViews>
    <sheetView tabSelected="1" workbookViewId="0">
      <selection activeCell="J20" sqref="J20"/>
    </sheetView>
  </sheetViews>
  <sheetFormatPr defaultRowHeight="13.5"/>
  <cols>
    <col min="1" max="1" width="10.375" customWidth="1"/>
    <col min="2" max="2" width="10.25" customWidth="1"/>
    <col min="3" max="3" width="8.875" customWidth="1"/>
    <col min="4" max="4" width="11.75" customWidth="1"/>
    <col min="5" max="5" width="8.625" customWidth="1"/>
    <col min="6" max="6" width="7.25" customWidth="1"/>
    <col min="7" max="7" width="7.75" customWidth="1"/>
    <col min="8" max="8" width="9.375" customWidth="1"/>
    <col min="9" max="9" width="11.125" customWidth="1"/>
    <col min="10" max="10" width="12.25" customWidth="1"/>
    <col min="11" max="11" width="4.5" customWidth="1"/>
    <col min="14" max="14" width="9.875" customWidth="1"/>
    <col min="15" max="15" width="10" customWidth="1"/>
    <col min="18" max="18" width="13" customWidth="1"/>
  </cols>
  <sheetData>
    <row r="1" spans="1:18" ht="64.5" customHeight="1">
      <c r="A1" s="3247" t="s">
        <v>3114</v>
      </c>
      <c r="B1" s="3248" t="s">
        <v>3115</v>
      </c>
      <c r="C1" s="3248" t="s">
        <v>3116</v>
      </c>
      <c r="D1" s="3248" t="s">
        <v>3117</v>
      </c>
      <c r="E1" s="3248" t="s">
        <v>3105</v>
      </c>
      <c r="F1" s="3248" t="s">
        <v>3106</v>
      </c>
    </row>
    <row r="2" spans="1:18">
      <c r="A2" s="3367" t="s">
        <v>3100</v>
      </c>
      <c r="B2" s="3232" t="s">
        <v>3090</v>
      </c>
      <c r="C2" s="3233">
        <f ca="1">'结果表-商业'!D20</f>
        <v>16723</v>
      </c>
      <c r="D2" s="3233">
        <f>'结果表-商业'!D18</f>
        <v>0.4</v>
      </c>
      <c r="E2" s="3368">
        <f t="shared" ref="E2" ca="1" si="0">ROUND(C2*D2+C3*D3,0)</f>
        <v>20610</v>
      </c>
      <c r="F2" s="3370">
        <f t="shared" ref="F2" ca="1" si="1">ROUND(E2*0.25,0)</f>
        <v>5153</v>
      </c>
    </row>
    <row r="3" spans="1:18">
      <c r="A3" s="3367"/>
      <c r="B3" s="3232" t="s">
        <v>3091</v>
      </c>
      <c r="C3" s="3233">
        <f ca="1">'结果表-商业'!C20</f>
        <v>23201</v>
      </c>
      <c r="D3" s="3233">
        <f>'结果表-商业'!C18</f>
        <v>0.6</v>
      </c>
      <c r="E3" s="3369"/>
      <c r="F3" s="3371"/>
    </row>
    <row r="4" spans="1:18">
      <c r="A4" s="3362" t="s">
        <v>3102</v>
      </c>
      <c r="B4" s="3230" t="s">
        <v>3090</v>
      </c>
      <c r="C4" s="3231">
        <f ca="1">'结果表-办公'!D20</f>
        <v>16660</v>
      </c>
      <c r="D4" s="3231">
        <f>'结果表-办公'!D18</f>
        <v>0.4</v>
      </c>
      <c r="E4" s="3363">
        <f t="shared" ref="E4" ca="1" si="2">ROUND(C4*D4+C5*D5,0)</f>
        <v>20316</v>
      </c>
      <c r="F4" s="3365">
        <f t="shared" ref="F4" ca="1" si="3">ROUND(E4*0.25,0)</f>
        <v>5079</v>
      </c>
    </row>
    <row r="5" spans="1:18">
      <c r="A5" s="3362"/>
      <c r="B5" s="3230" t="s">
        <v>3091</v>
      </c>
      <c r="C5" s="3231">
        <f ca="1">'结果表-办公'!C20</f>
        <v>22753</v>
      </c>
      <c r="D5" s="3231">
        <f>'结果表-办公'!C18</f>
        <v>0.6</v>
      </c>
      <c r="E5" s="3364"/>
      <c r="F5" s="3366"/>
    </row>
    <row r="6" spans="1:18">
      <c r="L6" s="3213" t="s">
        <v>3118</v>
      </c>
      <c r="M6">
        <v>15010.72</v>
      </c>
    </row>
    <row r="8" spans="1:18" ht="28.5" customHeight="1" thickBot="1">
      <c r="A8" s="3235"/>
      <c r="B8" s="3235"/>
      <c r="C8" s="3235" t="s">
        <v>3101</v>
      </c>
      <c r="D8" s="3235"/>
      <c r="G8" s="3347" t="s">
        <v>3107</v>
      </c>
      <c r="H8" s="3347"/>
      <c r="I8" s="3347"/>
      <c r="J8" s="3347"/>
      <c r="L8" s="3349" t="s">
        <v>3108</v>
      </c>
      <c r="M8" s="3349"/>
      <c r="N8" s="3349"/>
      <c r="O8" s="3349"/>
      <c r="P8" s="3349"/>
      <c r="Q8" s="3349"/>
      <c r="R8" s="3349"/>
    </row>
    <row r="9" spans="1:18" ht="13.5" customHeight="1" thickBot="1">
      <c r="A9" s="3353" t="s">
        <v>3094</v>
      </c>
      <c r="B9" s="3356" t="s">
        <v>3095</v>
      </c>
      <c r="C9" s="3356" t="s">
        <v>3096</v>
      </c>
      <c r="D9" s="3356" t="s">
        <v>3097</v>
      </c>
      <c r="E9" s="3359" t="s">
        <v>3098</v>
      </c>
      <c r="F9" s="3213"/>
      <c r="G9" s="3348" t="s">
        <v>3094</v>
      </c>
      <c r="H9" s="3348" t="s">
        <v>3095</v>
      </c>
      <c r="I9" s="3348" t="s">
        <v>3103</v>
      </c>
      <c r="J9" s="3348" t="s">
        <v>3104</v>
      </c>
      <c r="L9" s="3236" t="s">
        <v>3094</v>
      </c>
      <c r="M9" s="3350" t="s">
        <v>3095</v>
      </c>
      <c r="N9" s="3350" t="s">
        <v>3103</v>
      </c>
      <c r="O9" s="3350" t="s">
        <v>3109</v>
      </c>
      <c r="P9" s="3350" t="s">
        <v>3110</v>
      </c>
      <c r="Q9" s="3350" t="s">
        <v>3111</v>
      </c>
      <c r="R9" s="3350" t="s">
        <v>3112</v>
      </c>
    </row>
    <row r="10" spans="1:18" ht="13.5" customHeight="1" thickBot="1">
      <c r="A10" s="3354"/>
      <c r="B10" s="3357"/>
      <c r="C10" s="3357"/>
      <c r="D10" s="3357"/>
      <c r="E10" s="3360"/>
      <c r="F10" s="3213"/>
      <c r="G10" s="3348"/>
      <c r="H10" s="3348"/>
      <c r="I10" s="3348"/>
      <c r="J10" s="3348"/>
      <c r="L10" s="3237"/>
      <c r="M10" s="3351"/>
      <c r="N10" s="3351"/>
      <c r="O10" s="3351"/>
      <c r="P10" s="3351"/>
      <c r="Q10" s="3351"/>
      <c r="R10" s="3351"/>
    </row>
    <row r="11" spans="1:18" ht="30" customHeight="1" thickBot="1">
      <c r="A11" s="3355"/>
      <c r="B11" s="3358"/>
      <c r="C11" s="3358"/>
      <c r="D11" s="3358"/>
      <c r="E11" s="3361"/>
      <c r="F11" s="3213"/>
      <c r="G11" s="3348"/>
      <c r="H11" s="3348"/>
      <c r="I11" s="3348"/>
      <c r="J11" s="3348"/>
      <c r="L11" s="3238"/>
      <c r="M11" s="3352"/>
      <c r="N11" s="3352"/>
      <c r="O11" s="3352"/>
      <c r="P11" s="3352"/>
      <c r="Q11" s="3352"/>
      <c r="R11" s="3352"/>
    </row>
    <row r="12" spans="1:18" ht="28.5" customHeight="1" thickBot="1">
      <c r="A12" s="3239" t="s">
        <v>3092</v>
      </c>
      <c r="B12" s="3240">
        <f>'数据-基础表'!I13</f>
        <v>85455</v>
      </c>
      <c r="C12" s="3240">
        <f ca="1">E2</f>
        <v>20610</v>
      </c>
      <c r="D12" s="3240">
        <f ca="1">ROUND(B12*C12/10000,4)</f>
        <v>176122.755</v>
      </c>
      <c r="E12" s="3241">
        <f ca="1">ROUND(C12/5.12,0)</f>
        <v>4025</v>
      </c>
      <c r="F12" s="3213"/>
      <c r="G12" s="3239" t="s">
        <v>3092</v>
      </c>
      <c r="H12" s="3240">
        <f>B12</f>
        <v>85455</v>
      </c>
      <c r="I12" s="3240">
        <f ca="1">F2</f>
        <v>5153</v>
      </c>
      <c r="J12" s="3241">
        <f ca="1">H12*I12/10000</f>
        <v>44034.961499999998</v>
      </c>
      <c r="K12" s="3213"/>
      <c r="L12" s="3239" t="s">
        <v>3092</v>
      </c>
      <c r="M12" s="3243">
        <f>B12</f>
        <v>85455</v>
      </c>
      <c r="N12" s="3243">
        <f ca="1">I12</f>
        <v>5153</v>
      </c>
      <c r="O12" s="3249">
        <f ca="1">N12+M6</f>
        <v>20163.72</v>
      </c>
      <c r="P12" s="3250">
        <f>ROUND(13330*'基准地价-商业'!C19*'基准地价-商业'!C21*'基准地价-商业'!C24,0)</f>
        <v>15201</v>
      </c>
      <c r="Q12" s="3234">
        <f t="shared" ref="Q12:Q13" si="4">ROUND(P12*0.25,0)</f>
        <v>3800</v>
      </c>
      <c r="R12" s="3234">
        <f t="shared" ref="R12:R13" ca="1" si="5">ROUND(M12*N12/10000,4)</f>
        <v>44034.961499999998</v>
      </c>
    </row>
    <row r="13" spans="1:18" ht="24.75" customHeight="1" thickBot="1">
      <c r="A13" s="3239" t="s">
        <v>3093</v>
      </c>
      <c r="B13" s="3240">
        <f>'数据-基础表'!K14</f>
        <v>315045</v>
      </c>
      <c r="C13" s="3240">
        <f ca="1">E4</f>
        <v>20316</v>
      </c>
      <c r="D13" s="3240">
        <f ca="1">ROUND(B13*C13/10000,4)</f>
        <v>640045.42200000002</v>
      </c>
      <c r="E13" s="3241">
        <f ca="1">ROUND(C13/5.12,0)</f>
        <v>3968</v>
      </c>
      <c r="F13" s="3213"/>
      <c r="G13" s="3239" t="s">
        <v>3093</v>
      </c>
      <c r="H13" s="3240">
        <f>B13</f>
        <v>315045</v>
      </c>
      <c r="I13" s="3240">
        <f ca="1">F4</f>
        <v>5079</v>
      </c>
      <c r="J13" s="3241">
        <f ca="1">H13*I13/10000</f>
        <v>160011.35550000001</v>
      </c>
      <c r="K13" s="3213"/>
      <c r="L13" s="3239" t="s">
        <v>3093</v>
      </c>
      <c r="M13" s="3243">
        <f>B13</f>
        <v>315045</v>
      </c>
      <c r="N13" s="3243">
        <f ca="1">I13</f>
        <v>5079</v>
      </c>
      <c r="O13" s="3249">
        <f ca="1">N13+M6</f>
        <v>20089.72</v>
      </c>
      <c r="P13" s="3250">
        <f>ROUND(13160*'基准地价-办公'!C19*'基准地价-办公'!C21*'基准地价-办公'!C24,0)</f>
        <v>15012</v>
      </c>
      <c r="Q13" s="3234">
        <f t="shared" si="4"/>
        <v>3753</v>
      </c>
      <c r="R13" s="3234">
        <f t="shared" ca="1" si="5"/>
        <v>160011.35550000001</v>
      </c>
    </row>
    <row r="14" spans="1:18" ht="24" customHeight="1" thickBot="1">
      <c r="A14" s="3244" t="s">
        <v>24</v>
      </c>
      <c r="B14" s="3245">
        <f>SUM(B12:B13)</f>
        <v>400500</v>
      </c>
      <c r="C14" s="3245" t="s">
        <v>3099</v>
      </c>
      <c r="D14" s="3245">
        <f ca="1">SUM(D12:D13)</f>
        <v>816168.17700000003</v>
      </c>
      <c r="E14" s="3246" t="s">
        <v>3099</v>
      </c>
      <c r="F14" s="3213"/>
      <c r="G14" s="3244" t="s">
        <v>24</v>
      </c>
      <c r="H14" s="3245">
        <f>SUM(H12:H13)</f>
        <v>400500</v>
      </c>
      <c r="I14" s="3245" t="s">
        <v>3099</v>
      </c>
      <c r="J14" s="3246">
        <f ca="1">SUM(J12:J13)</f>
        <v>204046.31700000001</v>
      </c>
      <c r="K14" s="3213"/>
      <c r="L14" s="3242" t="s">
        <v>3113</v>
      </c>
      <c r="M14" s="3243"/>
      <c r="N14" s="3243" t="s">
        <v>3099</v>
      </c>
      <c r="O14" s="3243" t="s">
        <v>3099</v>
      </c>
      <c r="P14" s="3234" t="s">
        <v>3099</v>
      </c>
      <c r="Q14" s="3234" t="s">
        <v>3099</v>
      </c>
      <c r="R14" s="3234">
        <f ca="1">SUM(R9:R13)</f>
        <v>204046.31700000001</v>
      </c>
    </row>
    <row r="17" spans="11:19" ht="29.25">
      <c r="K17" s="3347"/>
      <c r="L17" s="3347"/>
      <c r="M17" s="3347"/>
      <c r="N17" s="3347"/>
      <c r="O17" s="3347"/>
      <c r="P17" s="3347"/>
      <c r="Q17" s="3347"/>
      <c r="R17" s="3347"/>
    </row>
    <row r="20" spans="11:19" ht="29.25">
      <c r="L20" s="3347"/>
      <c r="M20" s="3347"/>
      <c r="N20" s="3347"/>
      <c r="O20" s="3347"/>
      <c r="P20" s="3347"/>
      <c r="Q20" s="3347"/>
      <c r="R20" s="3347"/>
      <c r="S20" s="3347"/>
    </row>
  </sheetData>
  <mergeCells count="25">
    <mergeCell ref="A4:A5"/>
    <mergeCell ref="E4:E5"/>
    <mergeCell ref="F4:F5"/>
    <mergeCell ref="A2:A3"/>
    <mergeCell ref="E2:E3"/>
    <mergeCell ref="F2:F3"/>
    <mergeCell ref="A9:A11"/>
    <mergeCell ref="B9:B11"/>
    <mergeCell ref="C9:C11"/>
    <mergeCell ref="D9:D11"/>
    <mergeCell ref="E9:E11"/>
    <mergeCell ref="L20:S20"/>
    <mergeCell ref="K17:R17"/>
    <mergeCell ref="G8:J8"/>
    <mergeCell ref="J9:J11"/>
    <mergeCell ref="G9:G11"/>
    <mergeCell ref="H9:H11"/>
    <mergeCell ref="I9:I11"/>
    <mergeCell ref="L8:R8"/>
    <mergeCell ref="M9:M11"/>
    <mergeCell ref="N9:N11"/>
    <mergeCell ref="O9:O11"/>
    <mergeCell ref="P9:P11"/>
    <mergeCell ref="Q9:Q11"/>
    <mergeCell ref="R9:R11"/>
  </mergeCells>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3014</v>
      </c>
      <c r="E1" s="1804" t="s">
        <v>2058</v>
      </c>
      <c r="F1" s="1806" t="s">
        <v>3015</v>
      </c>
      <c r="G1" s="311"/>
      <c r="H1" s="311"/>
      <c r="I1" s="311"/>
      <c r="J1" s="2028"/>
      <c r="K1" s="2028"/>
      <c r="L1" s="2028"/>
      <c r="M1" s="2028"/>
      <c r="N1" s="2028"/>
      <c r="O1" s="2028"/>
      <c r="P1" s="2028"/>
      <c r="Q1" s="2028"/>
      <c r="R1" s="2028"/>
      <c r="S1" s="2028"/>
      <c r="T1" s="2028"/>
      <c r="U1" s="2028"/>
      <c r="V1" s="2028"/>
    </row>
    <row r="2" spans="1:22" ht="21.75" customHeight="1" thickBot="1">
      <c r="A2" s="3443" t="str">
        <f>项目基本情况!K2</f>
        <v>北京市国有建设用地使用权</v>
      </c>
      <c r="B2" s="3444"/>
      <c r="C2" s="3445"/>
      <c r="D2" s="3445"/>
      <c r="E2" s="3445"/>
      <c r="F2" s="3445"/>
      <c r="G2" s="3444"/>
      <c r="H2" s="3444"/>
      <c r="I2" s="3446"/>
      <c r="J2" s="2029"/>
      <c r="K2" s="2028"/>
      <c r="L2" s="2028"/>
      <c r="M2" s="2028"/>
      <c r="N2" s="2028"/>
      <c r="O2" s="2028"/>
      <c r="P2" s="2028"/>
      <c r="Q2" s="2028"/>
      <c r="R2" s="2028"/>
      <c r="S2" s="2028"/>
      <c r="T2" s="2028"/>
      <c r="U2" s="2028"/>
      <c r="V2" s="2028"/>
    </row>
    <row r="3" spans="1:22" ht="14.25">
      <c r="A3" s="3447" t="s">
        <v>298</v>
      </c>
      <c r="B3" s="3448"/>
      <c r="C3" s="3448"/>
      <c r="D3" s="3448"/>
      <c r="E3" s="3448"/>
      <c r="F3" s="3448"/>
      <c r="G3" s="3448"/>
      <c r="H3" s="3448"/>
      <c r="I3" s="3448"/>
      <c r="J3" s="2029"/>
      <c r="K3" s="2028"/>
      <c r="L3" s="2028"/>
      <c r="M3" s="2028"/>
      <c r="N3" s="2028"/>
      <c r="O3" s="2028"/>
      <c r="P3" s="2028"/>
      <c r="Q3" s="2028"/>
      <c r="R3" s="2028"/>
      <c r="S3" s="2028"/>
      <c r="T3" s="2028"/>
      <c r="U3" s="2028"/>
      <c r="V3" s="2028"/>
    </row>
    <row r="4" spans="1:22" ht="14.25">
      <c r="A4" s="258" t="s">
        <v>299</v>
      </c>
      <c r="B4" s="259" t="s">
        <v>300</v>
      </c>
      <c r="C4" s="260" t="s">
        <v>3016</v>
      </c>
      <c r="D4" s="260" t="s">
        <v>3017</v>
      </c>
      <c r="E4" s="3397" t="s">
        <v>301</v>
      </c>
      <c r="F4" s="3399"/>
      <c r="G4" s="3399"/>
      <c r="H4" s="3399"/>
      <c r="I4" s="339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3" t="s">
        <v>302</v>
      </c>
      <c r="B5" s="3434">
        <v>25</v>
      </c>
      <c r="C5" s="3435">
        <v>6</v>
      </c>
      <c r="D5" s="3437">
        <f>10-C5</f>
        <v>4</v>
      </c>
      <c r="E5" s="261" t="s">
        <v>303</v>
      </c>
      <c r="F5" s="262"/>
      <c r="G5" s="262"/>
      <c r="H5" s="262"/>
      <c r="I5" s="263"/>
      <c r="J5" s="2029"/>
      <c r="K5" s="2028"/>
      <c r="L5" s="2028"/>
      <c r="M5" s="2028"/>
      <c r="N5" s="2028"/>
      <c r="O5" s="2028"/>
      <c r="P5" s="2028"/>
      <c r="Q5" s="2028"/>
      <c r="R5" s="2028"/>
      <c r="S5" s="2028"/>
      <c r="T5" s="2028"/>
      <c r="U5" s="2028"/>
      <c r="V5" s="2028"/>
    </row>
    <row r="6" spans="1:22" ht="14.25">
      <c r="A6" s="3433"/>
      <c r="B6" s="3434"/>
      <c r="C6" s="3438"/>
      <c r="D6" s="3437"/>
      <c r="E6" s="261" t="s">
        <v>304</v>
      </c>
      <c r="F6" s="262"/>
      <c r="G6" s="262"/>
      <c r="H6" s="262"/>
      <c r="I6" s="263"/>
      <c r="J6" s="2029"/>
      <c r="K6" s="2028"/>
      <c r="L6" s="2028"/>
      <c r="M6" s="2028"/>
      <c r="N6" s="2028"/>
      <c r="O6" s="2028"/>
      <c r="P6" s="2028"/>
      <c r="Q6" s="2028"/>
      <c r="R6" s="2028"/>
      <c r="S6" s="2028"/>
      <c r="T6" s="2028"/>
      <c r="U6" s="2028"/>
      <c r="V6" s="2028"/>
    </row>
    <row r="7" spans="1:22" ht="14.25">
      <c r="A7" s="3433"/>
      <c r="B7" s="3434"/>
      <c r="C7" s="3436"/>
      <c r="D7" s="3437"/>
      <c r="E7" s="261" t="s">
        <v>305</v>
      </c>
      <c r="F7" s="262"/>
      <c r="G7" s="262"/>
      <c r="H7" s="262"/>
      <c r="I7" s="263"/>
      <c r="J7" s="2029"/>
      <c r="K7" s="2028"/>
      <c r="L7" s="2028"/>
      <c r="M7" s="2028"/>
      <c r="N7" s="2028"/>
      <c r="O7" s="2028"/>
      <c r="P7" s="2028"/>
      <c r="Q7" s="2028"/>
      <c r="R7" s="2028"/>
      <c r="S7" s="2028"/>
      <c r="T7" s="2028"/>
      <c r="U7" s="2028"/>
      <c r="V7" s="2028"/>
    </row>
    <row r="8" spans="1:22" ht="14.25">
      <c r="A8" s="3433" t="s">
        <v>306</v>
      </c>
      <c r="B8" s="3434">
        <v>15</v>
      </c>
      <c r="C8" s="3435"/>
      <c r="D8" s="3437"/>
      <c r="E8" s="261" t="s">
        <v>307</v>
      </c>
      <c r="F8" s="262"/>
      <c r="G8" s="262"/>
      <c r="H8" s="262"/>
      <c r="I8" s="263"/>
      <c r="J8" s="2029"/>
      <c r="K8" s="2028"/>
      <c r="L8" s="2028"/>
      <c r="M8" s="2028"/>
      <c r="N8" s="2028"/>
      <c r="O8" s="2028"/>
      <c r="P8" s="2028"/>
      <c r="Q8" s="2028"/>
      <c r="R8" s="2028"/>
      <c r="S8" s="2028"/>
      <c r="T8" s="2028"/>
      <c r="U8" s="2028"/>
      <c r="V8" s="2028"/>
    </row>
    <row r="9" spans="1:22" ht="14.25">
      <c r="A9" s="3433"/>
      <c r="B9" s="3434"/>
      <c r="C9" s="3436"/>
      <c r="D9" s="3437"/>
      <c r="E9" s="261" t="s">
        <v>308</v>
      </c>
      <c r="F9" s="262"/>
      <c r="G9" s="262"/>
      <c r="H9" s="262"/>
      <c r="I9" s="263"/>
      <c r="J9" s="2029"/>
      <c r="K9" s="2028"/>
      <c r="L9" s="2028"/>
      <c r="M9" s="2028"/>
      <c r="N9" s="2028"/>
      <c r="O9" s="2028"/>
      <c r="P9" s="2028"/>
      <c r="Q9" s="2028"/>
      <c r="R9" s="2028"/>
      <c r="S9" s="2028"/>
      <c r="T9" s="2028"/>
      <c r="U9" s="2028"/>
      <c r="V9" s="2028"/>
    </row>
    <row r="10" spans="1:22" ht="14.25">
      <c r="A10" s="3433" t="s">
        <v>309</v>
      </c>
      <c r="B10" s="3434">
        <v>15</v>
      </c>
      <c r="C10" s="3435"/>
      <c r="D10" s="3437"/>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3"/>
      <c r="B11" s="3434"/>
      <c r="C11" s="3436"/>
      <c r="D11" s="3437"/>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3" t="s">
        <v>312</v>
      </c>
      <c r="B12" s="3434">
        <v>15</v>
      </c>
      <c r="C12" s="3435"/>
      <c r="D12" s="3437"/>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3"/>
      <c r="B13" s="3434"/>
      <c r="C13" s="3436"/>
      <c r="D13" s="3437"/>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3" t="s">
        <v>315</v>
      </c>
      <c r="B14" s="3434">
        <v>30</v>
      </c>
      <c r="C14" s="3435"/>
      <c r="D14" s="3437"/>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3"/>
      <c r="B15" s="3434"/>
      <c r="C15" s="3438"/>
      <c r="D15" s="3437"/>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3"/>
      <c r="B16" s="3434"/>
      <c r="C16" s="3436"/>
      <c r="D16" s="343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SUMIF(INDIRECT("'"&amp;C4&amp;"'"&amp;"!A:A"),'结果表-商业'!B19,INDIRECT("'"&amp;C4&amp;"'"&amp;"!B:B"))</f>
        <v>198267</v>
      </c>
      <c r="D19" s="271">
        <f ca="1">SUMIF(INDIRECT("'"&amp;D4&amp;"'"&amp;"!A:A"),'结果表-商业'!B19,INDIRECT("'"&amp;D4&amp;"'"&amp;"!B:B"))</f>
        <v>142906</v>
      </c>
      <c r="E19" s="268" t="s">
        <v>323</v>
      </c>
      <c r="F19" s="269" t="s">
        <v>322</v>
      </c>
      <c r="G19" s="272">
        <f ca="1">ROUND(C19*$C$18+D19*$D$18,0)</f>
        <v>176123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SUMIF(INDIRECT("'"&amp;C4&amp;"'"&amp;"!A:A"),'结果表-商业'!B20,INDIRECT("'"&amp;C4&amp;"'"&amp;"!B:B"))</f>
        <v>23201</v>
      </c>
      <c r="D20" s="277">
        <f ca="1">SUMIF(INDIRECT("'"&amp;D4&amp;"'"&amp;"!A:A"),'结果表-商业'!B20,INDIRECT("'"&amp;D4&amp;"'"&amp;"!B:B"))</f>
        <v>16723</v>
      </c>
      <c r="E20" s="274"/>
      <c r="F20" s="275" t="s">
        <v>325</v>
      </c>
      <c r="G20" s="278">
        <f ca="1">ROUND(C20*$C$18+D20*$D$18,0)</f>
        <v>20610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SUMIF(INDIRECT("'"&amp;C4&amp;"'"&amp;"!A:A"),'结果表-商业'!B21,INDIRECT("'"&amp;C4&amp;"'"&amp;"!B:B"))</f>
        <v>118675</v>
      </c>
      <c r="D21" s="151">
        <f ca="1">SUMIF(INDIRECT("'"&amp;D4&amp;"'"&amp;"!A:A"),'结果表-商业'!B21,INDIRECT("'"&amp;D4&amp;"'"&amp;"!B:B"))</f>
        <v>85538</v>
      </c>
      <c r="E21" s="274"/>
      <c r="F21" s="280" t="s">
        <v>327</v>
      </c>
      <c r="G21" s="282">
        <f ca="1">ROUND(C21*$C$18+D21*$D$18,0)</f>
        <v>105420</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0.38739451107721168</v>
      </c>
      <c r="E22" s="284"/>
      <c r="F22" s="285"/>
      <c r="G22" s="286">
        <f ca="1">ROUND(G19/('数据-汇总表'!D3/666.67),0)</f>
        <v>1500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3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0"/>
      <c r="B25" s="1320" t="s">
        <v>331</v>
      </c>
      <c r="C25" s="290">
        <f>IF(B30=0,0,C30)</f>
        <v>0</v>
      </c>
      <c r="D25" s="291"/>
      <c r="E25" s="311"/>
      <c r="F25" s="311"/>
      <c r="G25" s="311"/>
      <c r="H25" s="311"/>
      <c r="I25" s="311"/>
      <c r="J25" s="2028"/>
      <c r="K25" s="1254" t="str">
        <f ca="1">项目基本情况!B16&amp;"国有建设用地使用权价格："&amp;O38&amp;"万元"</f>
        <v>国有建设用地使用权价格：176123万元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大写金额：人民币壹拾柒亿陆仟壹佰贰拾叁万元整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单位面积地价：22494元/平方米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楼面地价：4398元/平方米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2966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176123</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4398</v>
      </c>
      <c r="D33" s="1385" t="s">
        <v>1692</v>
      </c>
      <c r="E33" s="3439"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22494</v>
      </c>
      <c r="D34" s="1387" t="s">
        <v>1692</v>
      </c>
      <c r="E34" s="3441"/>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1500</v>
      </c>
      <c r="D35" s="1390" t="s">
        <v>1694</v>
      </c>
      <c r="E35" s="3442"/>
      <c r="F35" s="301" t="s">
        <v>342</v>
      </c>
      <c r="G35" s="982"/>
      <c r="H35" s="981" t="s">
        <v>343</v>
      </c>
      <c r="I35" s="311"/>
      <c r="J35" s="2028"/>
      <c r="K35" s="3430" t="s">
        <v>350</v>
      </c>
      <c r="L35" s="3430" t="s">
        <v>351</v>
      </c>
      <c r="M35" s="1263" t="s">
        <v>352</v>
      </c>
      <c r="N35" s="3430" t="s">
        <v>353</v>
      </c>
      <c r="O35" s="3430" t="s">
        <v>354</v>
      </c>
      <c r="P35" s="2028"/>
      <c r="V35" s="2028"/>
    </row>
    <row r="36" spans="1:26" ht="16.5" customHeight="1">
      <c r="A36" s="303" t="s">
        <v>344</v>
      </c>
      <c r="B36" s="304" t="s">
        <v>333</v>
      </c>
      <c r="C36" s="305" t="s">
        <v>345</v>
      </c>
      <c r="D36" s="305" t="s">
        <v>346</v>
      </c>
      <c r="E36" s="306" t="s">
        <v>347</v>
      </c>
      <c r="F36" s="311"/>
      <c r="G36" s="311"/>
      <c r="H36" s="311"/>
      <c r="I36" s="311"/>
      <c r="J36" s="2030"/>
      <c r="K36" s="3431"/>
      <c r="L36" s="3431"/>
      <c r="M36" s="1265" t="s">
        <v>355</v>
      </c>
      <c r="N36" s="3431"/>
      <c r="O36" s="3431"/>
      <c r="P36" s="2028"/>
      <c r="V36" s="2028"/>
    </row>
    <row r="37" spans="1:26" ht="16.5" customHeight="1" thickBot="1">
      <c r="A37" s="1259" t="s">
        <v>348</v>
      </c>
      <c r="B37" s="307"/>
      <c r="C37" s="294"/>
      <c r="D37" s="294"/>
      <c r="E37" s="295"/>
      <c r="F37" s="311"/>
      <c r="G37" s="311"/>
      <c r="H37" s="311"/>
      <c r="I37" s="311"/>
      <c r="J37" s="2030"/>
      <c r="K37" s="3432"/>
      <c r="L37" s="3432"/>
      <c r="M37" s="1266"/>
      <c r="N37" s="3432"/>
      <c r="O37" s="3432"/>
      <c r="P37" s="2028"/>
      <c r="V37" s="2028"/>
    </row>
    <row r="38" spans="1:26" ht="16.5" customHeight="1" thickBot="1">
      <c r="A38" s="1259" t="s">
        <v>349</v>
      </c>
      <c r="B38" s="307"/>
      <c r="C38" s="294"/>
      <c r="D38" s="294"/>
      <c r="E38" s="295"/>
      <c r="F38" s="311"/>
      <c r="G38" s="311"/>
      <c r="H38" s="311"/>
      <c r="I38" s="311"/>
      <c r="J38" s="2030"/>
      <c r="K38" s="1267">
        <f>'数据-汇总表'!D3</f>
        <v>78298.679999999993</v>
      </c>
      <c r="L38" s="1268">
        <f>'数据-汇总表'!E3</f>
        <v>400500</v>
      </c>
      <c r="M38" s="1268">
        <f ca="1">C34</f>
        <v>22494</v>
      </c>
      <c r="N38" s="1268">
        <f ca="1">C33</f>
        <v>4398</v>
      </c>
      <c r="O38" s="1269">
        <f ca="1">C32</f>
        <v>176123</v>
      </c>
      <c r="P38" s="2028"/>
      <c r="V38" s="2028"/>
    </row>
    <row r="39" spans="1:26" ht="16.5" customHeight="1" thickBot="1">
      <c r="A39" s="1264"/>
      <c r="B39" s="308"/>
      <c r="C39" s="309"/>
      <c r="D39" s="309"/>
      <c r="E39" s="310"/>
      <c r="F39" s="311"/>
      <c r="G39" s="311"/>
      <c r="H39" s="311"/>
      <c r="I39" s="311"/>
      <c r="J39" s="2030"/>
      <c r="K39" s="3412" t="str">
        <f>MID(A44,3,LEN(A44)-2)</f>
        <v/>
      </c>
      <c r="L39" s="3413"/>
      <c r="M39" s="3413"/>
      <c r="N39" s="3414"/>
      <c r="O39" s="1392" t="str">
        <f>C44</f>
        <v>——</v>
      </c>
      <c r="P39" s="2028"/>
      <c r="V39" s="2028"/>
    </row>
    <row r="40" spans="1:26" ht="19.5" thickBot="1">
      <c r="A40" s="104" t="s">
        <v>873</v>
      </c>
      <c r="B40" s="311"/>
      <c r="C40" s="311"/>
      <c r="D40" s="311"/>
      <c r="E40" s="311"/>
      <c r="F40" s="311"/>
      <c r="G40" s="311"/>
      <c r="H40" s="311"/>
      <c r="I40" s="311"/>
      <c r="J40" s="2030"/>
      <c r="K40" s="3412" t="str">
        <f t="shared" ref="K40:K41" si="0">MID(A45,3,LEN(A45)-2)</f>
        <v/>
      </c>
      <c r="L40" s="3413"/>
      <c r="M40" s="3413"/>
      <c r="N40" s="3414"/>
      <c r="O40" s="1392" t="str">
        <f>C45</f>
        <v>——</v>
      </c>
      <c r="P40" s="2028"/>
      <c r="V40" s="2028"/>
    </row>
    <row r="41" spans="1:26" ht="16.5" thickBot="1">
      <c r="A41" s="312" t="s">
        <v>356</v>
      </c>
      <c r="B41" s="313"/>
      <c r="C41" s="314" t="s">
        <v>357</v>
      </c>
      <c r="D41" s="315" t="s">
        <v>358</v>
      </c>
      <c r="E41" s="315" t="s">
        <v>359</v>
      </c>
      <c r="F41" s="316" t="s">
        <v>360</v>
      </c>
      <c r="G41" s="311"/>
      <c r="H41" s="311"/>
      <c r="I41" s="311"/>
      <c r="J41" s="2030"/>
      <c r="K41" s="3412" t="str">
        <f t="shared" si="0"/>
        <v/>
      </c>
      <c r="L41" s="3413"/>
      <c r="M41" s="3413"/>
      <c r="N41" s="3414"/>
      <c r="O41" s="1392" t="str">
        <f>C46</f>
        <v>——</v>
      </c>
      <c r="P41" s="2028"/>
      <c r="V41" s="2028"/>
    </row>
    <row r="42" spans="1:26" ht="29.25">
      <c r="A42" s="3415" t="s">
        <v>2068</v>
      </c>
      <c r="B42" s="3416"/>
      <c r="C42" s="264">
        <f ca="1">C32</f>
        <v>176123</v>
      </c>
      <c r="D42" s="317">
        <f ca="1">C33</f>
        <v>4398</v>
      </c>
      <c r="E42" s="317">
        <f ca="1">C34</f>
        <v>22494</v>
      </c>
      <c r="F42" s="318">
        <f ca="1">C35</f>
        <v>1500</v>
      </c>
      <c r="G42" s="311"/>
      <c r="H42" s="311"/>
      <c r="I42" s="319"/>
      <c r="J42" s="2030"/>
      <c r="K42" s="1270" t="s">
        <v>361</v>
      </c>
      <c r="L42" s="2047" t="s">
        <v>362</v>
      </c>
      <c r="M42" s="1271" t="s">
        <v>363</v>
      </c>
      <c r="N42" s="2048" t="s">
        <v>364</v>
      </c>
      <c r="O42" s="2049" t="s">
        <v>365</v>
      </c>
      <c r="P42" s="2028"/>
      <c r="V42" s="2028"/>
    </row>
    <row r="43" spans="1:26" ht="18">
      <c r="A43" s="3417" t="s">
        <v>2731</v>
      </c>
      <c r="B43" s="3418"/>
      <c r="C43" s="264">
        <f>IF(H33="正常操作",G33+G34+G35,G34+G35)</f>
        <v>0</v>
      </c>
      <c r="D43" s="317" t="s">
        <v>43</v>
      </c>
      <c r="E43" s="317" t="s">
        <v>43</v>
      </c>
      <c r="F43" s="318" t="s">
        <v>43</v>
      </c>
      <c r="G43" s="2845" t="s">
        <v>952</v>
      </c>
      <c r="H43" s="311"/>
      <c r="I43" s="319"/>
      <c r="J43" s="2030"/>
      <c r="K43" s="1272" t="str">
        <f>C4</f>
        <v>剩余法-商业</v>
      </c>
      <c r="L43" s="1273">
        <f ca="1">IF(L42="估价结果/万元",C19,C20)</f>
        <v>198267</v>
      </c>
      <c r="M43" s="1274">
        <f>C18</f>
        <v>0.6</v>
      </c>
      <c r="N43" s="1275">
        <f ca="1">IF(N42="测算结果/万元",G19,G20)</f>
        <v>176123</v>
      </c>
      <c r="O43" s="1276">
        <f ca="1">IF(O42="最终结果/万元",C32,C33)</f>
        <v>176123</v>
      </c>
      <c r="P43" s="2028"/>
      <c r="V43" s="2028"/>
    </row>
    <row r="44" spans="1:26" ht="30.75" thickBot="1">
      <c r="A44" s="3415" t="str">
        <f>IF(OR(项目基本情况!E8="抵押价格",项目基本情况!E8="已注销及未注销"),"3.抵押价格","——")</f>
        <v>——</v>
      </c>
      <c r="B44" s="3416"/>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基准地价-商业</v>
      </c>
      <c r="L44" s="1278">
        <f ca="1">IF(L42="估价结果/万元",D19,D20)</f>
        <v>142906</v>
      </c>
      <c r="M44" s="1279">
        <f>D18</f>
        <v>0.4</v>
      </c>
      <c r="N44" s="1280"/>
      <c r="O44" s="1281"/>
      <c r="P44" s="2028"/>
      <c r="V44" s="2028"/>
    </row>
    <row r="45" spans="1:26" ht="15">
      <c r="A45" s="3419" t="str">
        <f>IF(项目基本情况!E8="已注销及未注销","4.抵押担保权已注销时的抵押价格",IF(项目基本情况!E8="已注销","3.抵押担保权已注销时的抵押价格","——"))</f>
        <v>——</v>
      </c>
      <c r="B45" s="34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21" t="str">
        <f>IF(项目基本情况!E9="抵押净值",IF(A45="——","4.抵押净值","5.抵押净值"),"——")</f>
        <v>——</v>
      </c>
      <c r="B46" s="342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23" t="s">
        <v>374</v>
      </c>
      <c r="B63" s="3424"/>
      <c r="C63" s="3425"/>
      <c r="D63" s="341">
        <f ca="1">ROUND(C42*F63,0)</f>
        <v>105674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426" t="s">
        <v>378</v>
      </c>
      <c r="B64" s="3427"/>
      <c r="C64" s="3427"/>
      <c r="D64" s="3427"/>
      <c r="E64" s="3427"/>
      <c r="F64" s="3427"/>
      <c r="G64" s="3428"/>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429" t="s">
        <v>386</v>
      </c>
      <c r="B66" s="3396"/>
      <c r="C66" s="3396"/>
      <c r="D66" s="261">
        <f ca="1">IF(H66="情况1",0,IF(H66="情况2",D70,IF(H66="情况3",D71,IF(H66="情况4",D72))))</f>
        <v>5636</v>
      </c>
      <c r="E66" s="3182" t="str">
        <f>IF(H66="情况4","(销售额-原购置价)×税（费）率","销售额×税（费）率")</f>
        <v>销售额×税（费）率</v>
      </c>
      <c r="F66" s="350">
        <f>IF(H66="情况1","免征",'数据-取费表'!B41)</f>
        <v>5.6000000000000001E-2</v>
      </c>
      <c r="G66" s="351" t="s">
        <v>387</v>
      </c>
      <c r="H66" s="191" t="s">
        <v>388</v>
      </c>
      <c r="I66" s="1287"/>
      <c r="J66" s="2034"/>
      <c r="K66" s="3192">
        <v>1</v>
      </c>
      <c r="L66" s="3410" t="s">
        <v>385</v>
      </c>
      <c r="M66" s="3411"/>
      <c r="N66" s="2437"/>
      <c r="O66" s="2438"/>
      <c r="P66" s="2439"/>
      <c r="Q66" s="2028"/>
      <c r="R66" s="2028"/>
      <c r="S66" s="2028"/>
      <c r="T66" s="2028"/>
      <c r="U66" s="2028"/>
      <c r="V66" s="2028"/>
    </row>
    <row r="67" spans="1:22" ht="25.5" customHeight="1">
      <c r="A67" s="352" t="s">
        <v>390</v>
      </c>
      <c r="B67" s="3383" t="s">
        <v>391</v>
      </c>
      <c r="C67" s="3383"/>
      <c r="D67" s="353">
        <v>0</v>
      </c>
      <c r="E67" s="41" t="s">
        <v>392</v>
      </c>
      <c r="F67" s="62" t="s">
        <v>21</v>
      </c>
      <c r="G67" s="3402"/>
      <c r="H67" s="311"/>
      <c r="I67" s="1291"/>
      <c r="J67" s="2035"/>
      <c r="K67" s="3189">
        <v>2</v>
      </c>
      <c r="L67" s="3405" t="s">
        <v>389</v>
      </c>
      <c r="M67" s="3405"/>
      <c r="N67" s="1324">
        <f>'数据-取费表'!B2</f>
        <v>43388</v>
      </c>
      <c r="O67" s="1324"/>
      <c r="P67" s="1324"/>
      <c r="Q67" s="2028"/>
      <c r="R67" s="2028"/>
      <c r="S67" s="2028"/>
      <c r="T67" s="2028"/>
      <c r="U67" s="2028"/>
      <c r="V67" s="2028"/>
    </row>
    <row r="68" spans="1:22" ht="25.5" customHeight="1">
      <c r="A68" s="354"/>
      <c r="B68" s="3383" t="s">
        <v>394</v>
      </c>
      <c r="C68" s="3383"/>
      <c r="D68" s="355"/>
      <c r="E68" s="77"/>
      <c r="F68" s="356"/>
      <c r="G68" s="3403"/>
      <c r="H68" s="311"/>
      <c r="I68" s="1291"/>
      <c r="J68" s="2035"/>
      <c r="K68" s="3189">
        <v>3</v>
      </c>
      <c r="L68" s="3405" t="s">
        <v>393</v>
      </c>
      <c r="M68" s="3405"/>
      <c r="N68" s="1292">
        <f ca="1">C42</f>
        <v>176123</v>
      </c>
      <c r="O68" s="1292"/>
      <c r="P68" s="1292"/>
      <c r="Q68" s="2028"/>
      <c r="R68" s="2028"/>
      <c r="S68" s="2028"/>
      <c r="T68" s="2028"/>
      <c r="U68" s="2028"/>
      <c r="V68" s="2028"/>
    </row>
    <row r="69" spans="1:22" ht="12" customHeight="1">
      <c r="A69" s="357"/>
      <c r="B69" s="3383" t="s">
        <v>395</v>
      </c>
      <c r="C69" s="3383"/>
      <c r="D69" s="358"/>
      <c r="E69" s="73"/>
      <c r="F69" s="356"/>
      <c r="G69" s="3404"/>
      <c r="H69" s="311"/>
      <c r="I69" s="1291"/>
      <c r="J69" s="2035"/>
      <c r="K69" s="3191">
        <v>4</v>
      </c>
      <c r="L69" s="3406" t="s">
        <v>2882</v>
      </c>
      <c r="M69" s="3407"/>
      <c r="N69" s="1294" t="str">
        <f>C44</f>
        <v>——</v>
      </c>
      <c r="O69" s="1294"/>
      <c r="P69" s="1294"/>
      <c r="Q69" s="2028"/>
      <c r="R69" s="2028"/>
      <c r="S69" s="2028"/>
      <c r="T69" s="2028"/>
      <c r="U69" s="2028"/>
      <c r="V69" s="2028"/>
    </row>
    <row r="70" spans="1:22" ht="24" customHeight="1">
      <c r="A70" s="359" t="s">
        <v>396</v>
      </c>
      <c r="B70" s="3383" t="s">
        <v>397</v>
      </c>
      <c r="C70" s="3383"/>
      <c r="D70" s="358">
        <f ca="1">ROUND(D63*'数据-取费表'!B41/(1+'数据-取费表'!C42),0)</f>
        <v>5636</v>
      </c>
      <c r="E70" s="17" t="s">
        <v>398</v>
      </c>
      <c r="F70" s="360">
        <f>'数据-取费表'!B41</f>
        <v>5.6000000000000001E-2</v>
      </c>
      <c r="G70" s="361"/>
      <c r="H70" s="311"/>
      <c r="I70" s="1291"/>
      <c r="J70" s="2035"/>
      <c r="K70" s="3038"/>
      <c r="L70" s="3039"/>
      <c r="M70" s="3039"/>
      <c r="N70" s="3040" t="s">
        <v>2887</v>
      </c>
      <c r="O70" s="3039"/>
      <c r="P70" s="3041"/>
      <c r="Q70" s="2028"/>
      <c r="R70" s="2028"/>
      <c r="S70" s="2028"/>
      <c r="T70" s="2028"/>
      <c r="U70" s="2028"/>
      <c r="V70" s="2028"/>
    </row>
    <row r="71" spans="1:22" ht="12" customHeight="1">
      <c r="A71" s="359" t="s">
        <v>404</v>
      </c>
      <c r="B71" s="3382" t="s">
        <v>405</v>
      </c>
      <c r="C71" s="3408"/>
      <c r="D71" s="358">
        <f ca="1">ROUND(D63*'数据-取费表'!B41/(1+'数据-取费表'!C42),0)</f>
        <v>5636</v>
      </c>
      <c r="E71" s="17" t="s">
        <v>398</v>
      </c>
      <c r="F71" s="360">
        <f>'数据-取费表'!B41</f>
        <v>5.6000000000000001E-2</v>
      </c>
      <c r="G71" s="361"/>
      <c r="H71" s="311"/>
      <c r="I71" s="1291"/>
      <c r="J71" s="2035"/>
      <c r="K71" s="3193" t="s">
        <v>399</v>
      </c>
      <c r="L71" s="3409" t="s">
        <v>400</v>
      </c>
      <c r="M71" s="3409"/>
      <c r="N71" s="3193" t="s">
        <v>401</v>
      </c>
      <c r="O71" s="3193" t="s">
        <v>402</v>
      </c>
      <c r="P71" s="3193" t="s">
        <v>403</v>
      </c>
      <c r="Q71" s="2028"/>
      <c r="R71" s="2028"/>
      <c r="S71" s="2028"/>
      <c r="T71" s="2028"/>
      <c r="U71" s="2028"/>
      <c r="V71" s="2028"/>
    </row>
    <row r="72" spans="1:22" ht="12" customHeight="1">
      <c r="A72" s="359" t="s">
        <v>407</v>
      </c>
      <c r="B72" s="3382" t="s">
        <v>408</v>
      </c>
      <c r="C72" s="3408"/>
      <c r="D72" s="358">
        <f ca="1">C86</f>
        <v>5524</v>
      </c>
      <c r="E72" s="73" t="s">
        <v>409</v>
      </c>
      <c r="F72" s="360">
        <f>'数据-取费表'!B41</f>
        <v>5.6000000000000001E-2</v>
      </c>
      <c r="G72" s="361"/>
      <c r="H72" s="1297"/>
      <c r="I72" s="1291"/>
      <c r="J72" s="2035"/>
      <c r="K72" s="3189">
        <v>1</v>
      </c>
      <c r="L72" s="3391" t="s">
        <v>406</v>
      </c>
      <c r="M72" s="3391"/>
      <c r="N72" s="1295">
        <f ca="1">D66</f>
        <v>5636</v>
      </c>
      <c r="O72" s="3188" t="str">
        <f>E66</f>
        <v>销售额×税（费）率</v>
      </c>
      <c r="P72" s="1296">
        <f>F66</f>
        <v>5.6000000000000001E-2</v>
      </c>
      <c r="Q72" s="2028"/>
      <c r="R72" s="2028"/>
      <c r="S72" s="2028"/>
      <c r="T72" s="2028"/>
      <c r="U72" s="2028"/>
      <c r="V72" s="2028"/>
    </row>
    <row r="73" spans="1:22" ht="24" customHeight="1">
      <c r="A73" s="3395" t="s">
        <v>411</v>
      </c>
      <c r="B73" s="3396"/>
      <c r="C73" s="3396"/>
      <c r="D73" s="362">
        <f>IF(H73="个人住宅",0,ROUND(D63*I73,0))</f>
        <v>0</v>
      </c>
      <c r="E73" s="17" t="s">
        <v>412</v>
      </c>
      <c r="F73" s="360" t="str">
        <f>IF(H73="正常",I73,"免征")</f>
        <v>免征</v>
      </c>
      <c r="G73" s="361"/>
      <c r="H73" s="191" t="s">
        <v>2456</v>
      </c>
      <c r="I73" s="360">
        <f>'数据-取费表'!B49</f>
        <v>5.0000000000000001E-4</v>
      </c>
      <c r="J73" s="2035"/>
      <c r="K73" s="3189">
        <v>2</v>
      </c>
      <c r="L73" s="3391" t="s">
        <v>410</v>
      </c>
      <c r="M73" s="3391"/>
      <c r="N73" s="1295">
        <f t="shared" ref="N73:P74" si="1">D73</f>
        <v>0</v>
      </c>
      <c r="O73" s="3188" t="str">
        <f t="shared" si="1"/>
        <v>销售额×税（费）率</v>
      </c>
      <c r="P73" s="1296" t="str">
        <f t="shared" si="1"/>
        <v>免征</v>
      </c>
      <c r="Q73" s="2028"/>
      <c r="R73" s="2028"/>
      <c r="S73" s="2028"/>
      <c r="T73" s="2028"/>
      <c r="U73" s="2028"/>
      <c r="V73" s="2028"/>
    </row>
    <row r="74" spans="1:22" ht="24.75">
      <c r="A74" s="3395" t="s">
        <v>415</v>
      </c>
      <c r="B74" s="3396"/>
      <c r="C74" s="3396"/>
      <c r="D74" s="362">
        <f ca="1">IF(H74="个人住宅",D75,D76)</f>
        <v>59156</v>
      </c>
      <c r="E74" s="17" t="s">
        <v>416</v>
      </c>
      <c r="F74" s="360" t="str">
        <f>IF(H74="正常",F76,"免征")</f>
        <v>——</v>
      </c>
      <c r="G74" s="983" t="s">
        <v>417</v>
      </c>
      <c r="H74" s="363" t="s">
        <v>413</v>
      </c>
      <c r="I74" s="42"/>
      <c r="J74" s="2035"/>
      <c r="K74" s="3189">
        <v>3</v>
      </c>
      <c r="L74" s="3391" t="s">
        <v>414</v>
      </c>
      <c r="M74" s="3391"/>
      <c r="N74" s="1295">
        <f t="shared" ca="1" si="1"/>
        <v>59156</v>
      </c>
      <c r="O74" s="3188" t="str">
        <f t="shared" si="1"/>
        <v>增值额×税（费）率</v>
      </c>
      <c r="P74" s="1298" t="str">
        <f t="shared" si="1"/>
        <v>——</v>
      </c>
      <c r="Q74" s="2028"/>
      <c r="R74" s="2028"/>
      <c r="S74" s="2028"/>
      <c r="T74" s="2028"/>
      <c r="U74" s="2028"/>
      <c r="V74" s="2028"/>
    </row>
    <row r="75" spans="1:22" ht="24">
      <c r="A75" s="359" t="s">
        <v>418</v>
      </c>
      <c r="B75" s="3397" t="s">
        <v>419</v>
      </c>
      <c r="C75" s="3398"/>
      <c r="D75" s="364">
        <v>0</v>
      </c>
      <c r="E75" s="41" t="s">
        <v>420</v>
      </c>
      <c r="F75" s="365"/>
      <c r="G75" s="361"/>
      <c r="H75" s="42"/>
      <c r="I75" s="42"/>
      <c r="J75" s="2035"/>
      <c r="K75" s="3189">
        <f>IF(H77="非个人房产","",4)</f>
        <v>4</v>
      </c>
      <c r="L75" s="3391" t="str">
        <f>IF(H77="非个人房产","——","个人所得税")</f>
        <v>个人所得税</v>
      </c>
      <c r="M75" s="3391"/>
      <c r="N75" s="1299">
        <f ca="1">D77</f>
        <v>1057</v>
      </c>
      <c r="O75" s="1872" t="str">
        <f>E77</f>
        <v>销售额×税（费）率</v>
      </c>
      <c r="P75" s="1300">
        <f>F77</f>
        <v>0.01</v>
      </c>
      <c r="Q75" s="2028"/>
      <c r="R75" s="2028"/>
      <c r="S75" s="2028"/>
      <c r="T75" s="2028"/>
      <c r="U75" s="2028"/>
      <c r="V75" s="2028"/>
    </row>
    <row r="76" spans="1:22" ht="24.75">
      <c r="A76" s="359" t="s">
        <v>396</v>
      </c>
      <c r="B76" s="3397" t="s">
        <v>422</v>
      </c>
      <c r="C76" s="3399"/>
      <c r="D76" s="362">
        <f ca="1">IF(H76="转让取得",C99,C115)</f>
        <v>59156</v>
      </c>
      <c r="E76" s="17" t="s">
        <v>423</v>
      </c>
      <c r="F76" s="53" t="s">
        <v>21</v>
      </c>
      <c r="G76" s="361"/>
      <c r="H76" s="363" t="s">
        <v>424</v>
      </c>
      <c r="I76" s="42"/>
      <c r="J76" s="2035"/>
      <c r="K76" s="3189" t="str">
        <f>IF(项目基本情况!K6="上海银行",IF(K75="",4,K75+1),"")</f>
        <v/>
      </c>
      <c r="L76" s="3400" t="str">
        <f>IF(项目基本情况!K6="上海银行","其他处置费用","")</f>
        <v/>
      </c>
      <c r="M76" s="3401"/>
      <c r="N76" s="1295"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6.25" thickBot="1">
      <c r="A77" s="3388" t="s">
        <v>426</v>
      </c>
      <c r="B77" s="3389"/>
      <c r="C77" s="3389"/>
      <c r="D77" s="366">
        <f ca="1">IF(H77="非个人房产","——",IF(H77="个人住宅",0,ROUND(D63*I77,0)))</f>
        <v>1057</v>
      </c>
      <c r="E77" s="367" t="str">
        <f>IF(H77="非个人房产","——","销售额×税（费）率")</f>
        <v>销售额×税（费）率</v>
      </c>
      <c r="F77" s="368">
        <f>IF(H77="非个人房产","——",IF(H77="个人住宅","免征",I77))</f>
        <v>0.01</v>
      </c>
      <c r="G77" s="984" t="s">
        <v>417</v>
      </c>
      <c r="H77" s="363" t="s">
        <v>2883</v>
      </c>
      <c r="I77" s="369">
        <v>0.01</v>
      </c>
      <c r="J77" s="2035"/>
      <c r="K77" s="3390">
        <f>IF(AND(K75="",K76=""),4,IF(项目基本情况!K6="上海银行",K76+1,K75+1))</f>
        <v>5</v>
      </c>
      <c r="L77" s="3391" t="s">
        <v>2884</v>
      </c>
      <c r="M77" s="3036" t="s">
        <v>421</v>
      </c>
      <c r="N77" s="1301"/>
      <c r="O77" s="1302">
        <f ca="1">SUMIF(N72:N76,"&lt;9e307")</f>
        <v>65849</v>
      </c>
      <c r="P77" s="1303"/>
      <c r="Q77" s="3034" t="e">
        <f ca="1">O77/N69</f>
        <v>#VALUE!</v>
      </c>
      <c r="R77" s="2028"/>
      <c r="S77" s="2028"/>
      <c r="T77" s="2028"/>
      <c r="U77" s="2028"/>
      <c r="V77" s="2028"/>
    </row>
    <row r="78" spans="1:22" ht="12" customHeight="1">
      <c r="A78" s="1304"/>
      <c r="B78" s="311"/>
      <c r="C78" s="311"/>
      <c r="D78" s="311"/>
      <c r="E78" s="42"/>
      <c r="F78" s="42"/>
      <c r="G78" s="42"/>
      <c r="H78" s="1003"/>
      <c r="I78" s="311"/>
      <c r="J78" s="2035"/>
      <c r="K78" s="3390"/>
      <c r="L78" s="3391"/>
      <c r="M78" s="3036" t="s">
        <v>425</v>
      </c>
      <c r="N78" s="1301"/>
      <c r="O78" s="1302" t="str">
        <f ca="1">NUMBERSTRING(INT(O77*10000),2)&amp;"元整"</f>
        <v>陆亿伍仟捌佰肆拾玖万元整</v>
      </c>
      <c r="P78" s="1303"/>
      <c r="Q78" s="2028"/>
      <c r="R78" s="2028"/>
      <c r="S78" s="2028"/>
      <c r="T78" s="2028"/>
      <c r="U78" s="2028"/>
      <c r="V78" s="2028"/>
    </row>
    <row r="79" spans="1:22" ht="13.5" thickBot="1">
      <c r="A79" s="3392" t="s">
        <v>427</v>
      </c>
      <c r="B79" s="3392"/>
      <c r="C79" s="3392"/>
      <c r="D79" s="3392"/>
      <c r="E79" s="3392"/>
      <c r="F79" s="42"/>
      <c r="G79" s="42"/>
      <c r="H79" s="1003"/>
      <c r="I79" s="311"/>
      <c r="J79" s="2035"/>
      <c r="K79" s="3393">
        <f>K77+1</f>
        <v>6</v>
      </c>
      <c r="L79" s="3391" t="s">
        <v>2885</v>
      </c>
      <c r="M79" s="3036" t="s">
        <v>421</v>
      </c>
      <c r="N79" s="1301"/>
      <c r="O79" s="1302" t="e">
        <f ca="1">N69-O77</f>
        <v>#VALUE!</v>
      </c>
      <c r="P79" s="1303"/>
      <c r="Q79" s="2028"/>
      <c r="R79" s="2028"/>
      <c r="S79" s="2028"/>
      <c r="T79" s="2028"/>
      <c r="U79" s="2028"/>
      <c r="V79" s="2028"/>
    </row>
    <row r="80" spans="1:22" ht="12.75">
      <c r="A80" s="3380" t="s">
        <v>428</v>
      </c>
      <c r="B80" s="3381"/>
      <c r="C80" s="3187"/>
      <c r="D80" s="3187" t="s">
        <v>429</v>
      </c>
      <c r="E80" s="370" t="s">
        <v>430</v>
      </c>
      <c r="F80" s="42"/>
      <c r="G80" s="42"/>
      <c r="H80" s="1003"/>
      <c r="I80" s="311"/>
      <c r="J80" s="2028"/>
      <c r="K80" s="3394"/>
      <c r="L80" s="3391"/>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100642</v>
      </c>
      <c r="D81" s="373"/>
      <c r="E81" s="374"/>
      <c r="F81" s="42"/>
      <c r="G81" s="42"/>
      <c r="H81" s="1003"/>
      <c r="I81" s="311"/>
      <c r="J81" s="2028"/>
      <c r="K81" s="3189">
        <f>K79+1</f>
        <v>7</v>
      </c>
      <c r="L81" s="3375" t="s">
        <v>2886</v>
      </c>
      <c r="M81" s="3376"/>
      <c r="N81" s="1305"/>
      <c r="O81" s="1306" t="e">
        <f ca="1">ROUND(O79*10000/'数据-汇总表'!E3,0)</f>
        <v>#VALUE!</v>
      </c>
      <c r="P81" s="1307"/>
      <c r="Q81" s="2028"/>
      <c r="R81" s="2028"/>
      <c r="S81" s="2028"/>
      <c r="T81" s="2028"/>
      <c r="U81" s="2028"/>
      <c r="V81" s="2028"/>
    </row>
    <row r="82" spans="1:26" ht="13.5" thickTop="1">
      <c r="A82" s="375" t="s">
        <v>1825</v>
      </c>
      <c r="B82" s="376" t="s">
        <v>432</v>
      </c>
      <c r="C82" s="377">
        <f ca="1">D63</f>
        <v>105674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77" t="s">
        <v>2873</v>
      </c>
      <c r="L83" s="3190" t="s">
        <v>2874</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2938</v>
      </c>
      <c r="F84" s="42"/>
      <c r="G84" s="42"/>
      <c r="H84" s="1003"/>
      <c r="I84" s="311"/>
      <c r="J84" s="2028"/>
      <c r="K84" s="3377"/>
      <c r="L84" s="3190" t="s">
        <v>2875</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2876</v>
      </c>
      <c r="P84" s="2028"/>
      <c r="Q84" s="2028"/>
      <c r="R84" s="2028"/>
      <c r="S84" s="2028"/>
      <c r="T84" s="2028"/>
      <c r="U84" s="2028"/>
      <c r="V84" s="2028"/>
    </row>
    <row r="85" spans="1:26" ht="12.75">
      <c r="A85" s="381" t="s">
        <v>1828</v>
      </c>
      <c r="B85" s="382" t="s">
        <v>435</v>
      </c>
      <c r="C85" s="385">
        <f ca="1">C81-C84</f>
        <v>98642</v>
      </c>
      <c r="D85" s="378" t="s">
        <v>19</v>
      </c>
      <c r="E85" s="379"/>
      <c r="F85" s="42"/>
      <c r="G85" s="42"/>
      <c r="H85" s="1003"/>
      <c r="I85" s="311"/>
      <c r="J85" s="2028"/>
      <c r="K85" s="3377"/>
      <c r="L85" s="3190" t="s">
        <v>2877</v>
      </c>
      <c r="M85" s="3032" t="e">
        <f>IF(N69&gt;1000,N69*0.1%,IF(AND(N69&gt;500,N69&lt;=1000),N69*0.5%,IF(AND(N69&gt;50,N69&lt;=500),N69*1%,IF(AND(N69&gt;1,N69&lt;=50),N69*1.5%))))</f>
        <v>#VALUE!</v>
      </c>
      <c r="N85" s="53" t="e">
        <f t="shared" si="2"/>
        <v>#VALUE!</v>
      </c>
      <c r="O85" s="2028" t="s">
        <v>2876</v>
      </c>
      <c r="P85" s="2028"/>
      <c r="Q85" s="2028"/>
      <c r="R85" s="2028"/>
      <c r="S85" s="2028"/>
      <c r="T85" s="2028"/>
      <c r="U85" s="2028"/>
      <c r="V85" s="2028"/>
    </row>
    <row r="86" spans="1:26" ht="13.5" thickBot="1">
      <c r="A86" s="386" t="s">
        <v>1829</v>
      </c>
      <c r="B86" s="387" t="s">
        <v>436</v>
      </c>
      <c r="C86" s="388">
        <f ca="1">IF(C85&lt;=0,0,ROUND(C85*D86,0))</f>
        <v>5524</v>
      </c>
      <c r="D86" s="389">
        <f>'数据-取费表'!B41</f>
        <v>5.6000000000000001E-2</v>
      </c>
      <c r="E86" s="390"/>
      <c r="F86" s="42"/>
      <c r="G86" s="42"/>
      <c r="H86" s="1003"/>
      <c r="I86" s="311"/>
      <c r="J86" s="2028"/>
      <c r="K86" s="3377"/>
      <c r="L86" s="3190" t="s">
        <v>2878</v>
      </c>
      <c r="M86" s="3032"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77"/>
      <c r="L87" s="3190" t="s">
        <v>2880</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78" t="s">
        <v>437</v>
      </c>
      <c r="B88" s="3379"/>
      <c r="C88" s="3379"/>
      <c r="D88" s="3379"/>
      <c r="E88" s="3379"/>
      <c r="F88" s="3379"/>
      <c r="G88" s="3379"/>
      <c r="H88" s="3379"/>
      <c r="I88" s="1314"/>
      <c r="J88" s="2036"/>
      <c r="K88" s="3377"/>
      <c r="L88" s="3190" t="s">
        <v>2881</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80" t="s">
        <v>428</v>
      </c>
      <c r="B89" s="3381"/>
      <c r="C89" s="3187"/>
      <c r="D89" s="3187" t="s">
        <v>429</v>
      </c>
      <c r="E89" s="391" t="s">
        <v>438</v>
      </c>
      <c r="F89" s="392"/>
      <c r="G89" s="392"/>
      <c r="H89" s="393"/>
      <c r="I89" s="1315"/>
      <c r="J89" s="2038"/>
      <c r="K89" s="3377"/>
      <c r="L89" s="3190"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100642</v>
      </c>
      <c r="D90" s="378" t="s">
        <v>19</v>
      </c>
      <c r="E90" s="3181"/>
      <c r="F90" s="3180"/>
      <c r="G90" s="318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1827</v>
      </c>
      <c r="B91" s="348" t="s">
        <v>440</v>
      </c>
      <c r="C91" s="385">
        <f ca="1">C92+C96</f>
        <v>3165</v>
      </c>
      <c r="D91" s="378" t="s">
        <v>19</v>
      </c>
      <c r="E91" s="3181"/>
      <c r="F91" s="3180"/>
      <c r="G91" s="318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1825</v>
      </c>
      <c r="B92" s="376" t="s">
        <v>441</v>
      </c>
      <c r="C92" s="378">
        <f>ROUND(IF(G95="2016年5月1日后购买",C93/(1+'数据-取费表'!C30)+C94+C95,C93+C94+C95),0)</f>
        <v>2561</v>
      </c>
      <c r="D92" s="378" t="s">
        <v>19</v>
      </c>
      <c r="E92" s="3181"/>
      <c r="F92" s="3180"/>
      <c r="G92" s="318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82" t="s">
        <v>447</v>
      </c>
      <c r="F94" s="3383"/>
      <c r="G94" s="3383"/>
      <c r="H94" s="338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3186"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1826</v>
      </c>
      <c r="B96" s="376" t="s">
        <v>450</v>
      </c>
      <c r="C96" s="405">
        <f ca="1">ROUND(D63*D96/(1+'数据-取费表'!C42),0)</f>
        <v>604</v>
      </c>
      <c r="D96" s="406">
        <f>'数据-取费表'!B43</f>
        <v>6.000000000000001E-3</v>
      </c>
      <c r="E96" s="3385" t="s">
        <v>2429</v>
      </c>
      <c r="F96" s="3373"/>
      <c r="G96" s="3373"/>
      <c r="H96" s="337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1828</v>
      </c>
      <c r="B97" s="382" t="s">
        <v>451</v>
      </c>
      <c r="C97" s="385">
        <f ca="1">C90-C91</f>
        <v>97477</v>
      </c>
      <c r="D97" s="378" t="s">
        <v>19</v>
      </c>
      <c r="E97" s="3181"/>
      <c r="F97" s="3180"/>
      <c r="G97" s="318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1829</v>
      </c>
      <c r="B98" s="382" t="s">
        <v>452</v>
      </c>
      <c r="C98" s="407">
        <f ca="1">IF(C97&lt;=0,0,C97/C91)</f>
        <v>30.798420221169035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80"/>
      <c r="G98" s="318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57378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8" t="s">
        <v>454</v>
      </c>
      <c r="B101" s="3379"/>
      <c r="C101" s="3379"/>
      <c r="D101" s="3379"/>
      <c r="E101" s="3379"/>
      <c r="F101" s="3379"/>
      <c r="G101" s="3379"/>
      <c r="H101" s="337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0" t="s">
        <v>428</v>
      </c>
      <c r="B102" s="3381"/>
      <c r="C102" s="3187"/>
      <c r="D102" s="3187"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100642</v>
      </c>
      <c r="D103" s="378" t="s">
        <v>19</v>
      </c>
      <c r="E103" s="3181"/>
      <c r="F103" s="3180"/>
      <c r="G103" s="318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1827</v>
      </c>
      <c r="B104" s="348" t="s">
        <v>440</v>
      </c>
      <c r="C104" s="385">
        <f ca="1">IF(H106="仅含出让金",C105+C108+C109+C110+C111+C112,C105+C109+C110+C111+C112)</f>
        <v>1294</v>
      </c>
      <c r="D104" s="415"/>
      <c r="E104" s="3181"/>
      <c r="F104" s="3180"/>
      <c r="G104" s="318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1825</v>
      </c>
      <c r="B105" s="376" t="s">
        <v>455</v>
      </c>
      <c r="C105" s="405">
        <f>C106+C107</f>
        <v>572</v>
      </c>
      <c r="D105" s="406"/>
      <c r="E105" s="3185"/>
      <c r="F105" s="3183"/>
      <c r="G105" s="3183"/>
      <c r="H105" s="3184"/>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3183"/>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3183"/>
      <c r="G107" s="3183"/>
      <c r="H107" s="3184"/>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1826</v>
      </c>
      <c r="B108" s="376" t="s">
        <v>460</v>
      </c>
      <c r="C108" s="416"/>
      <c r="D108" s="406"/>
      <c r="E108" s="417" t="str">
        <f>IF(H106="-","土地取得成本中已包含该笔费用"," ")</f>
        <v xml:space="preserve"> </v>
      </c>
      <c r="F108" s="3183"/>
      <c r="G108" s="3183"/>
      <c r="H108" s="3184"/>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IF(H109="——",IF(F1="现房",'剩余法-现房'!C18,'剩余法-商业'!C18),I109)</f>
        <v>55</v>
      </c>
      <c r="D109" s="406"/>
      <c r="E109" s="3372" t="s">
        <v>462</v>
      </c>
      <c r="F109" s="3373"/>
      <c r="G109" s="337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72" t="s">
        <v>464</v>
      </c>
      <c r="F110" s="3373"/>
      <c r="G110" s="3373"/>
      <c r="H110" s="337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604</v>
      </c>
      <c r="D111" s="406">
        <f>'数据-取费表'!B43</f>
        <v>6.000000000000001E-3</v>
      </c>
      <c r="E111" s="3385" t="s">
        <v>2429</v>
      </c>
      <c r="F111" s="3373"/>
      <c r="G111" s="3373"/>
      <c r="H111" s="337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72" t="s">
        <v>2454</v>
      </c>
      <c r="F112" s="3373"/>
      <c r="G112" s="3373"/>
      <c r="H112" s="337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1828</v>
      </c>
      <c r="B113" s="382" t="s">
        <v>451</v>
      </c>
      <c r="C113" s="385">
        <f ca="1">ROUND(C103-C104,0)</f>
        <v>99348</v>
      </c>
      <c r="D113" s="378" t="s">
        <v>19</v>
      </c>
      <c r="E113" s="3181"/>
      <c r="F113" s="3180"/>
      <c r="G113" s="318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1829</v>
      </c>
      <c r="B114" s="382" t="s">
        <v>452</v>
      </c>
      <c r="C114" s="407">
        <f ca="1">IF(C113&lt;=0,0,C113/C104)</f>
        <v>76.775888717156107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180"/>
      <c r="G114" s="318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59156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C10:D13">
    <cfRule type="cellIs" dxfId="150" priority="5" stopIfTrue="1" operator="equal">
      <formula>15</formula>
    </cfRule>
  </conditionalFormatting>
  <conditionalFormatting sqref="D14:D16">
    <cfRule type="cellIs" dxfId="149" priority="4"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tabColor rgb="FF92D050"/>
  </sheetPr>
  <dimension ref="A1:AN118"/>
  <sheetViews>
    <sheetView topLeftCell="A4" zoomScaleNormal="100" workbookViewId="0">
      <selection activeCell="C19" sqref="C1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85455</v>
      </c>
      <c r="E1" s="1406" t="s">
        <v>2428</v>
      </c>
      <c r="F1" s="2431">
        <f>'数据-汇总表'!D19</f>
        <v>16706.650000000001</v>
      </c>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2762</v>
      </c>
      <c r="S1" s="2915" t="s">
        <v>2763</v>
      </c>
      <c r="T1" s="2915" t="s">
        <v>2784</v>
      </c>
      <c r="U1" s="2915" t="s">
        <v>2785</v>
      </c>
      <c r="V1" s="2915" t="s">
        <v>2786</v>
      </c>
      <c r="W1" s="2189"/>
      <c r="X1" s="2189"/>
      <c r="Y1" s="2189"/>
      <c r="Z1" s="2189"/>
      <c r="AA1" s="2189"/>
      <c r="AB1" s="2189"/>
      <c r="AC1" s="2190"/>
    </row>
    <row r="2" spans="1:39" ht="15.75">
      <c r="A2" s="1406" t="s">
        <v>920</v>
      </c>
      <c r="B2" s="1038">
        <f ca="1">C26</f>
        <v>142906</v>
      </c>
      <c r="C2" s="1407" t="s">
        <v>921</v>
      </c>
      <c r="D2" s="1408" t="s">
        <v>922</v>
      </c>
      <c r="E2" s="1409" t="s">
        <v>3000</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Ⅳ-18</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1.8629</v>
      </c>
      <c r="T2" s="2916">
        <f ca="1">ROUND($C$5*$C$18*$C$19*$C$20*S2*$C$24,0)</f>
        <v>38140</v>
      </c>
      <c r="U2" s="2905"/>
      <c r="V2" s="2916">
        <f ca="1">ROUND(T2*U2/10000,0)</f>
        <v>0</v>
      </c>
      <c r="W2" s="2189"/>
      <c r="X2" s="2189"/>
      <c r="Y2" s="2189"/>
      <c r="Z2" s="2189"/>
      <c r="AA2" s="2189"/>
      <c r="AB2" s="2189"/>
      <c r="AC2" s="2190"/>
    </row>
    <row r="3" spans="1:39" ht="15.75">
      <c r="A3" s="1411" t="s">
        <v>1688</v>
      </c>
      <c r="B3" s="1038">
        <f ca="1">ROUND(B2*10000/D1,0)</f>
        <v>16723</v>
      </c>
      <c r="C3" s="1407" t="s">
        <v>927</v>
      </c>
      <c r="D3" s="1408" t="s">
        <v>928</v>
      </c>
      <c r="E3" s="1412" t="s">
        <v>3004</v>
      </c>
      <c r="F3" s="1413" t="s">
        <v>2933</v>
      </c>
      <c r="G3" s="1039">
        <f>IF(F3="宗地容积率",'数据-汇总表'!I4,IF(F3="估价对象容积率",'数据-汇总表'!I6,'数据-汇总表'!I7))</f>
        <v>5.12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1.3371999999999999</v>
      </c>
      <c r="T3" s="2916">
        <f t="shared" ref="T3:T16" ca="1" si="0">ROUND($C$5*$C$18*$C$19*$C$20*S3*$C$24,0)</f>
        <v>27377</v>
      </c>
      <c r="U3" s="2905"/>
      <c r="V3" s="2916">
        <f t="shared" ref="V3:V16" ca="1" si="1">ROUND(T3*U3/10000,0)</f>
        <v>0</v>
      </c>
      <c r="W3" s="2189"/>
      <c r="X3" s="2189"/>
      <c r="Y3" s="2189"/>
      <c r="Z3" s="2189"/>
      <c r="AA3" s="2189"/>
      <c r="AB3" s="2189"/>
      <c r="AC3" s="2190"/>
    </row>
    <row r="4" spans="1:39" ht="28.5">
      <c r="A4" s="1891" t="s">
        <v>2281</v>
      </c>
      <c r="B4" s="2432">
        <f ca="1">ROUND(B2*10000/F1,0)</f>
        <v>85538</v>
      </c>
      <c r="C4" s="1894" t="s">
        <v>2255</v>
      </c>
      <c r="D4" s="1894">
        <f ca="1">ROUND(B2/(F1/666.67),0)</f>
        <v>5703</v>
      </c>
      <c r="E4" s="1894" t="s">
        <v>2256</v>
      </c>
      <c r="F4" s="1892"/>
      <c r="G4" s="1892"/>
      <c r="H4" s="1892"/>
      <c r="I4" s="1892"/>
      <c r="J4" s="1893"/>
      <c r="K4" s="1401"/>
      <c r="L4" s="1885" t="s">
        <v>2242</v>
      </c>
      <c r="M4" s="1886">
        <f>SUMPRODUCT((区片价!B49:B75=I2)*(区片价!C3:F3=E2)*(区片价!C49:F75))</f>
        <v>14720</v>
      </c>
      <c r="N4" s="1887">
        <f>SUMPRODUCT((因素修正幅度!B49:B75=I2)*(因素修正幅度!C3:F3=E2)*(因素修正幅度!C49:F75))</f>
        <v>9.6000000000000002E-2</v>
      </c>
      <c r="O4" s="2189"/>
      <c r="P4" s="2189"/>
      <c r="Q4" s="2189"/>
      <c r="R4" s="2916">
        <v>3</v>
      </c>
      <c r="S4" s="2916">
        <f>ROUND(IF(G3&gt;1,IF(R4&lt;7,SUMPRODUCT((B93:B98=R4)*(C92:N92=G2)*(C93:N98)),SUMIF(C92:N92,G2,C100:N100)),IF(R4&lt;7,SUMPRODUCT((B102:B107=R4)*(C92:N92=G2)*(C102:N107)),SUMIF(C92:N92,G2,C109:N109))),4)</f>
        <v>1.0788</v>
      </c>
      <c r="T4" s="2916">
        <f t="shared" ca="1" si="0"/>
        <v>22086</v>
      </c>
      <c r="U4" s="2905"/>
      <c r="V4" s="2916">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14664</v>
      </c>
      <c r="D5" s="3096">
        <f>ROUND(IF(F16="增加",C6+C16,C6-C16),0)</f>
        <v>14664</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0.86560000000000004</v>
      </c>
      <c r="T5" s="2916">
        <f t="shared" ca="1" si="0"/>
        <v>17722</v>
      </c>
      <c r="U5" s="2905"/>
      <c r="V5" s="2916">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SUMIF(L1:L12,'基准地价-商业'!G2,M1:M12)</f>
        <v>14720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0.73709999999999998</v>
      </c>
      <c r="T6" s="2916">
        <f t="shared" ca="1" si="0"/>
        <v>15091</v>
      </c>
      <c r="U6" s="2905"/>
      <c r="V6" s="2916">
        <f t="shared" ca="1" si="1"/>
        <v>0</v>
      </c>
      <c r="W6" s="2189"/>
      <c r="X6" s="2189"/>
      <c r="Y6" s="2189"/>
      <c r="Z6" s="2189"/>
      <c r="AA6" s="2189"/>
      <c r="AB6" s="2189"/>
      <c r="AC6" s="2191"/>
      <c r="AD6" s="1419"/>
      <c r="AE6" s="1419"/>
      <c r="AF6" s="1419"/>
      <c r="AG6" s="1419"/>
      <c r="AH6" s="1419"/>
      <c r="AI6" s="1419"/>
      <c r="AJ6" s="1420"/>
    </row>
    <row r="7" spans="1:39" ht="24">
      <c r="A7" s="3458" t="str">
        <f>IF(E2="商业",IF(C8="不临58条商业街","",2),"")</f>
        <v/>
      </c>
      <c r="B7" s="1427" t="s">
        <v>932</v>
      </c>
      <c r="C7" s="1043">
        <f>IF(C8="不临58条商业街",1,ROUND(1+(1.6*E8+1.2*E9+0.8*E10+0.4*E11)*C9,4))</f>
        <v>1</v>
      </c>
      <c r="D7" s="1428" t="s">
        <v>933</v>
      </c>
      <c r="E7" s="1044">
        <v>60</v>
      </c>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0.6482</v>
      </c>
      <c r="T7" s="2916">
        <f t="shared" ca="1" si="0"/>
        <v>13271</v>
      </c>
      <c r="U7" s="2905"/>
      <c r="V7" s="2916">
        <f t="shared" ca="1" si="1"/>
        <v>0</v>
      </c>
      <c r="W7" s="2914" t="s">
        <v>2765</v>
      </c>
      <c r="X7" s="2906" t="str">
        <f>G2</f>
        <v>四级</v>
      </c>
      <c r="Y7" s="2906" t="s">
        <v>2766</v>
      </c>
      <c r="Z7" s="2907">
        <f>G3</f>
        <v>5.12</v>
      </c>
      <c r="AA7" s="2192"/>
      <c r="AB7" s="2192"/>
      <c r="AC7" s="2193"/>
      <c r="AD7" s="2908"/>
      <c r="AE7" s="2908"/>
      <c r="AF7" s="2908"/>
      <c r="AG7" s="2908"/>
      <c r="AH7" s="2908"/>
      <c r="AI7" s="2908"/>
      <c r="AJ7" s="2909"/>
    </row>
    <row r="8" spans="1:39" ht="25.5">
      <c r="A8" s="3459"/>
      <c r="B8" s="1414" t="s">
        <v>934</v>
      </c>
      <c r="C8" s="1529" t="s">
        <v>3119</v>
      </c>
      <c r="D8" s="1045" t="s">
        <v>935</v>
      </c>
      <c r="E8" s="1046">
        <f>ROUND(C11/E7,4)</f>
        <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f t="shared" ca="1" si="0"/>
        <v>0</v>
      </c>
      <c r="U8" s="2905"/>
      <c r="V8" s="2916">
        <f t="shared" ca="1" si="1"/>
        <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4" t="s">
        <v>937</v>
      </c>
      <c r="C9" s="1047">
        <f>SUMIF(修正!C59:C119,C8,修正!E59:E119)</f>
        <v>0</v>
      </c>
      <c r="D9" s="1048" t="s">
        <v>938</v>
      </c>
      <c r="E9" s="1048">
        <f>ROUND(C11/E7,4)</f>
        <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f t="shared" ca="1" si="0"/>
        <v>0</v>
      </c>
      <c r="U9" s="2905"/>
      <c r="V9" s="2916">
        <f t="shared" ca="1" si="1"/>
        <v>0</v>
      </c>
      <c r="W9" s="3449" t="s">
        <v>2779</v>
      </c>
      <c r="X9" s="2910" t="s">
        <v>2780</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59"/>
      <c r="B10" s="1414" t="s">
        <v>940</v>
      </c>
      <c r="C10" s="1048">
        <f>SUMIF(修正!C59:C119,C8,修正!F59:F119)</f>
        <v>0</v>
      </c>
      <c r="D10" s="1048" t="s">
        <v>941</v>
      </c>
      <c r="E10" s="1048">
        <f>ROUND(C11/E7,4)</f>
        <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f t="shared" ca="1" si="0"/>
        <v>0</v>
      </c>
      <c r="U10" s="2905"/>
      <c r="V10" s="2916">
        <f t="shared" ca="1" si="1"/>
        <v>0</v>
      </c>
      <c r="W10" s="344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59"/>
      <c r="B11" s="1435" t="s">
        <v>943</v>
      </c>
      <c r="C11" s="1049">
        <f>C10/4</f>
        <v>0</v>
      </c>
      <c r="D11" s="1049" t="s">
        <v>944</v>
      </c>
      <c r="E11" s="1049">
        <f>ROUND(C11/E7,4)</f>
        <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f t="shared" ca="1" si="0"/>
        <v>0</v>
      </c>
      <c r="U11" s="2905"/>
      <c r="V11" s="2916">
        <f t="shared" ca="1" si="1"/>
        <v>0</v>
      </c>
      <c r="W11" s="3449" t="s">
        <v>2781</v>
      </c>
      <c r="X11" s="1048" t="s">
        <v>2766</v>
      </c>
      <c r="Y11" s="1653">
        <f>$G$3</f>
        <v>5.12</v>
      </c>
      <c r="Z11" s="1653">
        <f t="shared" ref="Z11:AJ11" si="3">$G$3</f>
        <v>5.12</v>
      </c>
      <c r="AA11" s="1653">
        <f t="shared" si="3"/>
        <v>5.12</v>
      </c>
      <c r="AB11" s="1653">
        <f t="shared" si="3"/>
        <v>5.12</v>
      </c>
      <c r="AC11" s="1653">
        <f t="shared" si="3"/>
        <v>5.12</v>
      </c>
      <c r="AD11" s="1653">
        <f t="shared" si="3"/>
        <v>5.12</v>
      </c>
      <c r="AE11" s="1653">
        <f t="shared" si="3"/>
        <v>5.12</v>
      </c>
      <c r="AF11" s="1653">
        <f t="shared" si="3"/>
        <v>5.12</v>
      </c>
      <c r="AG11" s="1653">
        <f t="shared" si="3"/>
        <v>5.12</v>
      </c>
      <c r="AH11" s="1653">
        <f t="shared" si="3"/>
        <v>5.12</v>
      </c>
      <c r="AI11" s="1653">
        <f t="shared" si="3"/>
        <v>5.12</v>
      </c>
      <c r="AJ11" s="1653">
        <f t="shared" si="3"/>
        <v>5.12</v>
      </c>
    </row>
    <row r="12" spans="1:39" ht="25.5" thickBot="1">
      <c r="A12" s="3458"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f t="shared" ca="1" si="0"/>
        <v>0</v>
      </c>
      <c r="U12" s="2905"/>
      <c r="V12" s="2916">
        <f t="shared" ca="1" si="1"/>
        <v>0</v>
      </c>
      <c r="W12" s="344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60"/>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6">
        <v>12</v>
      </c>
      <c r="S13" s="2905"/>
      <c r="T13" s="2916">
        <f t="shared" ca="1" si="0"/>
        <v>0</v>
      </c>
      <c r="U13" s="2905"/>
      <c r="V13" s="2916">
        <f t="shared" ca="1" si="1"/>
        <v>0</v>
      </c>
      <c r="W13" s="3449"/>
      <c r="X13" s="2913"/>
      <c r="Y13" s="2912">
        <f>(-0.163*(Y12^2)-0.59*Y12+7617)*(10^(-4))/Y11</f>
        <v>0.14876953125</v>
      </c>
      <c r="Z13" s="2912">
        <f t="shared" ref="Z13:AJ13" si="5">(-0.163*(Z12^2)-0.59*Z12+7617)*(10^(-4))/Z11</f>
        <v>0.14876953125</v>
      </c>
      <c r="AA13" s="2912">
        <f t="shared" si="5"/>
        <v>0.14876953125</v>
      </c>
      <c r="AB13" s="2912">
        <f t="shared" si="5"/>
        <v>0.14876953125</v>
      </c>
      <c r="AC13" s="2912">
        <f t="shared" si="5"/>
        <v>0.14876953125</v>
      </c>
      <c r="AD13" s="2912">
        <f t="shared" si="5"/>
        <v>0.14876953125</v>
      </c>
      <c r="AE13" s="2912">
        <f t="shared" si="5"/>
        <v>0.14876953125</v>
      </c>
      <c r="AF13" s="2912">
        <f t="shared" si="5"/>
        <v>0.14876953125</v>
      </c>
      <c r="AG13" s="2912">
        <f t="shared" si="5"/>
        <v>0.14876953125</v>
      </c>
      <c r="AH13" s="2912">
        <f t="shared" si="5"/>
        <v>0.14876953125</v>
      </c>
      <c r="AI13" s="2912">
        <f t="shared" si="5"/>
        <v>0.14876953125</v>
      </c>
      <c r="AJ13" s="2912">
        <f t="shared" si="5"/>
        <v>0.14876953125</v>
      </c>
    </row>
    <row r="14" spans="1:39" ht="12.75" customHeight="1" thickBot="1">
      <c r="A14" s="3460"/>
      <c r="B14" s="1451"/>
      <c r="C14" s="1452"/>
      <c r="D14" s="1453"/>
      <c r="E14" s="1453"/>
      <c r="F14" s="1454"/>
      <c r="G14" s="1455" t="s">
        <v>949</v>
      </c>
      <c r="H14" s="1456"/>
      <c r="I14" s="1457"/>
      <c r="J14" s="1458"/>
      <c r="K14" s="1401"/>
      <c r="L14" s="2189"/>
      <c r="M14" s="2189"/>
      <c r="N14" s="2189"/>
      <c r="O14" s="2189"/>
      <c r="P14" s="2189"/>
      <c r="Q14" s="2189"/>
      <c r="R14" s="2916">
        <v>13</v>
      </c>
      <c r="S14" s="2905"/>
      <c r="T14" s="2916">
        <f t="shared" ca="1" si="0"/>
        <v>0</v>
      </c>
      <c r="U14" s="2905"/>
      <c r="V14" s="2916">
        <f t="shared" ca="1" si="1"/>
        <v>0</v>
      </c>
      <c r="W14" s="2189"/>
      <c r="X14" s="2189"/>
      <c r="Y14" s="2189"/>
      <c r="Z14" s="2189"/>
      <c r="AA14" s="2189"/>
      <c r="AB14" s="2189"/>
      <c r="AC14" s="2190"/>
    </row>
    <row r="15" spans="1:39" ht="13.5" customHeight="1" thickBot="1">
      <c r="A15" s="346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6">
        <v>14</v>
      </c>
      <c r="S15" s="2905"/>
      <c r="T15" s="2916">
        <f t="shared" ca="1" si="0"/>
        <v>0</v>
      </c>
      <c r="U15" s="2905"/>
      <c r="V15" s="2916">
        <f t="shared" ca="1" si="1"/>
        <v>0</v>
      </c>
      <c r="W15" s="2189"/>
      <c r="X15" s="2189"/>
      <c r="Y15" s="2189"/>
      <c r="Z15" s="2189"/>
      <c r="AA15" s="2189"/>
      <c r="AB15" s="2189"/>
      <c r="AC15" s="2190"/>
    </row>
    <row r="16" spans="1:39" ht="24">
      <c r="A16" s="3458" t="s">
        <v>1839</v>
      </c>
      <c r="B16" s="1427" t="s">
        <v>950</v>
      </c>
      <c r="C16" s="1054">
        <f>ROUND(SUM(G17:J17)/C17,0)</f>
        <v>56</v>
      </c>
      <c r="D16" s="1460" t="s">
        <v>951</v>
      </c>
      <c r="E16" s="1461" t="s">
        <v>3005</v>
      </c>
      <c r="F16" s="1462" t="s">
        <v>3013</v>
      </c>
      <c r="G16" s="1463" t="s">
        <v>3006</v>
      </c>
      <c r="H16" s="1463" t="s">
        <v>3007</v>
      </c>
      <c r="I16" s="1463" t="s">
        <v>3008</v>
      </c>
      <c r="J16" s="1463" t="s">
        <v>3009</v>
      </c>
      <c r="K16" s="1401"/>
      <c r="L16" s="1464" t="s">
        <v>988</v>
      </c>
      <c r="M16" s="1047">
        <v>0.25</v>
      </c>
      <c r="N16" s="1047">
        <v>0.2</v>
      </c>
      <c r="O16" s="1047">
        <v>0.15</v>
      </c>
      <c r="P16" s="1539">
        <v>0.1</v>
      </c>
      <c r="Q16" s="2192"/>
      <c r="R16" s="2916">
        <v>15</v>
      </c>
      <c r="S16" s="2905"/>
      <c r="T16" s="2916">
        <f t="shared" ca="1" si="0"/>
        <v>0</v>
      </c>
      <c r="U16" s="2905"/>
      <c r="V16" s="2916">
        <f t="shared" ca="1" si="1"/>
        <v>0</v>
      </c>
      <c r="W16" s="2192"/>
      <c r="X16" s="2192"/>
      <c r="Y16" s="2192"/>
      <c r="Z16" s="2192"/>
      <c r="AA16" s="2192"/>
      <c r="AB16" s="2192"/>
      <c r="AC16" s="2193"/>
    </row>
    <row r="17" spans="1:40" ht="13.5" thickBot="1">
      <c r="A17" s="345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1" t="s">
        <v>956</v>
      </c>
      <c r="C18" s="2752">
        <f>SUMIF(修正!C18:C39,E3,修正!E18:E39)</f>
        <v>1</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ROUND(IF(H19="按公示增长率计算",SUMPRODUCT((地价!A3:A24=YEAR(G19)&amp;"-"&amp;ROUNDUP(MONTH(G19)/3,0))*(地价!X2:AB2=E2)*(地价!X3:AB24)),IF(H19="地价指数",M20/M19,(1+I19)^O19)),4)</f>
        <v>1.3547</v>
      </c>
      <c r="D19" s="1474" t="s">
        <v>958</v>
      </c>
      <c r="E19" s="1058">
        <v>41640</v>
      </c>
      <c r="F19" s="1474" t="s">
        <v>959</v>
      </c>
      <c r="G19" s="1059">
        <f>'数据-取费表'!B2</f>
        <v>43388</v>
      </c>
      <c r="H19" s="1475" t="s">
        <v>3010</v>
      </c>
      <c r="I19" s="2763" t="str">
        <f>IF(H19="季度增幅（自定义）",SUMIF(N21:N24,E2,O21:O24),"")</f>
        <v/>
      </c>
      <c r="J19" s="1471"/>
      <c r="K19" s="1481"/>
      <c r="L19" s="3016" t="s">
        <v>2840</v>
      </c>
      <c r="M19" s="3017">
        <f>ROUND(SUMIF(地价!B2:F2,E2,地价!B24:F24),0)</f>
        <v>258</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1837</v>
      </c>
      <c r="B20" s="2758" t="s">
        <v>972</v>
      </c>
      <c r="C20" s="2759">
        <f ca="1">ROUND(POWER(1+G20,J20-I20)*(POWER(1+G20,I20)-1)/(POWER(1+G20,J20)-1),4)</f>
        <v>1</v>
      </c>
      <c r="D20" s="2760" t="s">
        <v>973</v>
      </c>
      <c r="E20" s="3071">
        <f ca="1">存贷款利率!I4/100</f>
        <v>4.3499999999999997E-2</v>
      </c>
      <c r="F20" s="2760" t="s">
        <v>974</v>
      </c>
      <c r="G20" s="2761">
        <f ca="1">SUMIF(M15:P15,E2,M17:P17)</f>
        <v>5.3999999999999999E-2</v>
      </c>
      <c r="H20" s="2760" t="s">
        <v>975</v>
      </c>
      <c r="I20" s="2750">
        <f>SUMIF('数据-取费表'!C6:C15,E2,'数据-取费表'!F6:F15)/COUNTIF('数据-取费表'!C6:C15,E2)</f>
        <v>40</v>
      </c>
      <c r="J20" s="2762">
        <f>IF(E2="住宅",70,IF(E2="商业",40,50))</f>
        <v>40</v>
      </c>
      <c r="K20" s="1481"/>
      <c r="L20" s="3018" t="s">
        <v>2841</v>
      </c>
      <c r="M20" s="3019">
        <f>ROUND(SUMPRODUCT((地价!A4:A24=YEAR(G19)&amp;"-"&amp;ROUNDUP(MONTH(G19)/3,0))*(地价!B2:F2=E2)*(地价!B4:F24)),0)</f>
        <v>341</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3011</v>
      </c>
      <c r="C21" s="1158">
        <f>IF(B21="容积率修正",IF(G3&lt;=10,D22,J22),C23)</f>
        <v>0.81679999999999997</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0.81679999999999997</v>
      </c>
      <c r="E22" s="1039">
        <f>ROUNDDOWN(G3,1)</f>
        <v>5.0999999999999996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1039">
        <f>ROUNDUP(G3,1)</f>
        <v>5.1999999999999993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0.81399999999999995</v>
      </c>
      <c r="I22" s="1060" t="s">
        <v>978</v>
      </c>
      <c r="J22" s="1060"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2">
        <f>SUMIF(A44:A87,E2,B44:B87)</f>
        <v>1.0306</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3">
        <f ca="1">E29+SUM(E33:E39)</f>
        <v>142906</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3">
        <f ca="1">ROUND(C5*C18*C19*C20*C21*C24,0)</f>
        <v>16723</v>
      </c>
      <c r="D29" s="1504">
        <f>'数据-基础表'!I13</f>
        <v>85455</v>
      </c>
      <c r="E29" s="1849">
        <f ca="1">ROUND(C29*D29/10000,0)</f>
        <v>142906</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4181</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64" t="s">
        <v>2959</v>
      </c>
      <c r="B33" s="1524" t="s">
        <v>1000</v>
      </c>
      <c r="C33" s="1063">
        <f ca="1">ROUND(D5*C19*C20*C24*F33,0)</f>
        <v>14331</v>
      </c>
      <c r="D33" s="1537"/>
      <c r="E33" s="1048">
        <f ca="1">ROUND(C33*D33/10000,0)</f>
        <v>0</v>
      </c>
      <c r="F33" s="1048">
        <f>SUMIF(修正!A45:A56,G2,修正!B45:B56)</f>
        <v>0.7</v>
      </c>
      <c r="G33" s="1048">
        <f t="shared" ref="G33" ca="1" si="6">ROUND(IF(E2="工业",C33*$M$39,C33*$M$38),0)</f>
        <v>3583</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5" t="s">
        <v>1001</v>
      </c>
      <c r="C34" s="1063">
        <f ca="1">ROUND(D5*C19*C20*C24*F34,0)</f>
        <v>8189</v>
      </c>
      <c r="D34" s="1537"/>
      <c r="E34" s="1048">
        <f t="shared" ref="E34:E39" ca="1" si="7">ROUND(C34*D34/10000,0)</f>
        <v>0</v>
      </c>
      <c r="F34" s="1048">
        <f>SUMIF(修正!A45:A56,G2,修正!C45:C56)</f>
        <v>0.4</v>
      </c>
      <c r="G34" s="1048">
        <f ca="1">ROUND(IF(E2="工业",C34*$M$39,C34*$M$38),0)</f>
        <v>2047</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5" t="s">
        <v>1002</v>
      </c>
      <c r="C35" s="1063">
        <f ca="1">ROUND(D5*C19*C20*C24*F35,0)</f>
        <v>5732</v>
      </c>
      <c r="D35" s="1537"/>
      <c r="E35" s="1048">
        <f t="shared" ca="1" si="7"/>
        <v>0</v>
      </c>
      <c r="F35" s="1048">
        <f>SUMIF(修正!A45:A56,G2,修正!D45:D56)</f>
        <v>0.28000000000000003</v>
      </c>
      <c r="G35" s="1048">
        <f ca="1">ROUND(IF(E2="工业",C35*$M$39,C35*$M$38),0)</f>
        <v>1433</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5" t="s">
        <v>1003</v>
      </c>
      <c r="C36" s="1063">
        <f ca="1">ROUND(D5*C19*C20*C24*F36,0)</f>
        <v>5118</v>
      </c>
      <c r="D36" s="1537"/>
      <c r="E36" s="1048">
        <f t="shared" ca="1" si="7"/>
        <v>0</v>
      </c>
      <c r="F36" s="1048">
        <f>SUMIF(修正!A45:A56,G2,修正!E45:E56)</f>
        <v>0.25</v>
      </c>
      <c r="G36" s="1048">
        <f ca="1">ROUND(IF(E2="工业",C36*$M$39,C36*$M$38),0)</f>
        <v>1280</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5118</v>
      </c>
      <c r="D37" s="1537"/>
      <c r="E37" s="1048">
        <f t="shared" ca="1" si="7"/>
        <v>0</v>
      </c>
      <c r="F37" s="1063">
        <f>SUMIF(修正!A45:A56,G2,修正!F45:F56)</f>
        <v>0.25</v>
      </c>
      <c r="G37" s="1048">
        <f ca="1">ROUND(IF(E2="工业",C37*$M$39,C37*$M$38),0)</f>
        <v>1280</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0.25</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0.2</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2987</v>
      </c>
      <c r="C41" s="839">
        <f ca="1">ROUND(POWER(1+E41,H41-G41)*(POWER(1+E41,G41)-1)/(POWER(1+E41,H41)-1),4)</f>
        <v>0</v>
      </c>
      <c r="D41" s="378" t="s">
        <v>2985</v>
      </c>
      <c r="E41" s="3176">
        <f ca="1">G20</f>
        <v>5.3999999999999999E-2</v>
      </c>
      <c r="F41" s="378" t="s">
        <v>2986</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1.0306</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7" t="s">
        <v>1021</v>
      </c>
      <c r="B47" s="2390" t="str">
        <f>估价对象房地状况!C16</f>
        <v>估价对象位于酒仙桥商圈，周边商业氛围较成熟，人流量较大，商业繁华度较好</v>
      </c>
      <c r="C47" s="1050" t="s">
        <v>3025</v>
      </c>
      <c r="D47" s="2396">
        <f t="shared" ref="D47:D55" si="10">SUMIF($J$46:$N$46,C47,J47:N47)</f>
        <v>1.5800000000000002E-2</v>
      </c>
      <c r="E47" s="2415">
        <f>ROUND(SUM(D47:D55),4)</f>
        <v>3.0599999999999999E-2</v>
      </c>
      <c r="F47" s="2416">
        <f>IF(E2="商业",SUMIF(L1:L12,G2,N1:N12),"——")</f>
        <v>9.6000000000000002E-2</v>
      </c>
      <c r="G47" s="2394">
        <v>1.5800000000000002E-2</v>
      </c>
      <c r="H47" s="2440">
        <f t="shared" ref="H47:H55" si="11">IFERROR(ROUNDDOWN(($F$47*I47/2),4),"——")</f>
        <v>1.5800000000000002E-2</v>
      </c>
      <c r="I47" s="2414">
        <v>0.33</v>
      </c>
      <c r="J47" s="2417">
        <f t="shared" ref="J47:J55" si="12">K47+$G47</f>
        <v>3.1600000000000003E-2</v>
      </c>
      <c r="K47" s="2417">
        <f t="shared" ref="K47:K55" si="13">$L47+$G47</f>
        <v>1.5800000000000002E-2</v>
      </c>
      <c r="L47" s="2417">
        <v>0</v>
      </c>
      <c r="M47" s="2417">
        <f t="shared" ref="M47:N55" si="14">L47-$G47</f>
        <v>-1.5800000000000002E-2</v>
      </c>
      <c r="N47" s="2417">
        <f t="shared" si="14"/>
        <v>-3.1600000000000003E-2</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96">
      <c r="A48" s="1067" t="s">
        <v>1022</v>
      </c>
      <c r="B48" s="2387" t="str">
        <f>估价对象房地状况!C18</f>
        <v>估价对象周边有445路、516路、659路、983路等多条公交线路经过，距14号线地铁（将台站）约300米，道路状况较好、公共交通通达情况较好、综合评价交通便捷度较好。</v>
      </c>
      <c r="C48" s="1050" t="s">
        <v>3025</v>
      </c>
      <c r="D48" s="2396">
        <f t="shared" si="10"/>
        <v>1.2E-2</v>
      </c>
      <c r="E48" s="2418"/>
      <c r="F48" s="2416"/>
      <c r="G48" s="2394">
        <v>1.2E-2</v>
      </c>
      <c r="H48" s="2440">
        <f t="shared" si="11"/>
        <v>1.2E-2</v>
      </c>
      <c r="I48" s="2414">
        <v>0.25</v>
      </c>
      <c r="J48" s="2417">
        <f t="shared" si="12"/>
        <v>2.4E-2</v>
      </c>
      <c r="K48" s="2417">
        <f t="shared" si="13"/>
        <v>1.2E-2</v>
      </c>
      <c r="L48" s="2417">
        <v>0</v>
      </c>
      <c r="M48" s="2417">
        <f t="shared" si="14"/>
        <v>-1.2E-2</v>
      </c>
      <c r="N48" s="2417">
        <f t="shared" si="14"/>
        <v>-2.4E-2</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t="s">
        <v>3025</v>
      </c>
      <c r="D49" s="2396">
        <f t="shared" si="10"/>
        <v>2.3999999999999998E-3</v>
      </c>
      <c r="E49" s="2418"/>
      <c r="F49" s="2416"/>
      <c r="G49" s="2394">
        <v>2.3999999999999998E-3</v>
      </c>
      <c r="H49" s="2440">
        <f t="shared" si="11"/>
        <v>2.3999999999999998E-3</v>
      </c>
      <c r="I49" s="2414">
        <v>0.05</v>
      </c>
      <c r="J49" s="2417">
        <f t="shared" si="12"/>
        <v>4.7999999999999996E-3</v>
      </c>
      <c r="K49" s="2417">
        <f t="shared" si="13"/>
        <v>2.3999999999999998E-3</v>
      </c>
      <c r="L49" s="2417">
        <v>0</v>
      </c>
      <c r="M49" s="2417">
        <f t="shared" si="14"/>
        <v>-2.3999999999999998E-3</v>
      </c>
      <c r="N49" s="2417">
        <f t="shared" si="14"/>
        <v>-4.7999999999999996E-3</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3" t="s">
        <v>2935</v>
      </c>
      <c r="C50" s="1050" t="s">
        <v>3025</v>
      </c>
      <c r="D50" s="2396">
        <f t="shared" si="10"/>
        <v>2.3999999999999998E-3</v>
      </c>
      <c r="E50" s="2418"/>
      <c r="F50" s="2416"/>
      <c r="G50" s="2394">
        <v>2.3999999999999998E-3</v>
      </c>
      <c r="H50" s="2440">
        <f t="shared" si="11"/>
        <v>2.3999999999999998E-3</v>
      </c>
      <c r="I50" s="2414">
        <v>0.05</v>
      </c>
      <c r="J50" s="2417">
        <f t="shared" si="12"/>
        <v>4.7999999999999996E-3</v>
      </c>
      <c r="K50" s="2417">
        <f t="shared" si="13"/>
        <v>2.3999999999999998E-3</v>
      </c>
      <c r="L50" s="2417">
        <v>0</v>
      </c>
      <c r="M50" s="2417">
        <f t="shared" si="14"/>
        <v>-2.3999999999999998E-3</v>
      </c>
      <c r="N50" s="2417">
        <f t="shared" si="14"/>
        <v>-4.7999999999999996E-3</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t="s">
        <v>3026</v>
      </c>
      <c r="D51" s="2396">
        <f t="shared" si="10"/>
        <v>-3.8E-3</v>
      </c>
      <c r="E51" s="2418"/>
      <c r="F51" s="2416"/>
      <c r="G51" s="2394">
        <v>3.8E-3</v>
      </c>
      <c r="H51" s="2440">
        <f t="shared" si="11"/>
        <v>3.8E-3</v>
      </c>
      <c r="I51" s="2414">
        <v>0.08</v>
      </c>
      <c r="J51" s="2417">
        <f t="shared" si="12"/>
        <v>7.6E-3</v>
      </c>
      <c r="K51" s="2417">
        <f t="shared" si="13"/>
        <v>3.8E-3</v>
      </c>
      <c r="L51" s="2417">
        <v>0</v>
      </c>
      <c r="M51" s="2417">
        <f t="shared" si="14"/>
        <v>-3.8E-3</v>
      </c>
      <c r="N51" s="2417">
        <f t="shared" si="14"/>
        <v>-7.6E-3</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2" t="s">
        <v>2934</v>
      </c>
      <c r="C52" s="1050" t="s">
        <v>3025</v>
      </c>
      <c r="D52" s="2396">
        <f t="shared" si="10"/>
        <v>1.4E-3</v>
      </c>
      <c r="E52" s="2418"/>
      <c r="F52" s="2416"/>
      <c r="G52" s="2394">
        <v>1.4E-3</v>
      </c>
      <c r="H52" s="2440">
        <f t="shared" si="11"/>
        <v>1.4E-3</v>
      </c>
      <c r="I52" s="2414">
        <v>0.03</v>
      </c>
      <c r="J52" s="2417">
        <f t="shared" si="12"/>
        <v>2.8E-3</v>
      </c>
      <c r="K52" s="2417">
        <f t="shared" si="13"/>
        <v>1.4E-3</v>
      </c>
      <c r="L52" s="2417">
        <v>0</v>
      </c>
      <c r="M52" s="2417">
        <f t="shared" si="14"/>
        <v>-1.4E-3</v>
      </c>
      <c r="N52" s="2417">
        <f t="shared" si="14"/>
        <v>-2.8E-3</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估价对象所在区域公共配套设施齐备度较好</v>
      </c>
      <c r="C53" s="1050" t="s">
        <v>3025</v>
      </c>
      <c r="D53" s="2396">
        <f t="shared" si="10"/>
        <v>2.3999999999999998E-3</v>
      </c>
      <c r="E53" s="2418"/>
      <c r="F53" s="2416"/>
      <c r="G53" s="2394">
        <v>2.3999999999999998E-3</v>
      </c>
      <c r="H53" s="2440">
        <f t="shared" si="11"/>
        <v>2.3999999999999998E-3</v>
      </c>
      <c r="I53" s="2414">
        <v>0.05</v>
      </c>
      <c r="J53" s="2417">
        <f t="shared" si="12"/>
        <v>4.7999999999999996E-3</v>
      </c>
      <c r="K53" s="2417">
        <f t="shared" si="13"/>
        <v>2.3999999999999998E-3</v>
      </c>
      <c r="L53" s="2417">
        <v>0</v>
      </c>
      <c r="M53" s="2417">
        <f t="shared" si="14"/>
        <v>-2.3999999999999998E-3</v>
      </c>
      <c r="N53" s="2417">
        <f t="shared" si="14"/>
        <v>-4.7999999999999996E-3</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估价对象所在区域基础设施水平达到三通一平</v>
      </c>
      <c r="C54" s="1050" t="s">
        <v>3026</v>
      </c>
      <c r="D54" s="2396">
        <f t="shared" si="10"/>
        <v>-4.7999999999999996E-3</v>
      </c>
      <c r="E54" s="2418"/>
      <c r="F54" s="2416"/>
      <c r="G54" s="2394">
        <v>4.7999999999999996E-3</v>
      </c>
      <c r="H54" s="2440">
        <f t="shared" si="11"/>
        <v>4.7999999999999996E-3</v>
      </c>
      <c r="I54" s="2414">
        <v>0.1</v>
      </c>
      <c r="J54" s="2417">
        <f t="shared" si="12"/>
        <v>9.5999999999999992E-3</v>
      </c>
      <c r="K54" s="2417">
        <f t="shared" si="13"/>
        <v>4.7999999999999996E-3</v>
      </c>
      <c r="L54" s="2417">
        <v>0</v>
      </c>
      <c r="M54" s="2417">
        <f t="shared" si="14"/>
        <v>-4.7999999999999996E-3</v>
      </c>
      <c r="N54" s="2417">
        <f t="shared" si="14"/>
        <v>-9.5999999999999992E-3</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区域自然环境：；人文环境；综合评价环境状况较好</v>
      </c>
      <c r="C55" s="1050" t="s">
        <v>3025</v>
      </c>
      <c r="D55" s="2396">
        <f t="shared" si="10"/>
        <v>2.8E-3</v>
      </c>
      <c r="E55" s="2422"/>
      <c r="F55" s="2416"/>
      <c r="G55" s="2394">
        <v>2.8E-3</v>
      </c>
      <c r="H55" s="2440">
        <f t="shared" si="11"/>
        <v>2.8E-3</v>
      </c>
      <c r="I55" s="2421">
        <v>0.06</v>
      </c>
      <c r="J55" s="2417">
        <f t="shared" si="12"/>
        <v>5.5999999999999999E-3</v>
      </c>
      <c r="K55" s="2417">
        <f t="shared" si="13"/>
        <v>2.8E-3</v>
      </c>
      <c r="L55" s="2417">
        <v>0</v>
      </c>
      <c r="M55" s="2417">
        <f t="shared" si="14"/>
        <v>-2.8E-3</v>
      </c>
      <c r="N55" s="2417">
        <f t="shared" si="14"/>
        <v>-5.5999999999999999E-3</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hidden="1">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hidden="1">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hidden="1">
      <c r="A58" s="1067" t="s">
        <v>1031</v>
      </c>
      <c r="B58" s="2390" t="str">
        <f>估价对象房地状况!C17</f>
        <v>估价对象位于酒仙桥商圈，周边办公楼项目较多，入驻率高，办公集聚程度较好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96" hidden="1">
      <c r="A59" s="1067" t="s">
        <v>1022</v>
      </c>
      <c r="B59" s="2387" t="str">
        <f>估价对象房地状况!C18</f>
        <v>估价对象周边有445路、516路、659路、983路等多条公交线路经过，距14号线地铁（将台站）约300米，道路状况较好、公共交通通达情况较好、综合评价交通便捷度较好。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hidden="1">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hidden="1">
      <c r="A61" s="1067" t="s">
        <v>1024</v>
      </c>
      <c r="B61" s="3073" t="s">
        <v>2936</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hidden="1">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hidden="1">
      <c r="A63" s="1067" t="s">
        <v>1026</v>
      </c>
      <c r="B63" s="3072" t="s">
        <v>2934</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hidden="1">
      <c r="A64" s="1067" t="s">
        <v>1027</v>
      </c>
      <c r="B64" s="2388" t="str">
        <f>估价对象房地状况!C21</f>
        <v>估价对象所在区域公共配套设施齐备度较好</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hidden="1">
      <c r="A65" s="1067" t="s">
        <v>1028</v>
      </c>
      <c r="B65" s="2388" t="str">
        <f>估价对象房地状况!C22</f>
        <v>估价对象所在区域基础设施水平达到三通一平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20" t="s">
        <v>1029</v>
      </c>
      <c r="B66" s="2392" t="str">
        <f>估价对象房地状况!C20</f>
        <v>区域自然环境：；人文环境；综合评价环境状况较好</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96" hidden="1">
      <c r="A70" s="1067" t="s">
        <v>1034</v>
      </c>
      <c r="B70" s="2387" t="str">
        <f>估价对象房地状况!C18</f>
        <v>估价对象周边有445路、516路、659路、983路等多条公交线路经过，距14号线地铁（将台站）约300米，道路状况较好、公共交通通达情况较好、综合评价交通便捷度较好。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7" t="s">
        <v>1027</v>
      </c>
      <c r="B73" s="2388" t="str">
        <f>估价对象房地状况!C21</f>
        <v>估价对象所在区域公共配套设施齐备度较好</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7" t="s">
        <v>1028</v>
      </c>
      <c r="B74" s="2388" t="str">
        <f>估价对象房地状况!C22</f>
        <v>估价对象所在区域基础设施水平达到三通一平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7" t="s">
        <v>1026</v>
      </c>
      <c r="B75" s="3072" t="s">
        <v>2934</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7" t="s">
        <v>1029</v>
      </c>
      <c r="B76" s="2390" t="str">
        <f>估价对象房地状况!C20</f>
        <v>区域自然环境：；人文环境；综合评价环境状况较好</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hidden="1">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hidden="1">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hidden="1">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hidden="1">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hidden="1">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hidden="1">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hidden="1">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hidden="1">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hidden="1">
      <c r="A86" s="1067" t="s">
        <v>1026</v>
      </c>
      <c r="B86" s="3072" t="s">
        <v>2934</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hidden="1"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62" t="s">
        <v>1634</v>
      </c>
      <c r="B90" s="3462"/>
      <c r="C90" s="3462"/>
      <c r="D90" s="3462"/>
      <c r="E90" s="3462"/>
      <c r="F90" s="3462"/>
      <c r="G90" s="3462"/>
      <c r="H90" s="3462"/>
      <c r="I90" s="3462"/>
      <c r="J90" s="3462"/>
      <c r="K90" s="2429"/>
      <c r="L90" s="2429"/>
      <c r="M90" s="2429"/>
      <c r="N90" s="2429"/>
    </row>
    <row r="91" spans="1:40">
      <c r="A91" s="3463" t="s">
        <v>1444</v>
      </c>
      <c r="B91" s="3463" t="s">
        <v>1635</v>
      </c>
      <c r="C91" s="1140" t="s">
        <v>1636</v>
      </c>
      <c r="D91" s="1141"/>
      <c r="E91" s="1141"/>
      <c r="F91" s="1141"/>
      <c r="G91" s="1141"/>
      <c r="H91" s="1141"/>
      <c r="I91" s="1141"/>
      <c r="J91" s="1142"/>
      <c r="K91" s="1134"/>
      <c r="L91" s="1134"/>
      <c r="M91" s="1134"/>
      <c r="N91" s="1134"/>
    </row>
    <row r="92" spans="1:40">
      <c r="A92" s="3463"/>
      <c r="B92" s="3463"/>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1638</v>
      </c>
      <c r="B101" s="1147" t="s">
        <v>906</v>
      </c>
      <c r="C101" s="1148">
        <f>$G$3</f>
        <v>5.12</v>
      </c>
      <c r="D101" s="1148">
        <f t="shared" ref="D101:N101" si="31">$G$3</f>
        <v>5.12</v>
      </c>
      <c r="E101" s="1148">
        <f t="shared" si="31"/>
        <v>5.12</v>
      </c>
      <c r="F101" s="1148">
        <f t="shared" si="31"/>
        <v>5.12</v>
      </c>
      <c r="G101" s="1148">
        <f t="shared" si="31"/>
        <v>5.12</v>
      </c>
      <c r="H101" s="1148">
        <f t="shared" si="31"/>
        <v>5.12</v>
      </c>
      <c r="I101" s="1148">
        <f t="shared" si="31"/>
        <v>5.12</v>
      </c>
      <c r="J101" s="1148">
        <f t="shared" si="31"/>
        <v>5.12</v>
      </c>
      <c r="K101" s="1148">
        <f t="shared" si="31"/>
        <v>5.12</v>
      </c>
      <c r="L101" s="1148">
        <f t="shared" si="31"/>
        <v>5.12</v>
      </c>
      <c r="M101" s="1148">
        <f t="shared" si="31"/>
        <v>5.12</v>
      </c>
      <c r="N101" s="1148">
        <f t="shared" si="31"/>
        <v>5.12</v>
      </c>
    </row>
    <row r="102" spans="1:14">
      <c r="A102" s="3453"/>
      <c r="B102" s="1143">
        <v>1</v>
      </c>
      <c r="C102" s="1144">
        <f>1.9362/C101</f>
        <v>0.37816406249999995</v>
      </c>
      <c r="D102" s="1144">
        <f>1.9362/D101</f>
        <v>0.37816406249999995</v>
      </c>
      <c r="E102" s="1144">
        <f>1.8629/E101</f>
        <v>0.36384765624999998</v>
      </c>
      <c r="F102" s="1144">
        <f>1.8629/F101</f>
        <v>0.36384765624999998</v>
      </c>
      <c r="G102" s="1144">
        <f>1.8629/G101</f>
        <v>0.36384765624999998</v>
      </c>
      <c r="H102" s="1144">
        <f>1.8629/H101</f>
        <v>0.36384765624999998</v>
      </c>
      <c r="I102" s="1144">
        <f>1.8629/I101</f>
        <v>0.36384765624999998</v>
      </c>
      <c r="J102" s="1144">
        <f>1.942/J101</f>
        <v>0.37929687499999998</v>
      </c>
      <c r="K102" s="1144">
        <f>1.942/K101</f>
        <v>0.37929687499999998</v>
      </c>
      <c r="L102" s="1144">
        <f>1.942/L101</f>
        <v>0.37929687499999998</v>
      </c>
      <c r="M102" s="1144">
        <f>1.942/M101</f>
        <v>0.37929687499999998</v>
      </c>
      <c r="N102" s="1144">
        <f>1.942/N101</f>
        <v>0.37929687499999998</v>
      </c>
    </row>
    <row r="103" spans="1:14">
      <c r="A103" s="3453"/>
      <c r="B103" s="1143">
        <v>2</v>
      </c>
      <c r="C103" s="1144">
        <f>1.4198/C101</f>
        <v>0.27730468749999998</v>
      </c>
      <c r="D103" s="1144">
        <f>1.4198/D101</f>
        <v>0.27730468749999998</v>
      </c>
      <c r="E103" s="1144">
        <f>1.3372/E101</f>
        <v>0.261171875</v>
      </c>
      <c r="F103" s="1144">
        <f>1.3372/F101</f>
        <v>0.261171875</v>
      </c>
      <c r="G103" s="1144">
        <f>1.3372/G101</f>
        <v>0.261171875</v>
      </c>
      <c r="H103" s="1144">
        <f>1.3372/H101</f>
        <v>0.261171875</v>
      </c>
      <c r="I103" s="1144">
        <f>1.3372/I101</f>
        <v>0.261171875</v>
      </c>
      <c r="J103" s="1144">
        <f>1.2799/J101</f>
        <v>0.24998046874999999</v>
      </c>
      <c r="K103" s="1144">
        <f>1.2799/K101</f>
        <v>0.24998046874999999</v>
      </c>
      <c r="L103" s="1144">
        <f>1.2799/L101</f>
        <v>0.24998046874999999</v>
      </c>
      <c r="M103" s="1144">
        <f>1.2799/M101</f>
        <v>0.24998046874999999</v>
      </c>
      <c r="N103" s="1144">
        <f>1.2799/N101</f>
        <v>0.24998046874999999</v>
      </c>
    </row>
    <row r="104" spans="1:14">
      <c r="A104" s="3453"/>
      <c r="B104" s="1143">
        <v>3</v>
      </c>
      <c r="C104" s="1144">
        <f>1.1594/C101</f>
        <v>0.2264453125</v>
      </c>
      <c r="D104" s="1144">
        <f>1.1594/D101</f>
        <v>0.2264453125</v>
      </c>
      <c r="E104" s="1144">
        <f>1.0788/E101</f>
        <v>0.21070312499999999</v>
      </c>
      <c r="F104" s="1144">
        <f>1.0788/F101</f>
        <v>0.21070312499999999</v>
      </c>
      <c r="G104" s="1144">
        <f>1.0788/G101</f>
        <v>0.21070312499999999</v>
      </c>
      <c r="H104" s="1144">
        <f>1.0788/H101</f>
        <v>0.21070312499999999</v>
      </c>
      <c r="I104" s="1144">
        <f>1.0788/I101</f>
        <v>0.21070312499999999</v>
      </c>
      <c r="J104" s="1144">
        <f>1.0072/J101</f>
        <v>0.19671875000000003</v>
      </c>
      <c r="K104" s="1144">
        <f>1.0072/K101</f>
        <v>0.19671875000000003</v>
      </c>
      <c r="L104" s="1144">
        <f>1.0072/L101</f>
        <v>0.19671875000000003</v>
      </c>
      <c r="M104" s="1144">
        <f>1.0072/M101</f>
        <v>0.19671875000000003</v>
      </c>
      <c r="N104" s="1144">
        <f>1.0072/N101</f>
        <v>0.19671875000000003</v>
      </c>
    </row>
    <row r="105" spans="1:14">
      <c r="A105" s="3453"/>
      <c r="B105" s="1143">
        <v>4</v>
      </c>
      <c r="C105" s="1144">
        <f>0.9622/C101</f>
        <v>0.1879296875</v>
      </c>
      <c r="D105" s="1144">
        <f>0.9622/D101</f>
        <v>0.1879296875</v>
      </c>
      <c r="E105" s="1144">
        <f>0.8656/E101</f>
        <v>0.1690625</v>
      </c>
      <c r="F105" s="1144">
        <f>0.8656/F101</f>
        <v>0.1690625</v>
      </c>
      <c r="G105" s="1144">
        <f>0.8656/G101</f>
        <v>0.1690625</v>
      </c>
      <c r="H105" s="1144">
        <f>0.8656/H101</f>
        <v>0.1690625</v>
      </c>
      <c r="I105" s="1144">
        <f>0.8656/I101</f>
        <v>0.1690625</v>
      </c>
      <c r="J105" s="1144">
        <f>0.7525/J101</f>
        <v>0.14697265625</v>
      </c>
      <c r="K105" s="1144">
        <f>0.7525/K101</f>
        <v>0.14697265625</v>
      </c>
      <c r="L105" s="1144">
        <f>0.7525/L101</f>
        <v>0.14697265625</v>
      </c>
      <c r="M105" s="1144">
        <f>0.7525/M101</f>
        <v>0.14697265625</v>
      </c>
      <c r="N105" s="1144">
        <f>0.7525/N101</f>
        <v>0.14697265625</v>
      </c>
    </row>
    <row r="106" spans="1:14">
      <c r="A106" s="3453"/>
      <c r="B106" s="1143">
        <v>5</v>
      </c>
      <c r="C106" s="1144">
        <f>0.8417/C101</f>
        <v>0.16439453125</v>
      </c>
      <c r="D106" s="1144">
        <f>0.8417/D101</f>
        <v>0.16439453125</v>
      </c>
      <c r="E106" s="1144">
        <f>0.7371/E101</f>
        <v>0.14396484374999999</v>
      </c>
      <c r="F106" s="1144">
        <f>0.7371/F101</f>
        <v>0.14396484374999999</v>
      </c>
      <c r="G106" s="1144">
        <f>0.7371/G101</f>
        <v>0.14396484374999999</v>
      </c>
      <c r="H106" s="1144">
        <f>0.7371/H101</f>
        <v>0.14396484374999999</v>
      </c>
      <c r="I106" s="1144">
        <f>0.7371/I101</f>
        <v>0.14396484374999999</v>
      </c>
      <c r="J106" s="1144">
        <f>0.5659/J101</f>
        <v>0.11052734374999999</v>
      </c>
      <c r="K106" s="1144">
        <f>0.5659/K101</f>
        <v>0.11052734374999999</v>
      </c>
      <c r="L106" s="1144">
        <f>0.5659/L101</f>
        <v>0.11052734374999999</v>
      </c>
      <c r="M106" s="1144">
        <f>0.5659/M101</f>
        <v>0.11052734374999999</v>
      </c>
      <c r="N106" s="1144">
        <f>0.5659/N101</f>
        <v>0.11052734374999999</v>
      </c>
    </row>
    <row r="107" spans="1:14">
      <c r="A107" s="3453"/>
      <c r="B107" s="1143">
        <v>6</v>
      </c>
      <c r="C107" s="1144">
        <f>0.7608/C101</f>
        <v>0.14859375</v>
      </c>
      <c r="D107" s="1144">
        <f>0.7608/D101</f>
        <v>0.14859375</v>
      </c>
      <c r="E107" s="1144">
        <f>0.6482/E101</f>
        <v>0.12660156249999999</v>
      </c>
      <c r="F107" s="1144">
        <f>0.6482/F101</f>
        <v>0.12660156249999999</v>
      </c>
      <c r="G107" s="1144">
        <f>0.6482/G101</f>
        <v>0.12660156249999999</v>
      </c>
      <c r="H107" s="1144">
        <f>0.6482/H101</f>
        <v>0.12660156249999999</v>
      </c>
      <c r="I107" s="1144">
        <f>0.6482/I101</f>
        <v>0.12660156249999999</v>
      </c>
      <c r="J107" s="1144">
        <f>0.4525/J101</f>
        <v>8.837890625E-2</v>
      </c>
      <c r="K107" s="1144">
        <f>0.4525/K101</f>
        <v>8.837890625E-2</v>
      </c>
      <c r="L107" s="1144">
        <f>0.4525/L101</f>
        <v>8.837890625E-2</v>
      </c>
      <c r="M107" s="1144">
        <f>0.4525/M101</f>
        <v>8.837890625E-2</v>
      </c>
      <c r="N107" s="1144">
        <f>0.4525/N101</f>
        <v>8.837890625E-2</v>
      </c>
    </row>
    <row r="108" spans="1:14">
      <c r="A108" s="3453"/>
      <c r="B108" s="345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0.14847359374999999</v>
      </c>
      <c r="D109" s="1146">
        <f>(-0.163*(D108^2)-0.59*D108+7617)*(10^(-4))/D101</f>
        <v>0.14847359374999999</v>
      </c>
      <c r="E109" s="1146">
        <f>(-0.161*(E108^2)-7.509*E108+6533)*(10^(-4))/E101</f>
        <v>0.12622312499999999</v>
      </c>
      <c r="F109" s="1146">
        <f>(-0.161*(F108^2)-7.509*F108+6533)*(10^(-4))/F101</f>
        <v>0.12622312499999999</v>
      </c>
      <c r="G109" s="1146">
        <f>(-0.161*(G108^2)-7.509*G108+6533)*(10^(-4))/G101</f>
        <v>0.12622312499999999</v>
      </c>
      <c r="H109" s="1146">
        <f>(-0.161*(H108^2)-7.509*H108+6533)*(10^(-4))/H101</f>
        <v>0.12622312499999999</v>
      </c>
      <c r="I109" s="1146">
        <f>(-0.161*(I108^2)-7.509*I108+6533)*(10^(-4))/I101</f>
        <v>0.12622312499999999</v>
      </c>
      <c r="J109" s="1146">
        <f>(-0.214*(J108^2)-21.991*J108+4665)*(10^(-4))/J101</f>
        <v>8.74096875E-2</v>
      </c>
      <c r="K109" s="1146">
        <f>(-0.214*(K108^2)-21.991*K108+4665)*(10^(-4))/K101</f>
        <v>8.74096875E-2</v>
      </c>
      <c r="L109" s="1146">
        <f>(-0.214*(L108^2)-21.991*L108+4665)*(10^(-4))/L101</f>
        <v>8.74096875E-2</v>
      </c>
      <c r="M109" s="1146">
        <f>(-0.214*(M108^2)-21.991*M108+4665)*(10^(-4))/M101</f>
        <v>8.74096875E-2</v>
      </c>
      <c r="N109" s="1146">
        <f>(-0.214*(N108^2)-21.991*N108+4665)*(10^(-4))/N101</f>
        <v>8.74096875E-2</v>
      </c>
    </row>
    <row r="110" spans="1:14">
      <c r="A110" s="3457" t="s">
        <v>1640</v>
      </c>
      <c r="B110" s="3457"/>
      <c r="C110" s="3457"/>
      <c r="D110" s="3457"/>
      <c r="E110" s="3457"/>
      <c r="F110" s="3457"/>
      <c r="G110" s="3457"/>
      <c r="H110" s="3457"/>
      <c r="I110" s="3457"/>
      <c r="J110" s="3457"/>
      <c r="K110" s="2427"/>
      <c r="L110" s="2427"/>
      <c r="M110" s="2427"/>
      <c r="N110" s="2427"/>
    </row>
    <row r="112" spans="1:14" ht="12.75" thickBot="1"/>
    <row r="113" spans="1:13" ht="25.5" thickBot="1">
      <c r="A113" s="1016" t="s">
        <v>896</v>
      </c>
      <c r="B113" s="2430">
        <f>G3</f>
        <v>5.12</v>
      </c>
      <c r="C113" s="1017" t="s">
        <v>897</v>
      </c>
      <c r="D113" s="1018">
        <f>SUMPRODUCT((A115:A118=F113)*(B114:M114=H113)*B115:M118)</f>
        <v>0.77729999999999999</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0.88539999999999996</v>
      </c>
      <c r="C115" s="1030">
        <f>B115</f>
        <v>0.88539999999999996</v>
      </c>
      <c r="D115" s="1030">
        <f>ROUND(0.8331-0.0109*B113,4)</f>
        <v>0.77729999999999999</v>
      </c>
      <c r="E115" s="1030">
        <f>D115</f>
        <v>0.77729999999999999</v>
      </c>
      <c r="F115" s="1030">
        <f>E115</f>
        <v>0.77729999999999999</v>
      </c>
      <c r="G115" s="1030">
        <f>F115</f>
        <v>0.77729999999999999</v>
      </c>
      <c r="H115" s="1030">
        <f>G115</f>
        <v>0.77729999999999999</v>
      </c>
      <c r="I115" s="1030">
        <f>ROUND(0.689-0.0155*B113,4)</f>
        <v>0.60960000000000003</v>
      </c>
      <c r="J115" s="1030">
        <f t="shared" ref="J115:M118" si="33">I115</f>
        <v>0.60960000000000003</v>
      </c>
      <c r="K115" s="1030">
        <f t="shared" si="33"/>
        <v>0.60960000000000003</v>
      </c>
      <c r="L115" s="1030">
        <f t="shared" si="33"/>
        <v>0.60960000000000003</v>
      </c>
      <c r="M115" s="1031">
        <f t="shared" si="33"/>
        <v>0.60960000000000003</v>
      </c>
    </row>
    <row r="116" spans="1:13" ht="12.75">
      <c r="A116" s="1029" t="s">
        <v>901</v>
      </c>
      <c r="B116" s="1030">
        <f>ROUND(0.949-0.012*B113,4)</f>
        <v>0.88759999999999994</v>
      </c>
      <c r="C116" s="1030">
        <f>B116</f>
        <v>0.88759999999999994</v>
      </c>
      <c r="D116" s="1030">
        <f>ROUND(0.8567-0.013*B113,4)</f>
        <v>0.79010000000000002</v>
      </c>
      <c r="E116" s="1030">
        <f t="shared" ref="E116:H117" si="34">D116</f>
        <v>0.79010000000000002</v>
      </c>
      <c r="F116" s="1030">
        <f t="shared" si="34"/>
        <v>0.79010000000000002</v>
      </c>
      <c r="G116" s="1030">
        <f t="shared" si="34"/>
        <v>0.79010000000000002</v>
      </c>
      <c r="H116" s="1030">
        <f t="shared" si="34"/>
        <v>0.79010000000000002</v>
      </c>
      <c r="I116" s="1030">
        <f>ROUND(0.7694-0.014*B113,4)</f>
        <v>0.69769999999999999</v>
      </c>
      <c r="J116" s="1030">
        <f t="shared" si="33"/>
        <v>0.69769999999999999</v>
      </c>
      <c r="K116" s="1030">
        <f t="shared" si="33"/>
        <v>0.69769999999999999</v>
      </c>
      <c r="L116" s="1030">
        <f t="shared" si="33"/>
        <v>0.69769999999999999</v>
      </c>
      <c r="M116" s="1031">
        <f t="shared" si="33"/>
        <v>0.69769999999999999</v>
      </c>
    </row>
    <row r="117" spans="1:13" ht="12.75">
      <c r="A117" s="1032" t="s">
        <v>902</v>
      </c>
      <c r="B117" s="1030">
        <f>ROUND(0.8808-0.006*B113,4)</f>
        <v>0.85009999999999997</v>
      </c>
      <c r="C117" s="1030">
        <f>B117</f>
        <v>0.85009999999999997</v>
      </c>
      <c r="D117" s="1030">
        <f>ROUND(0.8748-0.008*B113,4)</f>
        <v>0.83379999999999999</v>
      </c>
      <c r="E117" s="1030">
        <f t="shared" si="34"/>
        <v>0.83379999999999999</v>
      </c>
      <c r="F117" s="1030">
        <f t="shared" si="34"/>
        <v>0.83379999999999999</v>
      </c>
      <c r="G117" s="1030">
        <f t="shared" si="34"/>
        <v>0.83379999999999999</v>
      </c>
      <c r="H117" s="1030">
        <f t="shared" si="34"/>
        <v>0.83379999999999999</v>
      </c>
      <c r="I117" s="1030">
        <f>ROUND(0.7412-0.0095*B113,4)</f>
        <v>0.69259999999999999</v>
      </c>
      <c r="J117" s="1030">
        <f t="shared" si="33"/>
        <v>0.69259999999999999</v>
      </c>
      <c r="K117" s="1030">
        <f t="shared" si="33"/>
        <v>0.69259999999999999</v>
      </c>
      <c r="L117" s="1030">
        <f t="shared" si="33"/>
        <v>0.69259999999999999</v>
      </c>
      <c r="M117" s="1031">
        <f t="shared" si="33"/>
        <v>0.69259999999999999</v>
      </c>
    </row>
    <row r="118" spans="1:13" ht="13.5" thickBot="1">
      <c r="A118" s="1033" t="s">
        <v>903</v>
      </c>
      <c r="B118" s="1034">
        <f>ROUND(0.7275-0.01*B113,4)</f>
        <v>0.67630000000000001</v>
      </c>
      <c r="C118" s="1034">
        <f>B118</f>
        <v>0.67630000000000001</v>
      </c>
      <c r="D118" s="1034">
        <f>ROUND(0.7043-0.012*B113,4)</f>
        <v>0.64290000000000003</v>
      </c>
      <c r="E118" s="1034">
        <f>D118</f>
        <v>0.64290000000000003</v>
      </c>
      <c r="F118" s="1034">
        <f>E118</f>
        <v>0.64290000000000003</v>
      </c>
      <c r="G118" s="1034">
        <f>ROUND(0.6299-0.0122*B113,4)</f>
        <v>0.56740000000000002</v>
      </c>
      <c r="H118" s="1034">
        <f>G118</f>
        <v>0.56740000000000002</v>
      </c>
      <c r="I118" s="1034">
        <f>ROUND(0.5667-0.0136*B113,4)</f>
        <v>0.49709999999999999</v>
      </c>
      <c r="J118" s="1034">
        <f t="shared" si="33"/>
        <v>0.49709999999999999</v>
      </c>
      <c r="K118" s="1034">
        <f t="shared" si="33"/>
        <v>0.49709999999999999</v>
      </c>
      <c r="L118" s="1034">
        <f t="shared" si="33"/>
        <v>0.49709999999999999</v>
      </c>
      <c r="M118" s="1035">
        <f t="shared" si="33"/>
        <v>0.49709999999999999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1" zoomScaleNormal="100" workbookViewId="0">
      <selection activeCell="C39" sqref="C3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3000</v>
      </c>
      <c r="D1" s="3101" t="s">
        <v>3126</v>
      </c>
      <c r="E1" s="2366" t="s">
        <v>2375</v>
      </c>
      <c r="F1" s="2367">
        <f ca="1">J53</f>
        <v>38</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356733</v>
      </c>
      <c r="C2" s="2057"/>
      <c r="D2" s="2055"/>
      <c r="E2" s="2056"/>
      <c r="F2" s="2056"/>
      <c r="G2" s="1590"/>
      <c r="H2" s="2057"/>
      <c r="I2" s="2057"/>
      <c r="J2" s="2057"/>
      <c r="K2" s="2058"/>
      <c r="L2" s="2057"/>
      <c r="M2" s="2057"/>
    </row>
    <row r="3" spans="1:33" ht="18" customHeight="1" thickBot="1">
      <c r="A3" s="833" t="s">
        <v>1728</v>
      </c>
      <c r="B3" s="834">
        <f ca="1">IF(ISERROR(B2*10000/F43),0,ROUND(B2*10000/F43,0))</f>
        <v>41745</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31604</v>
      </c>
      <c r="D5" s="2475" t="s">
        <v>2462</v>
      </c>
      <c r="E5" s="2469"/>
      <c r="F5" s="2470"/>
      <c r="G5" s="1592"/>
      <c r="H5" s="781">
        <v>1</v>
      </c>
      <c r="I5" s="782" t="s">
        <v>2459</v>
      </c>
      <c r="J5" s="55">
        <f ca="1">J6+J10+J12</f>
        <v>0</v>
      </c>
      <c r="K5" s="2475" t="s">
        <v>2462</v>
      </c>
      <c r="L5" s="2469"/>
      <c r="M5" s="2470"/>
    </row>
    <row r="6" spans="1:33" ht="18" customHeight="1">
      <c r="A6" s="1830" t="s">
        <v>1825</v>
      </c>
      <c r="B6" s="3469" t="s">
        <v>2464</v>
      </c>
      <c r="C6" s="783">
        <f ca="1">ROUND(F6*F8*F7*(1-F9)/10000,0)</f>
        <v>31565</v>
      </c>
      <c r="D6" s="2476" t="s">
        <v>2463</v>
      </c>
      <c r="E6" s="784" t="s">
        <v>1739</v>
      </c>
      <c r="F6" s="785">
        <f ca="1">INDIRECT("'数据-取费表'!u"&amp;$G$1)</f>
        <v>11</v>
      </c>
      <c r="G6" s="1592"/>
      <c r="H6" s="2483" t="s">
        <v>2469</v>
      </c>
      <c r="I6" s="3469" t="s">
        <v>2464</v>
      </c>
      <c r="J6" s="783">
        <f ca="1">ROUND(M6*M8*M7*(1-M9)/10000,0)</f>
        <v>0</v>
      </c>
      <c r="K6" s="341" t="s">
        <v>1738</v>
      </c>
      <c r="L6" s="784" t="s">
        <v>1739</v>
      </c>
      <c r="M6" s="785">
        <f ca="1">INDIRECT("'数据-取费表'!z"&amp;$G$1)</f>
        <v>0</v>
      </c>
    </row>
    <row r="7" spans="1:33" ht="18" customHeight="1">
      <c r="A7" s="2479"/>
      <c r="B7" s="3470"/>
      <c r="C7" s="788"/>
      <c r="D7" s="789"/>
      <c r="E7" s="784" t="s">
        <v>1740</v>
      </c>
      <c r="F7" s="785">
        <f ca="1">IF(INDIRECT("'数据-取费表'!ah"&amp;$G$1)="",INDIRECT("'数据-取费表'!k"&amp;$G$1),INDIRECT("'数据-取费表'!ah"&amp;$G$1))</f>
        <v>85455</v>
      </c>
      <c r="G7" s="1592"/>
      <c r="H7" s="2468"/>
      <c r="I7" s="3470"/>
      <c r="J7" s="788"/>
      <c r="K7" s="789"/>
      <c r="L7" s="784" t="s">
        <v>1740</v>
      </c>
      <c r="M7" s="785">
        <f ca="1">F7</f>
        <v>85455</v>
      </c>
    </row>
    <row r="8" spans="1:33" ht="18" customHeight="1">
      <c r="A8" s="2472"/>
      <c r="B8" s="3471"/>
      <c r="C8" s="788"/>
      <c r="D8" s="789"/>
      <c r="E8" s="784" t="s">
        <v>1741</v>
      </c>
      <c r="F8" s="785">
        <f ca="1">INDIRECT("'数据-取费表'!ai"&amp;$G$1)</f>
        <v>365</v>
      </c>
      <c r="G8" s="1592"/>
      <c r="H8" s="2468"/>
      <c r="I8" s="3471"/>
      <c r="J8" s="788"/>
      <c r="K8" s="789"/>
      <c r="L8" s="784" t="s">
        <v>1741</v>
      </c>
      <c r="M8" s="785">
        <f ca="1">INDIRECT("'数据-取费表'!ai"&amp;$G$1)</f>
        <v>365</v>
      </c>
    </row>
    <row r="9" spans="1:33" ht="18" customHeight="1">
      <c r="A9" s="786"/>
      <c r="B9" s="3472"/>
      <c r="C9" s="788"/>
      <c r="D9" s="789"/>
      <c r="E9" s="784" t="s">
        <v>1742</v>
      </c>
      <c r="F9" s="794">
        <f ca="1">INDIRECT("'数据-取费表'!w"&amp;$G$1)</f>
        <v>0.08</v>
      </c>
      <c r="G9" s="1592"/>
      <c r="H9" s="2484"/>
      <c r="I9" s="3471"/>
      <c r="J9" s="788"/>
      <c r="K9" s="789"/>
      <c r="L9" s="795" t="s">
        <v>1742</v>
      </c>
      <c r="M9" s="796">
        <f ca="1">INDIRECT("'数据-取费表'!ab"&amp;$G$1)</f>
        <v>0</v>
      </c>
    </row>
    <row r="10" spans="1:33" ht="18" customHeight="1">
      <c r="A10" s="1830" t="s">
        <v>2467</v>
      </c>
      <c r="B10" s="2473" t="s">
        <v>2460</v>
      </c>
      <c r="C10" s="799">
        <f ca="1">ROUND(IF(F10="押一",C6/12*F11,IF(F10="押二",C6/12*2*F11,IF(F10="押三",C6/12*3*F11,C11*F11))),0)</f>
        <v>39</v>
      </c>
      <c r="D10" s="2480" t="s">
        <v>2972</v>
      </c>
      <c r="E10" s="2477" t="s">
        <v>2465</v>
      </c>
      <c r="F10" s="2600" t="s">
        <v>3125</v>
      </c>
      <c r="G10" s="1592"/>
      <c r="H10" s="2540" t="s">
        <v>2470</v>
      </c>
      <c r="I10" s="2545" t="s">
        <v>2460</v>
      </c>
      <c r="J10" s="783">
        <f ca="1">ROUND(IF(M10="押一",J6/12*M11,IF(M10="押二",J6/12*2*M11,IF(M10="押三",J6/12*3*M11,J11*M11))),0)</f>
        <v>0</v>
      </c>
      <c r="K10" s="2480" t="s">
        <v>2972</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62986</v>
      </c>
      <c r="D13" s="1834" t="s">
        <v>2298</v>
      </c>
      <c r="E13" s="1834" t="s">
        <v>1745</v>
      </c>
      <c r="F13" s="2515">
        <f ca="1">INDIRECT("'数据-取费表'!y"&amp;$G$1)</f>
        <v>1</v>
      </c>
      <c r="G13" s="1592"/>
      <c r="H13" s="1829">
        <v>2</v>
      </c>
      <c r="I13" s="1827" t="s">
        <v>1743</v>
      </c>
      <c r="J13" s="1819">
        <f ca="1">ROUND(J14*J15,0)</f>
        <v>62986</v>
      </c>
      <c r="K13" s="1821" t="s">
        <v>1744</v>
      </c>
      <c r="L13" s="2531"/>
      <c r="M13" s="2532"/>
    </row>
    <row r="14" spans="1:33" ht="18" customHeight="1">
      <c r="A14" s="1648" t="s">
        <v>1885</v>
      </c>
      <c r="B14" s="784" t="s">
        <v>645</v>
      </c>
      <c r="C14" s="804">
        <f ca="1">INDIRECT("'数据-取费表'!m"&amp;$G$1)+INDIRECT("'数据-取费表'!t"&amp;$G$1)</f>
        <v>41018</v>
      </c>
      <c r="D14" s="1979" t="s">
        <v>1746</v>
      </c>
      <c r="E14" s="1980"/>
      <c r="F14" s="805"/>
      <c r="G14" s="1592"/>
      <c r="H14" s="1649" t="s">
        <v>1831</v>
      </c>
      <c r="I14" s="2231" t="s">
        <v>2826</v>
      </c>
      <c r="J14" s="53">
        <f ca="1">C29</f>
        <v>62986</v>
      </c>
      <c r="K14" s="26"/>
      <c r="L14" s="801"/>
      <c r="M14" s="802"/>
    </row>
    <row r="15" spans="1:33" s="2064" customFormat="1" ht="18" customHeight="1" thickBot="1">
      <c r="A15" s="1648" t="s">
        <v>1886</v>
      </c>
      <c r="B15" s="784" t="s">
        <v>647</v>
      </c>
      <c r="C15" s="53">
        <f ca="1">ROUND(C14*F15,0)</f>
        <v>1231</v>
      </c>
      <c r="D15" s="806" t="s">
        <v>1747</v>
      </c>
      <c r="E15" s="806" t="s">
        <v>1748</v>
      </c>
      <c r="F15" s="807">
        <f>'数据-取费表'!B33</f>
        <v>0.03</v>
      </c>
      <c r="G15" s="1593"/>
      <c r="H15" s="2530" t="s">
        <v>1890</v>
      </c>
      <c r="I15" s="2525" t="s">
        <v>1745</v>
      </c>
      <c r="J15" s="2534">
        <f ca="1">INDIRECT("'数据-取费表'!ad"&amp;$G$1)</f>
        <v>1</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6760</v>
      </c>
      <c r="K16" s="1821" t="s">
        <v>1751</v>
      </c>
      <c r="L16" s="2465"/>
      <c r="M16" s="2470"/>
    </row>
    <row r="17" spans="1:33" s="2064" customFormat="1" ht="18" customHeight="1">
      <c r="A17" s="1648" t="s">
        <v>1888</v>
      </c>
      <c r="B17" s="784" t="s">
        <v>653</v>
      </c>
      <c r="C17" s="53">
        <f ca="1">ROUND(F17*(F43+INDIRECT("'数据-取费表'!S"&amp;$G$1))/10000,0)</f>
        <v>1709</v>
      </c>
      <c r="D17" s="784" t="s">
        <v>1752</v>
      </c>
      <c r="E17" s="784" t="s">
        <v>1753</v>
      </c>
      <c r="F17" s="56">
        <f>'数据-取费表'!B35</f>
        <v>200</v>
      </c>
      <c r="G17" s="1593"/>
      <c r="H17" s="1649" t="s">
        <v>1831</v>
      </c>
      <c r="I17" s="784" t="s">
        <v>656</v>
      </c>
      <c r="J17" s="53">
        <f ca="1">ROUND(IF(项目基本情况!B11="自然人",J5*M17,J18+J19+J20),0)</f>
        <v>5311</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615</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44573</v>
      </c>
      <c r="D19" s="261" t="s">
        <v>1758</v>
      </c>
      <c r="E19" s="1982"/>
      <c r="F19" s="56"/>
      <c r="G19" s="1592"/>
      <c r="H19" s="1648" t="s">
        <v>1886</v>
      </c>
      <c r="I19" s="784" t="s">
        <v>1759</v>
      </c>
      <c r="J19" s="53">
        <f ca="1">IF(K19="按租金收入计税",ROUND(J5*M19,1),ROUND(C29*F33*0.7,1))</f>
        <v>5290.8</v>
      </c>
      <c r="K19" s="811" t="s">
        <v>665</v>
      </c>
      <c r="L19" s="784" t="s">
        <v>1748</v>
      </c>
      <c r="M19" s="809">
        <f>IF(K19="按租金收入计税",'数据-取费表'!B51,'数据-取费表'!B50)</f>
        <v>1.2E-2</v>
      </c>
    </row>
    <row r="20" spans="1:33" s="2064" customFormat="1" ht="18" customHeight="1">
      <c r="A20" s="1649" t="s">
        <v>1890</v>
      </c>
      <c r="B20" s="784" t="s">
        <v>666</v>
      </c>
      <c r="C20" s="53">
        <f ca="1">ROUND(C19*F20,0)</f>
        <v>1337</v>
      </c>
      <c r="D20" s="812" t="s">
        <v>1760</v>
      </c>
      <c r="E20" s="784" t="s">
        <v>1748</v>
      </c>
      <c r="F20" s="809">
        <f>'数据-取费表'!B37</f>
        <v>0.03</v>
      </c>
      <c r="G20" s="1593"/>
      <c r="H20" s="1651" t="s">
        <v>1881</v>
      </c>
      <c r="I20" s="341" t="s">
        <v>1761</v>
      </c>
      <c r="J20" s="54">
        <f ca="1">ROUND(M20*M21/10000,0)</f>
        <v>20</v>
      </c>
      <c r="K20" s="814" t="s">
        <v>1762</v>
      </c>
      <c r="L20" s="784" t="s">
        <v>1763</v>
      </c>
      <c r="M20" s="640">
        <f>'数据-取费表'!B52</f>
        <v>12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0.03</v>
      </c>
      <c r="G21" s="1593"/>
      <c r="H21" s="2485"/>
      <c r="I21" s="793"/>
      <c r="J21" s="69"/>
      <c r="K21" s="816"/>
      <c r="L21" s="784" t="s">
        <v>1767</v>
      </c>
      <c r="M21" s="785">
        <f ca="1">INDIRECT("'数据-取费表'!r"&amp;$G$1)</f>
        <v>16706.650000000001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1260</v>
      </c>
      <c r="K22" s="2463" t="s">
        <v>1770</v>
      </c>
      <c r="L22" s="784" t="s">
        <v>1748</v>
      </c>
      <c r="M22" s="817">
        <f ca="1">INDIRECT("'数据-取费表'!Ak"&amp;$G$1)</f>
        <v>0.02</v>
      </c>
    </row>
    <row r="23" spans="1:33" s="2064" customFormat="1" ht="18" customHeight="1">
      <c r="A23" s="1648" t="s">
        <v>1832</v>
      </c>
      <c r="B23" s="784" t="s">
        <v>2536</v>
      </c>
      <c r="C23" s="53">
        <f ca="1">ROUND(IF('数据-取费表'!B22&lt;=1,(C19+C20)*F24*F23/2,(C19+C20)*(POWER((1+F24),F23/2)-1)),0)</f>
        <v>2181</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189</v>
      </c>
      <c r="K23" s="2463" t="s">
        <v>1772</v>
      </c>
      <c r="L23" s="784" t="s">
        <v>1748</v>
      </c>
      <c r="M23" s="818">
        <f ca="1">INDIRECT("'数据-取费表'!Al"&amp;$G$1)</f>
        <v>3.0000000000000001E-3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0.03</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6" t="s">
        <v>2822</v>
      </c>
      <c r="J25" s="792">
        <f ca="1">J5-J16</f>
        <v>-6760</v>
      </c>
      <c r="K25" s="2527" t="s">
        <v>1778</v>
      </c>
      <c r="L25" s="2528"/>
      <c r="M25" s="2529"/>
    </row>
    <row r="26" spans="1:33" ht="18" customHeight="1">
      <c r="A26" s="1648" t="s">
        <v>1832</v>
      </c>
      <c r="B26" s="784" t="s">
        <v>2439</v>
      </c>
      <c r="C26" s="53">
        <f ca="1">ROUND((C19+C20)*F26,0)</f>
        <v>9182</v>
      </c>
      <c r="D26" s="812" t="s">
        <v>1779</v>
      </c>
      <c r="E26" s="795" t="s">
        <v>1780</v>
      </c>
      <c r="F26" s="794">
        <f ca="1">INDIRECT("'数据-取费表'!q"&amp;$G$1)</f>
        <v>0.2</v>
      </c>
      <c r="G26" s="1592"/>
      <c r="H26" s="2481" t="s">
        <v>1781</v>
      </c>
      <c r="I26" s="2232" t="s">
        <v>2827</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6.0000000000000001E-3</v>
      </c>
      <c r="D27" s="812" t="s">
        <v>1783</v>
      </c>
      <c r="E27" s="806"/>
      <c r="F27" s="807"/>
      <c r="G27" s="1592"/>
      <c r="H27" s="2482"/>
      <c r="I27" s="787"/>
      <c r="J27" s="788"/>
      <c r="K27" s="821" t="s">
        <v>1784</v>
      </c>
      <c r="L27" s="784" t="s">
        <v>1785</v>
      </c>
      <c r="M27" s="822">
        <f ca="1">INDIRECT("'数据-取费表'!ag"&amp;$G$1)</f>
        <v>-2</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62986</v>
      </c>
      <c r="D29" s="2524"/>
      <c r="E29" s="2525"/>
      <c r="F29" s="2526"/>
      <c r="G29" s="1593"/>
      <c r="H29" s="823" t="s">
        <v>1788</v>
      </c>
      <c r="I29" s="824" t="s">
        <v>1789</v>
      </c>
      <c r="J29" s="825">
        <f ca="1">ROUND(J26/(1+F40)^F41,0)</f>
        <v>0</v>
      </c>
      <c r="K29" s="826" t="s">
        <v>1790</v>
      </c>
      <c r="L29" s="827"/>
      <c r="M29" s="828">
        <f ca="1">INDIRECT("'数据-取费表'!k"&amp;$G$1)</f>
        <v>85455</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7895</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5498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1685.5</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3792.5</v>
      </c>
      <c r="D33" s="811" t="s">
        <v>3128</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20</v>
      </c>
      <c r="D34" s="814" t="s">
        <v>1800</v>
      </c>
      <c r="E34" s="784" t="s">
        <v>1801</v>
      </c>
      <c r="F34" s="640">
        <f>'数据-取费表'!B52</f>
        <v>12</v>
      </c>
      <c r="G34" s="2062"/>
      <c r="H34" s="2065"/>
      <c r="I34" s="835" t="s">
        <v>1814</v>
      </c>
      <c r="J34" s="836"/>
      <c r="K34" s="2080"/>
      <c r="L34" s="2079"/>
      <c r="M34" s="2079"/>
    </row>
    <row r="35" spans="1:18" ht="18" customHeight="1">
      <c r="A35" s="815"/>
      <c r="B35" s="793"/>
      <c r="C35" s="69"/>
      <c r="D35" s="816"/>
      <c r="E35" s="784" t="s">
        <v>1802</v>
      </c>
      <c r="F35" s="785">
        <f ca="1">INDIRECT("'数据-取费表'!r"&amp;$G$1)</f>
        <v>16706.650000000001</v>
      </c>
      <c r="G35" s="2062"/>
      <c r="H35" s="2065"/>
      <c r="I35" s="837" t="s">
        <v>1815</v>
      </c>
      <c r="J35" s="838">
        <f ca="1">ROUND(C13*J36,0)</f>
        <v>5039</v>
      </c>
      <c r="K35" s="2078"/>
      <c r="L35" s="2077"/>
      <c r="M35" s="2077"/>
    </row>
    <row r="36" spans="1:18" ht="18" customHeight="1">
      <c r="A36" s="1649" t="s">
        <v>1890</v>
      </c>
      <c r="B36" s="784" t="s">
        <v>1803</v>
      </c>
      <c r="C36" s="53">
        <f ca="1">ROUND(C29*F36,1)</f>
        <v>1259.7</v>
      </c>
      <c r="D36" s="1977" t="s">
        <v>1804</v>
      </c>
      <c r="E36" s="784" t="s">
        <v>1797</v>
      </c>
      <c r="F36" s="817">
        <f ca="1">INDIRECT("'数据-取费表'!Ak"&amp;$G$1)</f>
        <v>0.02</v>
      </c>
      <c r="G36" s="2062"/>
      <c r="H36" s="2077"/>
      <c r="I36" s="839" t="s">
        <v>1816</v>
      </c>
      <c r="J36" s="840">
        <f ca="1">INDIRECT("'数据-取费表'!j"&amp;$G$1)</f>
        <v>0.08</v>
      </c>
      <c r="K36" s="2082"/>
      <c r="L36" s="2077"/>
      <c r="M36" s="2077"/>
    </row>
    <row r="37" spans="1:18" ht="18" customHeight="1">
      <c r="A37" s="1649" t="s">
        <v>1891</v>
      </c>
      <c r="B37" s="784" t="s">
        <v>679</v>
      </c>
      <c r="C37" s="53">
        <f ca="1">ROUND(C13*F37,1)</f>
        <v>189</v>
      </c>
      <c r="D37" s="1977" t="s">
        <v>1805</v>
      </c>
      <c r="E37" s="784" t="s">
        <v>1797</v>
      </c>
      <c r="F37" s="818">
        <f ca="1">INDIRECT("'数据-取费表'!Al"&amp;$G$1)</f>
        <v>3.0000000000000001E-3</v>
      </c>
      <c r="G37" s="2062"/>
      <c r="H37" s="2077"/>
      <c r="I37" s="841" t="s">
        <v>1817</v>
      </c>
      <c r="J37" s="842"/>
      <c r="K37" s="2082"/>
      <c r="L37" s="2077"/>
      <c r="M37" s="2077"/>
    </row>
    <row r="38" spans="1:18" ht="18" customHeight="1" thickBot="1">
      <c r="A38" s="2530" t="s">
        <v>1892</v>
      </c>
      <c r="B38" s="2525" t="s">
        <v>666</v>
      </c>
      <c r="C38" s="2523">
        <f ca="1">ROUND(C5*F38,1)</f>
        <v>948.1</v>
      </c>
      <c r="D38" s="2524" t="s">
        <v>1806</v>
      </c>
      <c r="E38" s="2525" t="s">
        <v>1797</v>
      </c>
      <c r="F38" s="2521">
        <f ca="1">INDIRECT("'数据-取费表'!Am"&amp;$G$1)</f>
        <v>0.03</v>
      </c>
      <c r="G38" s="2062"/>
      <c r="H38" s="2077"/>
      <c r="I38" s="843" t="s">
        <v>1818</v>
      </c>
      <c r="J38" s="844"/>
      <c r="K38" s="2083"/>
      <c r="L38" s="2077"/>
      <c r="M38" s="2077"/>
    </row>
    <row r="39" spans="1:18" ht="24.6" customHeight="1" thickTop="1">
      <c r="A39" s="1829" t="s">
        <v>1895</v>
      </c>
      <c r="B39" s="2986" t="s">
        <v>2822</v>
      </c>
      <c r="C39" s="792">
        <f ca="1">C5-C30</f>
        <v>23709</v>
      </c>
      <c r="D39" s="2527" t="s">
        <v>1807</v>
      </c>
      <c r="E39" s="2528"/>
      <c r="F39" s="2529"/>
      <c r="G39" s="2062"/>
      <c r="H39" s="2077"/>
      <c r="I39" s="837" t="s">
        <v>1819</v>
      </c>
      <c r="J39" s="845">
        <f ca="1">ROUND(J35/C39,3)</f>
        <v>0.21299999999999999</v>
      </c>
      <c r="K39" s="2083"/>
      <c r="L39" s="2077"/>
      <c r="M39" s="2077"/>
    </row>
    <row r="40" spans="1:18" ht="18" customHeight="1">
      <c r="A40" s="781" t="s">
        <v>1896</v>
      </c>
      <c r="B40" s="2232" t="s">
        <v>2302</v>
      </c>
      <c r="C40" s="783">
        <f ca="1">ROUND(C39*(1-((1+F42)/(1+F40))^F41)/(F40-F42),0)</f>
        <v>356733</v>
      </c>
      <c r="D40" s="814" t="s">
        <v>1808</v>
      </c>
      <c r="E40" s="784" t="s">
        <v>2420</v>
      </c>
      <c r="F40" s="794">
        <f ca="1">INDIRECT("'数据-取费表'!I"&amp;$G$1)</f>
        <v>0.06</v>
      </c>
      <c r="G40" s="2062"/>
      <c r="H40" s="2062"/>
      <c r="I40" s="837" t="s">
        <v>1820</v>
      </c>
      <c r="J40" s="845">
        <f ca="1">1-J39</f>
        <v>0.78700000000000003</v>
      </c>
      <c r="K40" s="2083"/>
      <c r="L40" s="2062"/>
      <c r="M40" s="2062"/>
    </row>
    <row r="41" spans="1:18" ht="18" customHeight="1">
      <c r="A41" s="786"/>
      <c r="B41" s="787"/>
      <c r="C41" s="788"/>
      <c r="D41" s="821" t="s">
        <v>1809</v>
      </c>
      <c r="E41" s="784" t="s">
        <v>2962</v>
      </c>
      <c r="F41" s="822">
        <f ca="1">IF(INDIRECT("'数据-取费表'!af"&amp;$G$1)=0,INDIRECT("'数据-取费表'!ae"&amp;$G$1),INDIRECT("'数据-取费表'!af"&amp;$G$1))</f>
        <v>40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f ca="1">ROUND(C13/C40,3)</f>
        <v>0.17699999999999999</v>
      </c>
      <c r="K42" s="2082"/>
      <c r="L42" s="1988"/>
      <c r="M42" s="1988"/>
    </row>
    <row r="43" spans="1:18" ht="18" customHeight="1" thickBot="1">
      <c r="A43" s="823" t="s">
        <v>1788</v>
      </c>
      <c r="B43" s="824" t="s">
        <v>1811</v>
      </c>
      <c r="C43" s="825">
        <f ca="1">ROUND(C40*10000/F43,0)</f>
        <v>41745</v>
      </c>
      <c r="D43" s="826" t="s">
        <v>1812</v>
      </c>
      <c r="E43" s="827" t="s">
        <v>1813</v>
      </c>
      <c r="F43" s="828">
        <f ca="1">INDIRECT("'数据-取费表'!k"&amp;$G$1)</f>
        <v>85455</v>
      </c>
      <c r="G43" s="2062"/>
      <c r="H43" s="1988"/>
      <c r="I43" s="847" t="s">
        <v>1823</v>
      </c>
      <c r="J43" s="848">
        <f ca="1">1-J42</f>
        <v>0.82299999999999995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-378836</v>
      </c>
      <c r="D46" s="2085"/>
      <c r="E46" s="2085"/>
      <c r="F46" s="2085"/>
      <c r="I46" s="2357" t="s">
        <v>2344</v>
      </c>
      <c r="J46" s="2358"/>
      <c r="K46" s="2359"/>
      <c r="L46" s="3136">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3031</v>
      </c>
      <c r="K47" s="3133" t="s">
        <v>2350</v>
      </c>
      <c r="L47" s="3137">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4" t="s">
        <v>2352</v>
      </c>
      <c r="L48" s="1908">
        <f ca="1">INDIRECT("'数据-取费表'!f"&amp;$G$1)</f>
        <v>40</v>
      </c>
      <c r="O48" s="2377" t="s">
        <v>2380</v>
      </c>
      <c r="P48" s="2378" t="s">
        <v>2406</v>
      </c>
      <c r="Q48" s="2379">
        <f ca="1">C40+J29</f>
        <v>356733</v>
      </c>
      <c r="R48" s="2378" t="s">
        <v>2381</v>
      </c>
    </row>
    <row r="49" spans="1:18" s="2059" customFormat="1" ht="18" customHeight="1" thickBot="1">
      <c r="A49" s="786"/>
      <c r="B49" s="787"/>
      <c r="C49" s="788"/>
      <c r="D49" s="789"/>
      <c r="E49" s="784" t="s">
        <v>1740</v>
      </c>
      <c r="F49" s="785">
        <f ca="1">F7</f>
        <v>85455</v>
      </c>
      <c r="G49" s="2090"/>
      <c r="H49" s="2093"/>
      <c r="I49" s="3102" t="s">
        <v>2347</v>
      </c>
      <c r="J49" s="2362"/>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30">
        <f>SUMPRODUCT((I63:I65=J47)*(J62:L62=J48)*(J63:L65))</f>
        <v>60</v>
      </c>
      <c r="K50" s="3135" t="s">
        <v>2354</v>
      </c>
      <c r="L50" s="2363"/>
      <c r="O50" s="2380" t="s">
        <v>2384</v>
      </c>
      <c r="P50" s="2378" t="s">
        <v>2408</v>
      </c>
      <c r="Q50" s="2379">
        <f ca="1">C29</f>
        <v>62986</v>
      </c>
      <c r="R50" s="2378" t="s">
        <v>2381</v>
      </c>
    </row>
    <row r="51" spans="1:18" s="2059" customFormat="1" ht="18" customHeight="1" thickBot="1">
      <c r="A51" s="786"/>
      <c r="B51" s="787"/>
      <c r="C51" s="788"/>
      <c r="D51" s="789"/>
      <c r="E51" s="784" t="s">
        <v>640</v>
      </c>
      <c r="F51" s="2350"/>
      <c r="H51" s="2093"/>
      <c r="I51" s="3127" t="s">
        <v>2349</v>
      </c>
      <c r="J51" s="3131">
        <f>IF(J49="",J50,J49+J50-YEAR('数据-取费表'!B2))</f>
        <v>60</v>
      </c>
      <c r="K51" s="3102" t="s">
        <v>2355</v>
      </c>
      <c r="L51" s="3138">
        <f ca="1">ROUND(-PV(INDIRECT("'数据-取费表'!h"&amp;$G$1),L48,(C39-C13*J36),0),0)</f>
        <v>369533</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2973</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2976</v>
      </c>
      <c r="J53" s="3132">
        <f ca="1">IF(M47="住宅",IF(D1="——",MAX(J51,L48),MAX(J51,L48-'数据-取费表'!B20)),IF(D1="——",MIN(J51,L48),MIN(J51,L48-'数据-取费表'!B20)))</f>
        <v>38</v>
      </c>
      <c r="K53" s="3467" t="s">
        <v>2964</v>
      </c>
      <c r="L53" s="3468"/>
      <c r="O53" s="2380" t="s">
        <v>2389</v>
      </c>
      <c r="P53" s="2378" t="s">
        <v>2390</v>
      </c>
      <c r="Q53" s="2379">
        <f ca="1">J53</f>
        <v>38</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356733</v>
      </c>
      <c r="R54" s="2382" t="s">
        <v>2393</v>
      </c>
    </row>
    <row r="55" spans="1:18" s="2059" customFormat="1" ht="18" customHeight="1" thickTop="1" thickBot="1">
      <c r="A55" s="797">
        <v>2</v>
      </c>
      <c r="B55" s="798" t="s">
        <v>644</v>
      </c>
      <c r="C55" s="799">
        <f ca="1">C13</f>
        <v>62986</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2303</v>
      </c>
      <c r="C56" s="53">
        <f ca="1">C29</f>
        <v>62986</v>
      </c>
      <c r="D56" s="2618"/>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1469</v>
      </c>
      <c r="D57" s="26" t="s">
        <v>1751</v>
      </c>
      <c r="E57" s="2619"/>
      <c r="F57" s="56"/>
      <c r="I57" s="3144" t="s">
        <v>2359</v>
      </c>
      <c r="J57" s="3145" t="str">
        <f ca="1">IF(OR(M47="住宅",J51&lt;L48,J56="是"),"——",J51-L48)</f>
        <v>——</v>
      </c>
      <c r="K57" s="3102" t="s">
        <v>2364</v>
      </c>
      <c r="L57" s="1908" t="str">
        <f ca="1">IF(L48&lt;J51,"——",IF(L55="比较法",L49,IF(L55="基准地价",L50,L51)))</f>
        <v>——</v>
      </c>
      <c r="O57" s="2377" t="s">
        <v>2380</v>
      </c>
      <c r="P57" s="2378" t="s">
        <v>2410</v>
      </c>
      <c r="Q57" s="2379">
        <f ca="1">C40+J29</f>
        <v>356733</v>
      </c>
      <c r="R57" s="2378" t="s">
        <v>2381</v>
      </c>
    </row>
    <row r="58" spans="1:18" s="2059" customFormat="1" ht="28.5" customHeight="1" thickBot="1">
      <c r="A58" s="1649" t="s">
        <v>1825</v>
      </c>
      <c r="B58" s="784" t="s">
        <v>656</v>
      </c>
      <c r="C58" s="53">
        <f ca="1">ROUND(IF(项目基本情况!B11="自然人",C47*F58,C59+C60+C61),1)</f>
        <v>20</v>
      </c>
      <c r="D58" s="2617" t="s">
        <v>657</v>
      </c>
      <c r="E58" s="2618"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20</v>
      </c>
      <c r="D61" s="814" t="s">
        <v>669</v>
      </c>
      <c r="E61" s="784" t="s">
        <v>670</v>
      </c>
      <c r="F61" s="640">
        <f t="shared" si="0"/>
        <v>12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16706.650000000001</v>
      </c>
      <c r="I62" s="3149" t="s">
        <v>2368</v>
      </c>
      <c r="J62" s="3150" t="s">
        <v>2369</v>
      </c>
      <c r="K62" s="3150" t="s">
        <v>2370</v>
      </c>
      <c r="L62" s="3150" t="s">
        <v>2351</v>
      </c>
      <c r="M62" s="3151" t="s">
        <v>2940</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1259.7</v>
      </c>
      <c r="D63" s="2618" t="s">
        <v>1804</v>
      </c>
      <c r="E63" s="784" t="s">
        <v>1748</v>
      </c>
      <c r="F63" s="817">
        <f t="shared" ca="1" si="0"/>
        <v>0.02</v>
      </c>
      <c r="I63" s="3149" t="s">
        <v>2371</v>
      </c>
      <c r="J63" s="3150">
        <v>70</v>
      </c>
      <c r="K63" s="3150">
        <v>50</v>
      </c>
      <c r="L63" s="3150">
        <v>80</v>
      </c>
      <c r="M63" s="3152">
        <v>0.02</v>
      </c>
      <c r="O63" s="2377" t="s">
        <v>2392</v>
      </c>
      <c r="P63" s="2378" t="s">
        <v>2409</v>
      </c>
      <c r="Q63" s="2379">
        <f ca="1">Q57+Q58</f>
        <v>356733</v>
      </c>
      <c r="R63" s="2382" t="s">
        <v>2393</v>
      </c>
    </row>
    <row r="64" spans="1:18" s="2059" customFormat="1" ht="16.5" thickBot="1">
      <c r="A64" s="1649" t="s">
        <v>1891</v>
      </c>
      <c r="B64" s="784" t="s">
        <v>679</v>
      </c>
      <c r="C64" s="53">
        <f ca="1">ROUND(C55*F64,1)</f>
        <v>189</v>
      </c>
      <c r="D64" s="2618" t="s">
        <v>680</v>
      </c>
      <c r="E64" s="784" t="s">
        <v>1748</v>
      </c>
      <c r="F64" s="818">
        <f t="shared" ca="1" si="0"/>
        <v>3.0000000000000001E-3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0.03</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2822</v>
      </c>
      <c r="C66" s="799">
        <f ca="1">C47-C57</f>
        <v>-1469</v>
      </c>
      <c r="D66" s="2617" t="s">
        <v>700</v>
      </c>
      <c r="E66" s="2616"/>
      <c r="F66" s="820"/>
      <c r="K66" s="2086"/>
      <c r="O66" s="2377" t="s">
        <v>2380</v>
      </c>
      <c r="P66" s="2378" t="s">
        <v>2410</v>
      </c>
      <c r="Q66" s="2379">
        <f ca="1">C40+J29</f>
        <v>356733</v>
      </c>
      <c r="R66" s="2378" t="s">
        <v>2381</v>
      </c>
    </row>
    <row r="67" spans="1:18" s="2059" customFormat="1" ht="20.25" thickBot="1">
      <c r="A67" s="781" t="s">
        <v>1781</v>
      </c>
      <c r="B67" s="2232" t="s">
        <v>2302</v>
      </c>
      <c r="C67" s="783">
        <f ca="1">ROUND(C66*(1-((1+F69)/(1+F67))^F68)/(F67-F69),0)</f>
        <v>-22103</v>
      </c>
      <c r="D67" s="814" t="s">
        <v>704</v>
      </c>
      <c r="E67" s="784" t="s">
        <v>705</v>
      </c>
      <c r="F67" s="794">
        <f ca="1">F40</f>
        <v>0.06</v>
      </c>
      <c r="K67" s="2086"/>
      <c r="O67" s="2377" t="s">
        <v>2382</v>
      </c>
      <c r="P67" s="2378" t="s">
        <v>2413</v>
      </c>
      <c r="Q67" s="2379">
        <f ca="1">L60</f>
        <v>0</v>
      </c>
      <c r="R67" s="2382" t="s">
        <v>2415</v>
      </c>
    </row>
    <row r="68" spans="1:18" ht="21.75" thickBot="1">
      <c r="A68" s="786"/>
      <c r="B68" s="787"/>
      <c r="C68" s="788"/>
      <c r="D68" s="821" t="s">
        <v>1809</v>
      </c>
      <c r="E68" s="784" t="s">
        <v>1785</v>
      </c>
      <c r="F68" s="822">
        <f ca="1">F41</f>
        <v>40</v>
      </c>
      <c r="O68" s="2380" t="s">
        <v>2384</v>
      </c>
      <c r="P68" s="2378" t="s">
        <v>2414</v>
      </c>
      <c r="Q68" s="2384">
        <f ca="1">L51</f>
        <v>369533</v>
      </c>
      <c r="R68" s="2385" t="s">
        <v>2417</v>
      </c>
    </row>
    <row r="69" spans="1:18" ht="20.25" thickBot="1">
      <c r="A69" s="790"/>
      <c r="B69" s="791"/>
      <c r="C69" s="792"/>
      <c r="D69" s="816"/>
      <c r="E69" s="784" t="s">
        <v>710</v>
      </c>
      <c r="F69" s="2350"/>
      <c r="O69" s="2380" t="s">
        <v>2385</v>
      </c>
      <c r="P69" s="2386" t="s">
        <v>2399</v>
      </c>
      <c r="Q69" s="2379">
        <f ca="1">ROUND(Q70-Q71*Q72,0)</f>
        <v>18670</v>
      </c>
      <c r="R69" s="2382"/>
    </row>
    <row r="70" spans="1:18" ht="15.75" thickBot="1">
      <c r="A70" s="823" t="s">
        <v>1788</v>
      </c>
      <c r="B70" s="824" t="s">
        <v>1811</v>
      </c>
      <c r="C70" s="825">
        <f ca="1">ROUND(C67*10000/F70,0)</f>
        <v>-2587</v>
      </c>
      <c r="D70" s="826" t="s">
        <v>1812</v>
      </c>
      <c r="E70" s="827" t="s">
        <v>1813</v>
      </c>
      <c r="F70" s="828">
        <f ca="1">F43</f>
        <v>85455</v>
      </c>
      <c r="O70" s="2380" t="s">
        <v>2400</v>
      </c>
      <c r="P70" s="2386" t="s">
        <v>2401</v>
      </c>
      <c r="Q70" s="2379">
        <f ca="1">C39</f>
        <v>23709</v>
      </c>
      <c r="R70" s="2378" t="s">
        <v>2381</v>
      </c>
    </row>
    <row r="71" spans="1:18" ht="15.75" thickBot="1">
      <c r="O71" s="2380" t="s">
        <v>2402</v>
      </c>
      <c r="P71" s="2386" t="s">
        <v>2403</v>
      </c>
      <c r="Q71" s="2379">
        <f ca="1">C13</f>
        <v>62986</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356733</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0" priority="7">
      <formula>$L$48&gt;$J$51</formula>
    </cfRule>
  </conditionalFormatting>
  <conditionalFormatting sqref="I55">
    <cfRule type="expression" dxfId="139" priority="8">
      <formula>$J$51&gt;$L$48</formula>
    </cfRule>
  </conditionalFormatting>
  <conditionalFormatting sqref="I60">
    <cfRule type="expression" dxfId="138" priority="6">
      <formula>$J$51&gt;$L$48</formula>
    </cfRule>
  </conditionalFormatting>
  <conditionalFormatting sqref="K60">
    <cfRule type="expression" dxfId="137" priority="5">
      <formula>$L$48&gt;$J$51</formula>
    </cfRule>
  </conditionalFormatting>
  <conditionalFormatting sqref="C11">
    <cfRule type="expression" dxfId="136" priority="4">
      <formula>$F$10="自定义"</formula>
    </cfRule>
  </conditionalFormatting>
  <conditionalFormatting sqref="J11">
    <cfRule type="expression" dxfId="135" priority="2">
      <formula>$M$10="自定义"</formula>
    </cfRule>
  </conditionalFormatting>
  <conditionalFormatting sqref="C53">
    <cfRule type="expression" dxfId="13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59" t="str">
        <f>项目基本情况!B1</f>
        <v>北京市国有建设用地使用权市场价格预评估</v>
      </c>
      <c r="C37" s="3259"/>
      <c r="D37" s="3259"/>
      <c r="E37" s="3259"/>
      <c r="F37" s="3259"/>
      <c r="G37" s="3259"/>
      <c r="H37" s="3259"/>
      <c r="I37" s="3259"/>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叶凌、杨红英</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0" workbookViewId="0">
      <selection activeCell="M44" sqref="M4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t="s">
        <v>3000</v>
      </c>
      <c r="C1" s="2104"/>
      <c r="D1" s="2104"/>
      <c r="E1" s="2104"/>
      <c r="F1" s="2104"/>
      <c r="G1" s="2104"/>
      <c r="H1" s="2104"/>
      <c r="I1" s="2104"/>
      <c r="J1" s="2104"/>
      <c r="K1" s="422">
        <f>MATCH(B1,'数据-取费表'!A6:A16,0)+5</f>
        <v>6</v>
      </c>
    </row>
    <row r="2" spans="1:31" s="2041" customFormat="1" ht="18" customHeight="1">
      <c r="A2" s="2101" t="s">
        <v>467</v>
      </c>
      <c r="B2" s="2105">
        <f ca="1">C36</f>
        <v>198267</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23201</v>
      </c>
      <c r="C3" s="2104"/>
      <c r="D3" s="2104"/>
      <c r="E3" s="2104"/>
      <c r="F3" s="2104"/>
      <c r="G3" s="2104"/>
      <c r="H3" s="2104"/>
      <c r="I3" s="2104"/>
      <c r="J3" s="2104"/>
      <c r="K3" s="2104"/>
    </row>
    <row r="4" spans="1:31" s="2041" customFormat="1" ht="18" customHeight="1">
      <c r="A4" s="426" t="s">
        <v>468</v>
      </c>
      <c r="B4" s="427">
        <f ca="1">ROUND(B2*10000/IF(B1="",'数据-汇总表'!D3,INDIRECT("'数据-取费表'!R"&amp;$K$1)),0)</f>
        <v>118675</v>
      </c>
      <c r="C4" s="428"/>
      <c r="D4" s="422"/>
      <c r="E4" s="422"/>
      <c r="F4" s="422"/>
      <c r="G4" s="422"/>
      <c r="H4" s="422"/>
      <c r="I4" s="422"/>
      <c r="J4" s="422"/>
      <c r="K4" s="422"/>
    </row>
    <row r="5" spans="1:31" s="2041" customFormat="1" ht="18" customHeight="1" thickBot="1">
      <c r="A5" s="429"/>
      <c r="B5" s="430">
        <f ca="1">ROUND(B2/(IF(B1="",'数据-汇总表'!D3,INDIRECT("'数据-取费表'!R"&amp;$K$1))/666.67),0)</f>
        <v>7912</v>
      </c>
      <c r="C5" s="431" t="s">
        <v>469</v>
      </c>
      <c r="D5" s="422"/>
      <c r="E5" s="422"/>
      <c r="F5" s="422"/>
      <c r="G5" s="422"/>
      <c r="H5" s="422"/>
      <c r="I5" s="422"/>
      <c r="J5" s="422"/>
      <c r="K5" s="422"/>
    </row>
    <row r="6" spans="1:31" s="2111" customFormat="1" ht="16.5" customHeight="1">
      <c r="A6" s="2807" t="s">
        <v>1843</v>
      </c>
      <c r="B6" s="2808"/>
      <c r="C6" s="2809">
        <f ca="1">SUM(C10:K10)</f>
        <v>356733</v>
      </c>
      <c r="D6" s="2808"/>
      <c r="E6" s="2808"/>
      <c r="F6" s="2808"/>
      <c r="G6" s="2808"/>
      <c r="H6" s="2808"/>
      <c r="I6" s="2808"/>
      <c r="J6" s="2808"/>
      <c r="K6" s="2810"/>
    </row>
    <row r="7" spans="1:31" s="2113" customFormat="1" ht="15">
      <c r="A7" s="2811" t="s">
        <v>470</v>
      </c>
      <c r="B7" s="2812" t="s">
        <v>471</v>
      </c>
      <c r="C7" s="436" t="s">
        <v>3000</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 ca="1">'不动产收益法-商业'!C43</f>
        <v>41745</v>
      </c>
      <c r="D8" s="2813"/>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SUMIF('数据-汇总表'!$C19:$C33,'剩余法-商业'!C7,'数据-汇总表'!$E19:$E33)</f>
        <v>85455</v>
      </c>
      <c r="D9" s="441">
        <f>SUMIF('数据-汇总表'!$C19:$C33,'剩余法-商业'!D7,'数据-汇总表'!$E19:$E33)</f>
        <v>0</v>
      </c>
      <c r="E9" s="441">
        <f>SUMIF('数据-汇总表'!$C19:$C33,'剩余法-商业'!E7,'数据-汇总表'!$E19:$E33)</f>
        <v>0</v>
      </c>
      <c r="F9" s="441">
        <f>SUMIF('数据-汇总表'!$C19:$C33,'剩余法-商业'!F7,'数据-汇总表'!$E19:$E33)</f>
        <v>0</v>
      </c>
      <c r="G9" s="441">
        <f>SUMIF('数据-汇总表'!$C19:$C33,'剩余法-商业'!G7,'数据-汇总表'!$E19:$E33)</f>
        <v>0</v>
      </c>
      <c r="H9" s="441">
        <f>SUMIF('数据-汇总表'!$C19:$C33,'剩余法-商业'!H7,'数据-汇总表'!$E19:$E33)</f>
        <v>0</v>
      </c>
      <c r="I9" s="441">
        <f>SUMIF('数据-汇总表'!$C19:$C33,'剩余法-商业'!I7,'数据-汇总表'!$E19:$E33)</f>
        <v>0</v>
      </c>
      <c r="J9" s="441">
        <f>SUMIF('数据-汇总表'!$C19:$C33,'剩余法-商业'!J7,'数据-汇总表'!$E19:$E33)</f>
        <v>0</v>
      </c>
      <c r="K9" s="442">
        <f>SUMIF('数据-汇总表'!$C19:$C33,'剩余法-商业'!K7,'数据-汇总表'!$E19:$E33)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 ca="1">'不动产收益法-商业'!B2</f>
        <v>356733</v>
      </c>
      <c r="D10" s="3005"/>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2787" t="s">
        <v>476</v>
      </c>
      <c r="E12" s="2787" t="s">
        <v>477</v>
      </c>
      <c r="F12" s="2787"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41018</v>
      </c>
      <c r="D13" s="2823"/>
      <c r="E13" s="2824"/>
      <c r="F13" s="2825"/>
      <c r="G13" s="2791"/>
      <c r="H13" s="2792"/>
      <c r="I13" s="2792"/>
      <c r="J13" s="2792"/>
      <c r="K13" s="2793"/>
    </row>
    <row r="14" spans="1:31" s="2116" customFormat="1" ht="13.5" customHeight="1">
      <c r="A14" s="2821" t="s">
        <v>1850</v>
      </c>
      <c r="B14" s="2822" t="s">
        <v>480</v>
      </c>
      <c r="C14" s="53">
        <f ca="1">ROUND(C13*F14,0)</f>
        <v>1231</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7" customFormat="1" ht="13.5" customHeight="1">
      <c r="A16" s="2821" t="s">
        <v>1852</v>
      </c>
      <c r="B16" s="2822" t="s">
        <v>484</v>
      </c>
      <c r="C16" s="53">
        <f ca="1">ROUND(D16*E16/10000,0)</f>
        <v>1709</v>
      </c>
      <c r="D16" s="2823">
        <f ca="1">IF(B1="",'数据-汇总表'!E3,INDIRECT("'数据-取费表'!K"&amp;$K$1)+INDIRECT("'数据-取费表'!S"&amp;$K$1))</f>
        <v>85455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615</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44573</v>
      </c>
      <c r="D18" s="2832"/>
      <c r="E18" s="468"/>
      <c r="F18" s="468"/>
      <c r="G18" s="2795" t="s">
        <v>2431</v>
      </c>
      <c r="H18" s="2796"/>
      <c r="I18" s="2796"/>
      <c r="J18" s="2796"/>
      <c r="K18" s="2797"/>
    </row>
    <row r="19" spans="1:14" s="2116" customFormat="1" ht="13.5" customHeight="1">
      <c r="A19" s="2829" t="s">
        <v>1855</v>
      </c>
      <c r="B19" s="2830" t="s">
        <v>488</v>
      </c>
      <c r="C19" s="2787">
        <f ca="1">ROUND(D19*E19/10000,0)</f>
        <v>171</v>
      </c>
      <c r="D19" s="2833">
        <f ca="1">D16</f>
        <v>85455</v>
      </c>
      <c r="E19" s="2787">
        <f>'数据-取费表'!B32</f>
        <v>20</v>
      </c>
      <c r="F19" s="468"/>
      <c r="G19" s="2791" t="s">
        <v>489</v>
      </c>
      <c r="H19" s="2792"/>
      <c r="I19" s="2796"/>
      <c r="J19" s="2796"/>
      <c r="K19" s="2797"/>
    </row>
    <row r="20" spans="1:14" s="2116" customFormat="1" ht="13.5" customHeight="1">
      <c r="A20" s="2829" t="s">
        <v>1856</v>
      </c>
      <c r="B20" s="2830" t="s">
        <v>490</v>
      </c>
      <c r="C20" s="2787">
        <f ca="1">C21+C22-IF(B1="",'数据-取费表'!B29,IF(G20="已全部缴纳",C21+C22,H20))</f>
        <v>1709</v>
      </c>
      <c r="D20" s="2833"/>
      <c r="E20" s="2787"/>
      <c r="F20" s="2834"/>
      <c r="G20" s="3064" t="s">
        <v>3046</v>
      </c>
      <c r="H20" s="2789"/>
      <c r="I20" s="2790" t="s">
        <v>2652</v>
      </c>
      <c r="J20" s="2796"/>
      <c r="K20" s="2797"/>
    </row>
    <row r="21" spans="1:14" s="2116"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6" customFormat="1" ht="13.5" customHeight="1">
      <c r="A22" s="2821" t="s">
        <v>1858</v>
      </c>
      <c r="B22" s="2822" t="s">
        <v>492</v>
      </c>
      <c r="C22" s="53">
        <f ca="1">ROUND(D22*E22/10000,0)</f>
        <v>1709</v>
      </c>
      <c r="D22" s="2823">
        <f ca="1">IF(B1="",'数据-汇总表'!E6,IF(INDIRECT("'数据-取费表'!c"&amp;$K$1)="住宅",INDIRECT("'数据-取费表'!s"&amp;$K$1),INDIRECT("'数据-取费表'!k"&amp;$K$1)+INDIRECT("'数据-取费表'!s"&amp;$K$1)))</f>
        <v>85455</v>
      </c>
      <c r="E22" s="53">
        <f>'数据-取费表'!B28</f>
        <v>200</v>
      </c>
      <c r="F22" s="2826"/>
      <c r="G22" s="26"/>
      <c r="H22" s="51"/>
      <c r="I22" s="51"/>
      <c r="J22" s="51"/>
      <c r="K22" s="2798"/>
    </row>
    <row r="23" spans="1:14" s="2116" customFormat="1" ht="13.5" customHeight="1">
      <c r="A23" s="2829" t="s">
        <v>1859</v>
      </c>
      <c r="B23" s="3011" t="s">
        <v>2833</v>
      </c>
      <c r="C23" s="2831">
        <f ca="1">ROUND((C18+C19+C20)*F23,0)</f>
        <v>1394</v>
      </c>
      <c r="D23" s="468"/>
      <c r="E23" s="468"/>
      <c r="F23" s="2835">
        <f>'数据-取费表'!B37</f>
        <v>0.03</v>
      </c>
      <c r="G23" s="2791" t="s">
        <v>2432</v>
      </c>
      <c r="H23" s="2792"/>
      <c r="I23" s="2792"/>
      <c r="J23" s="2792"/>
      <c r="K23" s="2793"/>
      <c r="L23" s="2118"/>
      <c r="M23" s="2118"/>
      <c r="N23" s="2118"/>
    </row>
    <row r="24" spans="1:14" s="2116" customFormat="1" ht="13.5" customHeight="1">
      <c r="A24" s="2829" t="s">
        <v>1860</v>
      </c>
      <c r="B24" s="3011" t="s">
        <v>2836</v>
      </c>
      <c r="C24" s="2831">
        <f ca="1">ROUND(C6*F24,0)</f>
        <v>10702</v>
      </c>
      <c r="D24" s="475"/>
      <c r="E24" s="473"/>
      <c r="F24" s="2835">
        <f>'数据-取费表'!B38</f>
        <v>0.03</v>
      </c>
      <c r="G24" s="2800" t="s">
        <v>499</v>
      </c>
      <c r="H24" s="2794"/>
      <c r="I24" s="2794"/>
      <c r="J24" s="2794"/>
      <c r="K24" s="279"/>
      <c r="L24" s="2118"/>
      <c r="M24" s="2118"/>
      <c r="N24" s="2118"/>
    </row>
    <row r="25" spans="1:14" s="2119" customFormat="1" ht="13.5" customHeight="1">
      <c r="A25" s="2829" t="s">
        <v>1861</v>
      </c>
      <c r="B25" s="3011" t="s">
        <v>2834</v>
      </c>
      <c r="C25" s="467">
        <f>ROUND(F25/(1+'数据-取费表'!C42),4)</f>
        <v>2.9000000000000001E-2</v>
      </c>
      <c r="D25" s="462" t="s">
        <v>2828</v>
      </c>
      <c r="E25" s="469"/>
      <c r="F25" s="2835">
        <f>'数据-取费表'!B48+'数据-取费表'!B49</f>
        <v>3.0499999999999999E-2</v>
      </c>
      <c r="G25" s="2799" t="s">
        <v>2290</v>
      </c>
      <c r="H25" s="2792"/>
      <c r="I25" s="2792"/>
      <c r="J25" s="2792"/>
      <c r="K25" s="2793"/>
    </row>
    <row r="26" spans="1:14" s="2118" customFormat="1" ht="13.5" customHeight="1">
      <c r="A26" s="2829" t="s">
        <v>1862</v>
      </c>
      <c r="B26" s="3012" t="s">
        <v>2835</v>
      </c>
      <c r="C26" s="2836">
        <f ca="1">C28</f>
        <v>2781</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2837</v>
      </c>
      <c r="C28" s="2839">
        <f ca="1">ROUND(IF('数据-取费表'!B22&lt;=1,(C18+C19+C20+C23+C24)*F26*'数据-取费表'!B24/2,(C18+C19+C20+C23+C24)*(POWER((1+F26),'数据-取费表'!B24/2)-1)),0)</f>
        <v>2781</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19026</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80356</v>
      </c>
      <c r="D30" s="477">
        <f ca="1">C32</f>
        <v>0.12909999999999999</v>
      </c>
      <c r="E30" s="469" t="s">
        <v>495</v>
      </c>
      <c r="F30" s="471"/>
      <c r="G30" s="2799" t="s">
        <v>2970</v>
      </c>
      <c r="H30" s="2792"/>
      <c r="I30" s="2792"/>
      <c r="J30" s="2792"/>
      <c r="K30" s="2793"/>
      <c r="M30" s="2121">
        <f ca="1">'不动产收益法-商业'!C43</f>
        <v>41745</v>
      </c>
    </row>
    <row r="31" spans="1:14" s="2120" customFormat="1" ht="13.5" customHeight="1">
      <c r="A31" s="803" t="s">
        <v>1857</v>
      </c>
      <c r="B31" s="2837"/>
      <c r="C31" s="450">
        <f ca="1">C18+C19+C20+C23+C24+C26+C29</f>
        <v>80356</v>
      </c>
      <c r="D31" s="472"/>
      <c r="E31" s="473"/>
      <c r="F31" s="474"/>
      <c r="G31" s="261"/>
      <c r="H31" s="2794"/>
      <c r="I31" s="2794"/>
      <c r="J31" s="2794"/>
      <c r="K31" s="279"/>
    </row>
    <row r="32" spans="1:14" s="2120" customFormat="1" ht="13.5" customHeight="1">
      <c r="A32" s="803" t="s">
        <v>1858</v>
      </c>
      <c r="B32" s="2837"/>
      <c r="C32" s="53">
        <f ca="1">ROUND(C25+D26,4)</f>
        <v>0.12909999999999999</v>
      </c>
      <c r="D32" s="472"/>
      <c r="E32" s="473"/>
      <c r="F32" s="474"/>
      <c r="G32" s="261"/>
      <c r="H32" s="2794"/>
      <c r="I32" s="2794"/>
      <c r="J32" s="2794"/>
      <c r="K32" s="279"/>
    </row>
    <row r="33" spans="1:11" s="2122" customFormat="1" ht="13.5" customHeight="1">
      <c r="A33" s="3010" t="s">
        <v>2832</v>
      </c>
      <c r="B33" s="3008" t="s">
        <v>2830</v>
      </c>
      <c r="C33" s="478">
        <f ca="1">C35</f>
        <v>11710</v>
      </c>
      <c r="D33" s="467">
        <f ca="1">C34</f>
        <v>0.20580000000000001</v>
      </c>
      <c r="E33" s="469" t="s">
        <v>495</v>
      </c>
      <c r="F33" s="479">
        <f ca="1">IF(B1="",'数据-取费表'!Q16,INDIRECT("'数据-取费表'!q"&amp;$K$1))</f>
        <v>0.2</v>
      </c>
      <c r="G33" s="2795"/>
      <c r="H33" s="2796"/>
      <c r="I33" s="2796"/>
      <c r="J33" s="2796"/>
      <c r="K33" s="2797"/>
    </row>
    <row r="34" spans="1:11" s="2123" customFormat="1" ht="13.5" customHeight="1">
      <c r="A34" s="375" t="s">
        <v>1857</v>
      </c>
      <c r="B34" s="2842" t="s">
        <v>501</v>
      </c>
      <c r="C34" s="472">
        <f ca="1">ROUND((1+C25)*F33,4)</f>
        <v>0.20580000000000001</v>
      </c>
      <c r="D34" s="472"/>
      <c r="E34" s="473"/>
      <c r="F34" s="480"/>
      <c r="G34" s="261" t="s">
        <v>2291</v>
      </c>
      <c r="H34" s="2794"/>
      <c r="I34" s="2794"/>
      <c r="J34" s="2794"/>
      <c r="K34" s="279"/>
    </row>
    <row r="35" spans="1:11" s="2123" customFormat="1" ht="13.5" customHeight="1" thickBot="1">
      <c r="A35" s="1636" t="s">
        <v>1858</v>
      </c>
      <c r="B35" s="3009" t="s">
        <v>2838</v>
      </c>
      <c r="C35" s="1628">
        <f ca="1">ROUND((C18+C19+C20+C23+C24)*F33,0)</f>
        <v>11710</v>
      </c>
      <c r="D35" s="1629"/>
      <c r="E35" s="2843"/>
      <c r="F35" s="1630"/>
      <c r="G35" s="2801"/>
      <c r="H35" s="2802"/>
      <c r="I35" s="2802"/>
      <c r="J35" s="2802"/>
      <c r="K35" s="2803"/>
    </row>
    <row r="36" spans="1:11" s="2085" customFormat="1" ht="13.5" customHeight="1" thickBot="1">
      <c r="A36" s="284" t="s">
        <v>1845</v>
      </c>
      <c r="B36" s="2805"/>
      <c r="C36" s="2844">
        <f ca="1">ROUND((C6-C30-C33)/(1+D30+D33),0)</f>
        <v>198267</v>
      </c>
      <c r="D36" s="2805"/>
      <c r="E36" s="2805"/>
      <c r="F36" s="2805"/>
      <c r="G36" s="2804" t="s">
        <v>2839</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B53" sqref="B53"/>
    </sheetView>
  </sheetViews>
  <sheetFormatPr defaultColWidth="9" defaultRowHeight="14.25"/>
  <cols>
    <col min="1" max="1" width="10.5" style="1336" customWidth="1"/>
    <col min="2" max="3" width="15.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t="s">
        <v>3000</v>
      </c>
      <c r="E1" s="506"/>
      <c r="F1" s="2786" t="s">
        <v>2855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94</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11</v>
      </c>
      <c r="C3" s="852" t="s">
        <v>722</v>
      </c>
      <c r="D3" s="851">
        <f>SUMIF('数据-汇总表'!$C19:$C33,D1,'数据-汇总表'!$E19:$E33)</f>
        <v>85455</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86" t="s">
        <v>522</v>
      </c>
      <c r="D4" s="3487"/>
      <c r="E4" s="3488" t="s">
        <v>523</v>
      </c>
      <c r="F4" s="3489"/>
      <c r="G4" s="3486" t="s">
        <v>524</v>
      </c>
      <c r="H4" s="3487"/>
      <c r="I4" s="3486" t="s">
        <v>525</v>
      </c>
      <c r="J4" s="3487"/>
      <c r="K4" s="514"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502" t="s">
        <v>524</v>
      </c>
      <c r="AC4" s="3483" t="s">
        <v>525</v>
      </c>
    </row>
    <row r="5" spans="1:29" ht="15">
      <c r="A5" s="515"/>
      <c r="B5" s="516"/>
      <c r="C5" s="3510" t="s">
        <v>2926</v>
      </c>
      <c r="D5" s="3506"/>
      <c r="E5" s="3513" t="s">
        <v>3140</v>
      </c>
      <c r="F5" s="3514"/>
      <c r="G5" s="3505" t="s">
        <v>3134</v>
      </c>
      <c r="H5" s="3506"/>
      <c r="I5" s="3505" t="s">
        <v>3135</v>
      </c>
      <c r="J5" s="3506"/>
      <c r="K5" s="514"/>
      <c r="L5" s="2133"/>
      <c r="M5" s="2134"/>
      <c r="N5" s="2134"/>
      <c r="O5" s="2134"/>
      <c r="P5" s="3492"/>
      <c r="Q5" s="3493"/>
      <c r="R5" s="3498"/>
      <c r="S5" s="3499"/>
      <c r="T5" s="3498"/>
      <c r="U5" s="3499"/>
      <c r="V5" s="3502"/>
      <c r="W5" s="3502"/>
      <c r="X5" s="1567"/>
      <c r="Y5" s="3498"/>
      <c r="Z5" s="3499"/>
      <c r="AA5" s="3484"/>
      <c r="AB5" s="3502"/>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502"/>
      <c r="AC6" s="3485"/>
    </row>
    <row r="7" spans="1:29" s="1219" customFormat="1" ht="15.75" thickBot="1">
      <c r="A7" s="2891"/>
      <c r="B7" s="2898" t="s">
        <v>529</v>
      </c>
      <c r="C7" s="519">
        <f>'数据-取费表'!B2</f>
        <v>43388</v>
      </c>
      <c r="D7" s="520">
        <v>100</v>
      </c>
      <c r="E7" s="521">
        <v>43344</v>
      </c>
      <c r="F7" s="522">
        <f>SUMIF(58:58,YEAR(E7)&amp;"-"&amp;MONTH(E7),59:59)</f>
        <v>100</v>
      </c>
      <c r="G7" s="521">
        <v>43282</v>
      </c>
      <c r="H7" s="520">
        <f>SUMIF(58:58,YEAR(G7)&amp;"-"&amp;MONTH(G7),59:59)</f>
        <v>100</v>
      </c>
      <c r="I7" s="521">
        <v>43282</v>
      </c>
      <c r="J7" s="520">
        <f>SUMIF(58:58,YEAR(I7)&amp;"-"&amp;MONTH(I7),59:59)</f>
        <v>100</v>
      </c>
      <c r="K7" s="524"/>
      <c r="L7" s="2135"/>
      <c r="M7" s="2136"/>
      <c r="N7" s="2136"/>
      <c r="O7" s="2136"/>
      <c r="P7" s="3507" t="s">
        <v>530</v>
      </c>
      <c r="Q7" s="3509"/>
      <c r="R7" s="1568" t="s">
        <v>8</v>
      </c>
      <c r="S7" s="1569">
        <f t="shared" ref="S7:S15" si="0">F7</f>
        <v>100</v>
      </c>
      <c r="T7" s="1568" t="s">
        <v>8</v>
      </c>
      <c r="U7" s="1569">
        <f t="shared" ref="U7:U15" si="1">H7</f>
        <v>100</v>
      </c>
      <c r="V7" s="1568" t="s">
        <v>8</v>
      </c>
      <c r="W7" s="1569">
        <f t="shared" ref="W7:W15" si="2">J7</f>
        <v>100</v>
      </c>
      <c r="X7" s="1570"/>
      <c r="Y7" s="3507" t="s">
        <v>530</v>
      </c>
      <c r="Z7" s="3508"/>
      <c r="AA7" s="1571">
        <f>D7/F7</f>
        <v>1</v>
      </c>
      <c r="AB7" s="1571">
        <f>D7/H7</f>
        <v>1</v>
      </c>
      <c r="AC7" s="1571">
        <f>D7/J7</f>
        <v>1</v>
      </c>
    </row>
    <row r="8" spans="1:29" s="1219"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507" t="s">
        <v>533</v>
      </c>
      <c r="Q8" s="3508"/>
      <c r="R8" s="1568" t="s">
        <v>8</v>
      </c>
      <c r="S8" s="1569">
        <f t="shared" si="0"/>
        <v>100</v>
      </c>
      <c r="T8" s="1568" t="s">
        <v>8</v>
      </c>
      <c r="U8" s="1569">
        <f t="shared" si="1"/>
        <v>100</v>
      </c>
      <c r="V8" s="1568" t="s">
        <v>8</v>
      </c>
      <c r="W8" s="1569">
        <f t="shared" si="2"/>
        <v>100</v>
      </c>
      <c r="X8" s="1570"/>
      <c r="Y8" s="3507" t="s">
        <v>533</v>
      </c>
      <c r="Z8" s="3508"/>
      <c r="AA8" s="1571">
        <f t="shared" ref="AA8:AA46" si="3">D8/F8</f>
        <v>1</v>
      </c>
      <c r="AB8" s="1571">
        <f t="shared" ref="AB8:AB46" si="4">D8/H8</f>
        <v>1</v>
      </c>
      <c r="AC8" s="1571">
        <f t="shared" ref="AC8:AC46" si="5">D8/J8</f>
        <v>1</v>
      </c>
    </row>
    <row r="9" spans="1:29" s="1219" customFormat="1" ht="15">
      <c r="A9" s="2893"/>
      <c r="B9" s="2900" t="s">
        <v>2757</v>
      </c>
      <c r="C9" s="3200" t="s">
        <v>3020</v>
      </c>
      <c r="D9" s="254">
        <v>100</v>
      </c>
      <c r="E9" s="3201" t="s">
        <v>3022</v>
      </c>
      <c r="F9" s="254">
        <f>SUMIF(63:63,E9,64:64)-SUMIF(63:63,C9,64:64)+100</f>
        <v>100</v>
      </c>
      <c r="G9" s="3201" t="s">
        <v>3022</v>
      </c>
      <c r="H9" s="254">
        <f>SUMIF(63:63,G9,64:64)-SUMIF(63:63,C9,64:64)+100</f>
        <v>100</v>
      </c>
      <c r="I9" s="3201" t="s">
        <v>3022</v>
      </c>
      <c r="J9" s="254">
        <f>SUMIF(63:63,I9,64:64)-SUMIF(63:63,C9,64:64)+100</f>
        <v>100</v>
      </c>
      <c r="K9" s="524"/>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75" thickBot="1">
      <c r="A10" s="2894"/>
      <c r="B10" s="2899" t="s">
        <v>2758</v>
      </c>
      <c r="C10" s="861" t="s">
        <v>3048</v>
      </c>
      <c r="D10" s="255">
        <v>100</v>
      </c>
      <c r="E10" s="861" t="s">
        <v>3154</v>
      </c>
      <c r="F10" s="255">
        <f>SUMIF(65:65,E10,66:66)-SUMIF(65:65,C10,66:66)+100</f>
        <v>99.5</v>
      </c>
      <c r="G10" s="861" t="s">
        <v>3154</v>
      </c>
      <c r="H10" s="255">
        <f>SUMIF(65:65,G10,66:66)-SUMIF(65:65,C10,66:66)+100</f>
        <v>99.5</v>
      </c>
      <c r="I10" s="861" t="s">
        <v>3154</v>
      </c>
      <c r="J10" s="255">
        <f>SUMIF(65:65,I10,66:66)-SUMIF(65:65,C10,66:66)+100</f>
        <v>99.5</v>
      </c>
      <c r="K10" s="3258">
        <v>0.5</v>
      </c>
      <c r="L10" s="2138"/>
      <c r="M10" s="2178"/>
      <c r="N10" s="2178"/>
      <c r="O10" s="2139"/>
      <c r="P10" s="3473"/>
      <c r="Q10" s="1151" t="str">
        <f t="shared" si="6"/>
        <v>土地使用年限（年）</v>
      </c>
      <c r="R10" s="1568" t="s">
        <v>8</v>
      </c>
      <c r="S10" s="1569">
        <f t="shared" si="0"/>
        <v>99.5</v>
      </c>
      <c r="T10" s="1568" t="s">
        <v>8</v>
      </c>
      <c r="U10" s="1569">
        <f t="shared" si="1"/>
        <v>99.5</v>
      </c>
      <c r="V10" s="1568" t="s">
        <v>8</v>
      </c>
      <c r="W10" s="1569">
        <f t="shared" si="2"/>
        <v>99.5</v>
      </c>
      <c r="X10" s="1570"/>
      <c r="Y10" s="3434"/>
      <c r="Z10" s="1150" t="str">
        <f t="shared" si="7"/>
        <v>土地使用年限（年）</v>
      </c>
      <c r="AA10" s="1571">
        <f t="shared" si="3"/>
        <v>1.0050251256281406</v>
      </c>
      <c r="AB10" s="1571">
        <f t="shared" si="4"/>
        <v>1.0050251256281406</v>
      </c>
      <c r="AC10" s="1571">
        <f t="shared" si="5"/>
        <v>1.0050251256281406</v>
      </c>
    </row>
    <row r="11" spans="1:29" ht="15" hidden="1">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0"/>
      <c r="M11" s="2134"/>
      <c r="N11" s="2134"/>
      <c r="O11" s="2141"/>
      <c r="P11" s="3473"/>
      <c r="Q11" s="1151" t="str">
        <f t="shared" si="6"/>
        <v>容积率</v>
      </c>
      <c r="R11" s="1568" t="s">
        <v>8</v>
      </c>
      <c r="S11" s="1569">
        <f t="shared" si="0"/>
        <v>100</v>
      </c>
      <c r="T11" s="1568" t="s">
        <v>8</v>
      </c>
      <c r="U11" s="1569">
        <f t="shared" si="1"/>
        <v>100</v>
      </c>
      <c r="V11" s="1568" t="s">
        <v>8</v>
      </c>
      <c r="W11" s="1569">
        <f t="shared" si="2"/>
        <v>100</v>
      </c>
      <c r="X11" s="1570"/>
      <c r="Y11" s="3434"/>
      <c r="Z11" s="1150" t="str">
        <f t="shared" si="7"/>
        <v>容积率</v>
      </c>
      <c r="AA11" s="1571">
        <f t="shared" si="3"/>
        <v>1</v>
      </c>
      <c r="AB11" s="1571">
        <f t="shared" si="4"/>
        <v>1</v>
      </c>
      <c r="AC11" s="1571">
        <f t="shared" si="5"/>
        <v>1</v>
      </c>
    </row>
    <row r="12" spans="1:29" s="1219" customFormat="1" ht="15" hidden="1">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hidden="1">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hidden="1"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71.25">
      <c r="A15" s="2889" t="s">
        <v>2755</v>
      </c>
      <c r="B15" s="166" t="s">
        <v>541</v>
      </c>
      <c r="C15" s="867" t="str">
        <f>估价对象房地状况!C4</f>
        <v>估价对象位于酒仙桥商圈，周边商业氛围较成熟，人流量较大，商业繁华度较好</v>
      </c>
      <c r="D15" s="549">
        <v>100</v>
      </c>
      <c r="E15" s="576" t="s">
        <v>3025</v>
      </c>
      <c r="F15" s="551">
        <f>SUMIF(76:76,E16,77:77)-SUMIF(76:76,C16,77:77)+100</f>
        <v>100</v>
      </c>
      <c r="G15" s="552"/>
      <c r="H15" s="549">
        <f>SUMIF(76:76,G16,77:77)-SUMIF(76:76,C16,77:77)+100</f>
        <v>100</v>
      </c>
      <c r="I15" s="550"/>
      <c r="J15" s="549">
        <f>SUMIF(76:76,I16,77:77)-SUMIF(76:76,C16,77:77)+100</f>
        <v>100</v>
      </c>
      <c r="K15" s="898"/>
      <c r="L15" s="2142"/>
      <c r="M15" s="2134"/>
      <c r="N15" s="2134"/>
      <c r="O15" s="2141"/>
      <c r="P15" s="3478" t="s">
        <v>540</v>
      </c>
      <c r="Q15" s="1572" t="str">
        <f t="shared" si="6"/>
        <v>商业繁华度</v>
      </c>
      <c r="R15" s="1573" t="s">
        <v>8</v>
      </c>
      <c r="S15" s="1574">
        <f t="shared" si="0"/>
        <v>100</v>
      </c>
      <c r="T15" s="1573" t="s">
        <v>8</v>
      </c>
      <c r="U15" s="1574">
        <f t="shared" si="1"/>
        <v>100</v>
      </c>
      <c r="V15" s="1573" t="s">
        <v>8</v>
      </c>
      <c r="W15" s="1574">
        <f t="shared" si="2"/>
        <v>100</v>
      </c>
      <c r="X15" s="1567"/>
      <c r="Y15" s="3478" t="s">
        <v>540</v>
      </c>
      <c r="Z15" s="1575" t="str">
        <f t="shared" si="7"/>
        <v>商业繁华度</v>
      </c>
      <c r="AA15" s="1576">
        <f t="shared" si="3"/>
        <v>1</v>
      </c>
      <c r="AB15" s="1576">
        <f t="shared" si="4"/>
        <v>1</v>
      </c>
      <c r="AC15" s="1576">
        <f t="shared" si="5"/>
        <v>1</v>
      </c>
    </row>
    <row r="16" spans="1:29" ht="15">
      <c r="A16" s="532"/>
      <c r="B16" s="869"/>
      <c r="C16" s="576" t="s">
        <v>3025</v>
      </c>
      <c r="D16" s="555"/>
      <c r="E16" s="576" t="s">
        <v>3025</v>
      </c>
      <c r="F16" s="557"/>
      <c r="G16" s="576" t="s">
        <v>3025</v>
      </c>
      <c r="H16" s="559"/>
      <c r="I16" s="576" t="s">
        <v>3025</v>
      </c>
      <c r="J16" s="555"/>
      <c r="K16" s="899"/>
      <c r="L16" s="2142"/>
      <c r="M16" s="2134"/>
      <c r="N16" s="2134"/>
      <c r="O16" s="2141"/>
      <c r="P16" s="3479"/>
      <c r="Q16" s="1572"/>
      <c r="R16" s="1573"/>
      <c r="S16" s="1574"/>
      <c r="T16" s="1573"/>
      <c r="U16" s="1574"/>
      <c r="V16" s="1573"/>
      <c r="W16" s="1574"/>
      <c r="X16" s="1567"/>
      <c r="Y16" s="3479"/>
      <c r="Z16" s="1575"/>
      <c r="AA16" s="1576">
        <v>1</v>
      </c>
      <c r="AB16" s="1576">
        <v>1</v>
      </c>
      <c r="AC16" s="1576">
        <v>1</v>
      </c>
    </row>
    <row r="17" spans="1:29" ht="142.5">
      <c r="A17" s="532"/>
      <c r="B17" s="871" t="s">
        <v>296</v>
      </c>
      <c r="C17" s="872" t="str">
        <f>估价对象房地状况!C6</f>
        <v>估价对象周边有445路、516路、659路、983路等多条公交线路经过，距14号线地铁（将台站）约300米，道路状况较好、公共交通通达情况较好、综合评价交通便捷度较好。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95"/>
      <c r="C18" s="873" t="s">
        <v>3025</v>
      </c>
      <c r="D18" s="559"/>
      <c r="E18" s="576" t="s">
        <v>3025</v>
      </c>
      <c r="F18" s="563"/>
      <c r="G18" s="576" t="s">
        <v>3025</v>
      </c>
      <c r="H18" s="555"/>
      <c r="I18" s="576" t="s">
        <v>3025</v>
      </c>
      <c r="J18" s="555"/>
      <c r="K18" s="899"/>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79" t="s">
        <v>2547</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6" t="s">
        <v>3025</v>
      </c>
      <c r="J19" s="559">
        <f>SUMIF(80:80,I20,81:81)-SUMIF(80:80,C20,81:81)+100</f>
        <v>100</v>
      </c>
      <c r="K19" s="898"/>
      <c r="L19" s="2142"/>
      <c r="M19" s="2134"/>
      <c r="N19" s="2134"/>
      <c r="O19" s="2141"/>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95"/>
      <c r="C20" s="576" t="s">
        <v>3025</v>
      </c>
      <c r="D20" s="555"/>
      <c r="E20" s="576" t="s">
        <v>3025</v>
      </c>
      <c r="F20" s="557"/>
      <c r="G20" s="576" t="s">
        <v>3025</v>
      </c>
      <c r="H20" s="555"/>
      <c r="I20" s="576" t="s">
        <v>3025</v>
      </c>
      <c r="J20" s="555"/>
      <c r="K20" s="899"/>
      <c r="L20" s="2142"/>
      <c r="M20" s="2134"/>
      <c r="N20" s="2134"/>
      <c r="O20" s="2141"/>
      <c r="P20" s="3479"/>
      <c r="Q20" s="1572"/>
      <c r="R20" s="1573"/>
      <c r="S20" s="1574"/>
      <c r="T20" s="1573"/>
      <c r="U20" s="1574"/>
      <c r="V20" s="1573"/>
      <c r="W20" s="1574"/>
      <c r="X20" s="1567"/>
      <c r="Y20" s="3479"/>
      <c r="Z20" s="1575"/>
      <c r="AA20" s="1576">
        <v>1</v>
      </c>
      <c r="AB20" s="1576">
        <v>1</v>
      </c>
      <c r="AC20" s="1576">
        <v>1</v>
      </c>
    </row>
    <row r="21" spans="1:29" ht="42.75">
      <c r="A21" s="532"/>
      <c r="B21" s="2572" t="s">
        <v>2559</v>
      </c>
      <c r="C21" s="872" t="str">
        <f>估价对象房地状况!C8</f>
        <v>估价对象所在区域基础设施水平达到三通一平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922"/>
      <c r="C22" s="873" t="s">
        <v>3027</v>
      </c>
      <c r="D22" s="555"/>
      <c r="E22" s="873" t="s">
        <v>3027</v>
      </c>
      <c r="F22" s="557"/>
      <c r="G22" s="873" t="s">
        <v>3027</v>
      </c>
      <c r="H22" s="555"/>
      <c r="I22" s="873" t="s">
        <v>3027</v>
      </c>
      <c r="J22" s="555"/>
      <c r="K22" s="2581"/>
      <c r="L22" s="2142"/>
      <c r="M22" s="2134"/>
      <c r="N22" s="2134"/>
      <c r="O22" s="2141"/>
      <c r="P22" s="3479"/>
      <c r="Q22" s="2558"/>
      <c r="R22" s="1573"/>
      <c r="S22" s="1574"/>
      <c r="T22" s="1573"/>
      <c r="U22" s="1574"/>
      <c r="V22" s="1573"/>
      <c r="W22" s="1574"/>
      <c r="X22" s="2560"/>
      <c r="Y22" s="3479"/>
      <c r="Z22" s="2559"/>
      <c r="AA22" s="1576">
        <v>1</v>
      </c>
      <c r="AB22" s="1576">
        <v>1</v>
      </c>
      <c r="AC22" s="1576">
        <v>1</v>
      </c>
    </row>
    <row r="23" spans="1:29" ht="42.75">
      <c r="A23" s="532"/>
      <c r="B23" s="871" t="s">
        <v>297</v>
      </c>
      <c r="C23" s="900"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79"/>
      <c r="Q23" s="1572" t="str">
        <f>B23</f>
        <v>自然及人文环境</v>
      </c>
      <c r="R23" s="1573" t="s">
        <v>8</v>
      </c>
      <c r="S23" s="1574">
        <f>F23</f>
        <v>100</v>
      </c>
      <c r="T23" s="1573" t="s">
        <v>8</v>
      </c>
      <c r="U23" s="1574">
        <f>H23</f>
        <v>100</v>
      </c>
      <c r="V23" s="1573" t="s">
        <v>8</v>
      </c>
      <c r="W23" s="1574">
        <f>J23</f>
        <v>100</v>
      </c>
      <c r="X23" s="1567"/>
      <c r="Y23" s="3479"/>
      <c r="Z23" s="1575" t="str">
        <f>Q23</f>
        <v>自然及人文环境</v>
      </c>
      <c r="AA23" s="1576">
        <f t="shared" si="3"/>
        <v>1</v>
      </c>
      <c r="AB23" s="1576">
        <f t="shared" si="4"/>
        <v>1</v>
      </c>
      <c r="AC23" s="1576">
        <f t="shared" si="5"/>
        <v>1</v>
      </c>
    </row>
    <row r="24" spans="1:29" ht="15">
      <c r="A24" s="532"/>
      <c r="B24" s="595"/>
      <c r="C24" s="576" t="s">
        <v>3025</v>
      </c>
      <c r="D24" s="555"/>
      <c r="E24" s="576" t="s">
        <v>3025</v>
      </c>
      <c r="F24" s="557"/>
      <c r="G24" s="576" t="s">
        <v>3025</v>
      </c>
      <c r="H24" s="555"/>
      <c r="I24" s="576" t="s">
        <v>3025</v>
      </c>
      <c r="J24" s="555"/>
      <c r="K24" s="899"/>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32"/>
      <c r="B25" s="527" t="s">
        <v>547</v>
      </c>
      <c r="C25" s="583" t="s">
        <v>3120</v>
      </c>
      <c r="D25" s="540">
        <v>100</v>
      </c>
      <c r="E25" s="583" t="s">
        <v>3028</v>
      </c>
      <c r="F25" s="575">
        <f>SUMIF(86:86,E25,87:87)-SUMIF(86:86,C25,87:87)+100</f>
        <v>99</v>
      </c>
      <c r="G25" s="583" t="s">
        <v>3120</v>
      </c>
      <c r="H25" s="540">
        <f>SUMIF(86:86,G25,87:87)-SUMIF(86:86,C25,87:87)+100</f>
        <v>100</v>
      </c>
      <c r="I25" s="583" t="s">
        <v>3120</v>
      </c>
      <c r="J25" s="540">
        <f>SUMIF(86:86,I25,87:87)-SUMIF(86:86,C25,87:87)+100</f>
        <v>100</v>
      </c>
      <c r="K25" s="584">
        <v>1</v>
      </c>
      <c r="L25" s="2142"/>
      <c r="M25" s="2134"/>
      <c r="N25" s="2134"/>
      <c r="O25" s="2141"/>
      <c r="P25" s="3479"/>
      <c r="Q25" s="1572" t="str">
        <f t="shared" ref="Q25:Q46" si="11">B25</f>
        <v>临街状况</v>
      </c>
      <c r="R25" s="1573" t="s">
        <v>8</v>
      </c>
      <c r="S25" s="1574">
        <f>F25</f>
        <v>99</v>
      </c>
      <c r="T25" s="1573" t="s">
        <v>8</v>
      </c>
      <c r="U25" s="1574">
        <f>H25</f>
        <v>100</v>
      </c>
      <c r="V25" s="1573" t="s">
        <v>8</v>
      </c>
      <c r="W25" s="1574">
        <f>J25</f>
        <v>100</v>
      </c>
      <c r="X25" s="1567"/>
      <c r="Y25" s="3479"/>
      <c r="Z25" s="1575" t="str">
        <f>Q25</f>
        <v>临街状况</v>
      </c>
      <c r="AA25" s="1576">
        <f t="shared" si="3"/>
        <v>1.0101010101010102</v>
      </c>
      <c r="AB25" s="1576">
        <f t="shared" si="4"/>
        <v>1</v>
      </c>
      <c r="AC25" s="1576">
        <f t="shared" si="5"/>
        <v>1</v>
      </c>
    </row>
    <row r="26" spans="1:29" ht="15">
      <c r="A26" s="532"/>
      <c r="B26" s="877" t="s">
        <v>758</v>
      </c>
      <c r="C26" s="3209" t="s">
        <v>3069</v>
      </c>
      <c r="D26" s="540">
        <v>100</v>
      </c>
      <c r="E26" s="3209" t="s">
        <v>3069</v>
      </c>
      <c r="F26" s="575">
        <f>SUMIF(88:88,E26,89:89)-SUMIF(88:88,C26,89:89)+100</f>
        <v>100</v>
      </c>
      <c r="G26" s="3209" t="s">
        <v>3069</v>
      </c>
      <c r="H26" s="540">
        <f>SUMIF(88:88,G26,89:89)-SUMIF(88:88,C26,89:89)+100</f>
        <v>100</v>
      </c>
      <c r="I26" s="3209" t="s">
        <v>3069</v>
      </c>
      <c r="J26" s="540">
        <f>SUMIF(88:88,I26,89:89)-SUMIF(88:88,C26,89:89)+100</f>
        <v>100</v>
      </c>
      <c r="K26" s="581"/>
      <c r="L26" s="2142"/>
      <c r="M26" s="2134"/>
      <c r="N26" s="2134"/>
      <c r="O26" s="2141"/>
      <c r="P26" s="3479"/>
      <c r="Q26" s="1572" t="str">
        <f t="shared" si="11"/>
        <v>平面位置/可视性</v>
      </c>
      <c r="R26" s="1573" t="s">
        <v>8</v>
      </c>
      <c r="S26" s="1574">
        <f>F26</f>
        <v>100</v>
      </c>
      <c r="T26" s="1573" t="s">
        <v>8</v>
      </c>
      <c r="U26" s="1574">
        <f>H26</f>
        <v>100</v>
      </c>
      <c r="V26" s="1573" t="s">
        <v>8</v>
      </c>
      <c r="W26" s="1574">
        <f>J26</f>
        <v>100</v>
      </c>
      <c r="X26" s="1567"/>
      <c r="Y26" s="3479"/>
      <c r="Z26" s="1575" t="str">
        <f>Q26</f>
        <v>平面位置/可视性</v>
      </c>
      <c r="AA26" s="1576">
        <f t="shared" si="3"/>
        <v>1</v>
      </c>
      <c r="AB26" s="1576">
        <f t="shared" si="4"/>
        <v>1</v>
      </c>
      <c r="AC26" s="1576">
        <f t="shared" si="5"/>
        <v>1</v>
      </c>
    </row>
    <row r="27" spans="1:29" s="1219" customFormat="1" ht="15">
      <c r="A27" s="536"/>
      <c r="B27" s="871" t="s">
        <v>759</v>
      </c>
      <c r="C27" s="3217" t="s">
        <v>3069</v>
      </c>
      <c r="D27" s="875">
        <v>100</v>
      </c>
      <c r="E27" s="3217" t="s">
        <v>3069</v>
      </c>
      <c r="F27" s="876">
        <f>SUMIF(90:90,E27,91:91)-SUMIF(90:90,C27,91:91)+100</f>
        <v>100</v>
      </c>
      <c r="G27" s="3217" t="s">
        <v>3069</v>
      </c>
      <c r="H27" s="875">
        <f>SUMIF(90:90,G27,91:91)-SUMIF(90:90,C27,91:91)+100</f>
        <v>100</v>
      </c>
      <c r="I27" s="3217" t="s">
        <v>3069</v>
      </c>
      <c r="J27" s="875">
        <f>SUMIF(90:90,I27,91:91)-SUMIF(90:90,C27,91:91)+100</f>
        <v>100</v>
      </c>
      <c r="K27" s="584"/>
      <c r="L27" s="2135"/>
      <c r="M27" s="2136"/>
      <c r="N27" s="2136"/>
      <c r="O27" s="2137"/>
      <c r="P27" s="3479"/>
      <c r="Q27" s="1151" t="str">
        <f t="shared" si="11"/>
        <v>人流量</v>
      </c>
      <c r="R27" s="1568" t="s">
        <v>8</v>
      </c>
      <c r="S27" s="1569">
        <f>F27</f>
        <v>100</v>
      </c>
      <c r="T27" s="1568" t="s">
        <v>8</v>
      </c>
      <c r="U27" s="1569">
        <f>H27</f>
        <v>100</v>
      </c>
      <c r="V27" s="1568" t="s">
        <v>8</v>
      </c>
      <c r="W27" s="1569">
        <f>J27</f>
        <v>100</v>
      </c>
      <c r="X27" s="1570"/>
      <c r="Y27" s="3479"/>
      <c r="Z27" s="1150" t="str">
        <f>Q27</f>
        <v>人流量</v>
      </c>
      <c r="AA27" s="1576">
        <f>D27/F27</f>
        <v>1</v>
      </c>
      <c r="AB27" s="1576">
        <f>D27/H27</f>
        <v>1</v>
      </c>
      <c r="AC27" s="1576">
        <f>D27/J27</f>
        <v>1</v>
      </c>
    </row>
    <row r="28" spans="1:29" ht="15">
      <c r="A28" s="532"/>
      <c r="B28" s="527" t="s">
        <v>761</v>
      </c>
      <c r="C28" s="3215" t="s">
        <v>3070</v>
      </c>
      <c r="D28" s="540">
        <v>100</v>
      </c>
      <c r="E28" s="3215" t="s">
        <v>3070</v>
      </c>
      <c r="F28" s="575">
        <f>SUMIF(92:92,E28,93:93)-SUMIF(92:92,C28,93:93)+100</f>
        <v>100</v>
      </c>
      <c r="G28" s="3215" t="s">
        <v>3070</v>
      </c>
      <c r="H28" s="540">
        <f>SUMIF(92:92,G28,93:93)-SUMIF(92:92,C28,93:93)+100</f>
        <v>100</v>
      </c>
      <c r="I28" s="3215" t="s">
        <v>3070</v>
      </c>
      <c r="J28" s="540">
        <f>SUMIF(92:92,I28,93:93)-SUMIF(92:92,C28,93:93)+100</f>
        <v>100</v>
      </c>
      <c r="K28" s="581"/>
      <c r="L28" s="2142"/>
      <c r="M28" s="2134"/>
      <c r="N28" s="2134"/>
      <c r="O28" s="2141"/>
      <c r="P28" s="347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9"/>
      <c r="Z28" s="1575" t="str">
        <f t="shared" ref="Z28:Z46" si="15">Q28</f>
        <v>楼层</v>
      </c>
      <c r="AA28" s="1576">
        <f t="shared" si="3"/>
        <v>1</v>
      </c>
      <c r="AB28" s="1576">
        <f t="shared" si="4"/>
        <v>1</v>
      </c>
      <c r="AC28" s="1576">
        <f t="shared" si="5"/>
        <v>1</v>
      </c>
    </row>
    <row r="29" spans="1:29" ht="27">
      <c r="A29" s="532"/>
      <c r="B29" s="3216" t="s">
        <v>3067</v>
      </c>
      <c r="C29" s="3209" t="s">
        <v>3151</v>
      </c>
      <c r="D29" s="540">
        <v>100</v>
      </c>
      <c r="E29" s="3209" t="s">
        <v>3141</v>
      </c>
      <c r="F29" s="575">
        <f>SUMIF(94:94,E29,95:95)-SUMIF(94:94,C29,95:95)+100</f>
        <v>98</v>
      </c>
      <c r="G29" s="3209" t="s">
        <v>3142</v>
      </c>
      <c r="H29" s="540">
        <f>SUMIF(94:94,G29,95:95)-SUMIF(94:94,C29,95:95)+100</f>
        <v>100</v>
      </c>
      <c r="I29" s="3209" t="s">
        <v>3143</v>
      </c>
      <c r="J29" s="540">
        <f>SUMIF(94:94,I29,95:95)-SUMIF(94:94,C29,95:95)+100</f>
        <v>100</v>
      </c>
      <c r="K29" s="581"/>
      <c r="L29" s="2142"/>
      <c r="M29" s="2134"/>
      <c r="N29" s="2134"/>
      <c r="O29" s="2141"/>
      <c r="P29" s="3479"/>
      <c r="Q29" s="1572" t="str">
        <f t="shared" si="11"/>
        <v>临街道路</v>
      </c>
      <c r="R29" s="1573" t="s">
        <v>8</v>
      </c>
      <c r="S29" s="1574">
        <f t="shared" si="12"/>
        <v>98</v>
      </c>
      <c r="T29" s="1573" t="s">
        <v>8</v>
      </c>
      <c r="U29" s="1574">
        <f t="shared" si="13"/>
        <v>100</v>
      </c>
      <c r="V29" s="1573" t="s">
        <v>8</v>
      </c>
      <c r="W29" s="1574">
        <f t="shared" si="14"/>
        <v>100</v>
      </c>
      <c r="X29" s="1567"/>
      <c r="Y29" s="3479"/>
      <c r="Z29" s="1575" t="str">
        <f t="shared" si="15"/>
        <v>临街道路</v>
      </c>
      <c r="AA29" s="1576">
        <f t="shared" si="3"/>
        <v>1.0204081632653061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79"/>
      <c r="Q30" s="1572">
        <f t="shared" si="11"/>
        <v>111</v>
      </c>
      <c r="R30" s="1573" t="s">
        <v>8</v>
      </c>
      <c r="S30" s="1574">
        <f t="shared" si="12"/>
        <v>100</v>
      </c>
      <c r="T30" s="1573" t="s">
        <v>8</v>
      </c>
      <c r="U30" s="1574">
        <f t="shared" si="13"/>
        <v>100</v>
      </c>
      <c r="V30" s="1573" t="s">
        <v>8</v>
      </c>
      <c r="W30" s="1574">
        <f t="shared" si="14"/>
        <v>100</v>
      </c>
      <c r="X30" s="1567"/>
      <c r="Y30" s="347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79"/>
      <c r="Q31" s="1572">
        <f t="shared" si="11"/>
        <v>111</v>
      </c>
      <c r="R31" s="1573" t="s">
        <v>8</v>
      </c>
      <c r="S31" s="1574">
        <f t="shared" si="12"/>
        <v>100</v>
      </c>
      <c r="T31" s="1573" t="s">
        <v>8</v>
      </c>
      <c r="U31" s="1574">
        <f t="shared" si="13"/>
        <v>100</v>
      </c>
      <c r="V31" s="1573" t="s">
        <v>8</v>
      </c>
      <c r="W31" s="1574">
        <f t="shared" si="14"/>
        <v>100</v>
      </c>
      <c r="X31" s="1567"/>
      <c r="Y31" s="3479"/>
      <c r="Z31" s="1575">
        <f t="shared" si="15"/>
        <v>111</v>
      </c>
      <c r="AA31" s="1576">
        <f t="shared" si="3"/>
        <v>1</v>
      </c>
      <c r="AB31" s="1576">
        <f t="shared" si="4"/>
        <v>1</v>
      </c>
      <c r="AC31" s="1576">
        <f t="shared" si="5"/>
        <v>1</v>
      </c>
    </row>
    <row r="32" spans="1:29" ht="15">
      <c r="A32" s="2886" t="s">
        <v>2756</v>
      </c>
      <c r="B32" s="172" t="s">
        <v>762</v>
      </c>
      <c r="C32" s="3205" t="s">
        <v>3124</v>
      </c>
      <c r="D32" s="597">
        <v>100</v>
      </c>
      <c r="E32" s="3205" t="s">
        <v>3144</v>
      </c>
      <c r="F32" s="575">
        <f>SUMIF(100:100,E32,101:101)-SUMIF(100:100,C32,101:101)+100</f>
        <v>98</v>
      </c>
      <c r="G32" s="3205" t="s">
        <v>3144</v>
      </c>
      <c r="H32" s="540">
        <f>SUMIF(100:100,G32,101:101)-SUMIF(100:100,C32,101:101)+100</f>
        <v>98</v>
      </c>
      <c r="I32" s="3205" t="s">
        <v>3145</v>
      </c>
      <c r="J32" s="597">
        <f>SUMIF(100:100,I32,101:101)-SUMIF(100:100,C32,101:101)+100</f>
        <v>99</v>
      </c>
      <c r="K32" s="584">
        <v>1</v>
      </c>
      <c r="L32" s="2142"/>
      <c r="M32" s="2134"/>
      <c r="N32" s="2134"/>
      <c r="O32" s="2141"/>
      <c r="P32" s="3480" t="s">
        <v>550</v>
      </c>
      <c r="Q32" s="1572" t="str">
        <f t="shared" si="11"/>
        <v>商业类型</v>
      </c>
      <c r="R32" s="1573" t="s">
        <v>8</v>
      </c>
      <c r="S32" s="1574">
        <f t="shared" si="12"/>
        <v>98</v>
      </c>
      <c r="T32" s="1573" t="s">
        <v>8</v>
      </c>
      <c r="U32" s="1574">
        <f t="shared" si="13"/>
        <v>98</v>
      </c>
      <c r="V32" s="1573" t="s">
        <v>8</v>
      </c>
      <c r="W32" s="1574">
        <f t="shared" si="14"/>
        <v>99</v>
      </c>
      <c r="X32" s="1567"/>
      <c r="Y32" s="3481" t="s">
        <v>550</v>
      </c>
      <c r="Z32" s="1575" t="str">
        <f t="shared" si="15"/>
        <v>商业类型</v>
      </c>
      <c r="AA32" s="1576">
        <f t="shared" si="3"/>
        <v>1.0204081632653061</v>
      </c>
      <c r="AB32" s="1576">
        <f t="shared" si="4"/>
        <v>1.0204081632653061</v>
      </c>
      <c r="AC32" s="1576">
        <f t="shared" si="5"/>
        <v>1.0101010101010102</v>
      </c>
    </row>
    <row r="33" spans="1:29" s="1338" customFormat="1" ht="15">
      <c r="A33" s="603"/>
      <c r="B33" s="527" t="s">
        <v>726</v>
      </c>
      <c r="C33" s="880">
        <f>'数据-基础表'!I13</f>
        <v>85455</v>
      </c>
      <c r="D33" s="255">
        <v>100</v>
      </c>
      <c r="E33" s="534">
        <v>630</v>
      </c>
      <c r="F33" s="863">
        <f>LOOKUP(E33,103:103,104:104)-LOOKUP(C33,103:103,104:104)+100</f>
        <v>102</v>
      </c>
      <c r="G33" s="533">
        <v>400</v>
      </c>
      <c r="H33" s="255">
        <f>LOOKUP(G33,103:103,104:104)-LOOKUP(C33,103:103,104:104)+100</f>
        <v>102</v>
      </c>
      <c r="I33" s="533">
        <v>338</v>
      </c>
      <c r="J33" s="255">
        <f>LOOKUP(I33,103:103,104:104)-LOOKUP(C33,103:103,104:104)+100</f>
        <v>102</v>
      </c>
      <c r="K33" s="581"/>
      <c r="L33" s="2140"/>
      <c r="M33" s="2171"/>
      <c r="N33" s="2171"/>
      <c r="O33" s="2143"/>
      <c r="P33" s="3481"/>
      <c r="Q33" s="1605" t="str">
        <f t="shared" si="11"/>
        <v>项目建筑规模</v>
      </c>
      <c r="R33" s="1577" t="s">
        <v>8</v>
      </c>
      <c r="S33" s="1578">
        <f t="shared" si="12"/>
        <v>102</v>
      </c>
      <c r="T33" s="1577" t="s">
        <v>8</v>
      </c>
      <c r="U33" s="1578">
        <f t="shared" si="13"/>
        <v>102</v>
      </c>
      <c r="V33" s="1577" t="s">
        <v>8</v>
      </c>
      <c r="W33" s="1578">
        <f t="shared" si="14"/>
        <v>102</v>
      </c>
      <c r="X33" s="1579"/>
      <c r="Y33" s="3481"/>
      <c r="Z33" s="1580" t="str">
        <f t="shared" si="15"/>
        <v>项目建筑规模</v>
      </c>
      <c r="AA33" s="1576">
        <f t="shared" si="3"/>
        <v>0.98039215686274506</v>
      </c>
      <c r="AB33" s="1576">
        <f t="shared" si="4"/>
        <v>0.98039215686274506</v>
      </c>
      <c r="AC33" s="1576">
        <f t="shared" si="5"/>
        <v>0.98039215686274506</v>
      </c>
    </row>
    <row r="34" spans="1:29" ht="15">
      <c r="A34" s="594"/>
      <c r="B34" s="527" t="s">
        <v>727</v>
      </c>
      <c r="C34" s="881" t="s">
        <v>3031</v>
      </c>
      <c r="D34" s="540">
        <v>100</v>
      </c>
      <c r="E34" s="881" t="s">
        <v>3031</v>
      </c>
      <c r="F34" s="575">
        <f>SUMIF(105:105,E34,106:106)-SUMIF(105:105,C34,106:106)+100</f>
        <v>100</v>
      </c>
      <c r="G34" s="881" t="s">
        <v>3031</v>
      </c>
      <c r="H34" s="540">
        <f>SUMIF(105:105,G34,106:106)-SUMIF(105:105,C34,106:106)+100</f>
        <v>100</v>
      </c>
      <c r="I34" s="881" t="s">
        <v>3031</v>
      </c>
      <c r="J34" s="540">
        <f>SUMIF(105:105,I34,106:106)-SUMIF(105:105,C34,106:106)+100</f>
        <v>100</v>
      </c>
      <c r="K34" s="584"/>
      <c r="L34" s="2142"/>
      <c r="M34" s="2134"/>
      <c r="N34" s="2134"/>
      <c r="O34" s="2141"/>
      <c r="P34" s="3481"/>
      <c r="Q34" s="1572" t="str">
        <f t="shared" si="11"/>
        <v>建筑结构</v>
      </c>
      <c r="R34" s="1573" t="s">
        <v>8</v>
      </c>
      <c r="S34" s="1574">
        <f t="shared" si="12"/>
        <v>100</v>
      </c>
      <c r="T34" s="1573" t="s">
        <v>8</v>
      </c>
      <c r="U34" s="1574">
        <f t="shared" si="13"/>
        <v>100</v>
      </c>
      <c r="V34" s="1573" t="s">
        <v>8</v>
      </c>
      <c r="W34" s="1574">
        <f t="shared" si="14"/>
        <v>100</v>
      </c>
      <c r="X34" s="1567"/>
      <c r="Y34" s="3481"/>
      <c r="Z34" s="1575" t="str">
        <f t="shared" si="15"/>
        <v>建筑结构</v>
      </c>
      <c r="AA34" s="1576">
        <f t="shared" si="3"/>
        <v>1</v>
      </c>
      <c r="AB34" s="1576">
        <f t="shared" si="4"/>
        <v>1</v>
      </c>
      <c r="AC34" s="1576">
        <f t="shared" si="5"/>
        <v>1</v>
      </c>
    </row>
    <row r="35" spans="1:29" ht="15">
      <c r="A35" s="594"/>
      <c r="B35" s="527" t="s">
        <v>763</v>
      </c>
      <c r="C35" s="599" t="s">
        <v>3033</v>
      </c>
      <c r="D35" s="540">
        <v>100</v>
      </c>
      <c r="E35" s="599" t="s">
        <v>3033</v>
      </c>
      <c r="F35" s="575">
        <f>SUMIF(107:107,E35,108:108)-SUMIF(107:107,C35,108:108)+100</f>
        <v>100</v>
      </c>
      <c r="G35" s="599" t="s">
        <v>3033</v>
      </c>
      <c r="H35" s="540">
        <f>SUMIF(107:107,G35,108:108)-SUMIF(107:107,C35,108:108)+100</f>
        <v>100</v>
      </c>
      <c r="I35" s="599" t="s">
        <v>3033</v>
      </c>
      <c r="J35" s="540">
        <f>SUMIF(107:107,I35,108:108)-SUMIF(107:107,C35,108:108)+100</f>
        <v>100</v>
      </c>
      <c r="K35" s="584"/>
      <c r="L35" s="2142"/>
      <c r="M35" s="2134"/>
      <c r="N35" s="2134"/>
      <c r="O35" s="2141"/>
      <c r="P35" s="3481"/>
      <c r="Q35" s="1572" t="str">
        <f t="shared" si="11"/>
        <v>公共部分装修</v>
      </c>
      <c r="R35" s="1573" t="s">
        <v>8</v>
      </c>
      <c r="S35" s="1574">
        <f t="shared" si="12"/>
        <v>100</v>
      </c>
      <c r="T35" s="1573" t="s">
        <v>8</v>
      </c>
      <c r="U35" s="1574">
        <f t="shared" si="13"/>
        <v>100</v>
      </c>
      <c r="V35" s="1573" t="s">
        <v>8</v>
      </c>
      <c r="W35" s="1574">
        <f t="shared" si="14"/>
        <v>100</v>
      </c>
      <c r="X35" s="1567"/>
      <c r="Y35" s="3481"/>
      <c r="Z35" s="1575" t="str">
        <f t="shared" si="15"/>
        <v>公共部分装修</v>
      </c>
      <c r="AA35" s="1576">
        <f t="shared" si="3"/>
        <v>1</v>
      </c>
      <c r="AB35" s="1576">
        <f t="shared" si="4"/>
        <v>1</v>
      </c>
      <c r="AC35" s="1576">
        <f t="shared" si="5"/>
        <v>1</v>
      </c>
    </row>
    <row r="36" spans="1:29" ht="15">
      <c r="A36" s="594"/>
      <c r="B36" s="527" t="s">
        <v>764</v>
      </c>
      <c r="C36" s="883">
        <v>1</v>
      </c>
      <c r="D36" s="540">
        <v>100</v>
      </c>
      <c r="E36" s="883">
        <v>0.9</v>
      </c>
      <c r="F36" s="575">
        <f>LOOKUP(E36,110:110,111:111)-LOOKUP(C36,110:110,111:111)+100</f>
        <v>100</v>
      </c>
      <c r="G36" s="883">
        <v>0.9</v>
      </c>
      <c r="H36" s="575">
        <f>LOOKUP(G36,110:110,111:111)-LOOKUP(C36,110:110,111:111)+100</f>
        <v>100</v>
      </c>
      <c r="I36" s="883">
        <v>0.9</v>
      </c>
      <c r="J36" s="540">
        <f>LOOKUP(I36,110:110,111:111)-LOOKUP(C36,110:110,111:111)+100</f>
        <v>100</v>
      </c>
      <c r="K36" s="584">
        <v>1</v>
      </c>
      <c r="L36" s="2142"/>
      <c r="M36" s="2134"/>
      <c r="N36" s="2134"/>
      <c r="O36" s="2141"/>
      <c r="P36" s="3481"/>
      <c r="Q36" s="1572" t="str">
        <f t="shared" si="11"/>
        <v>成新度</v>
      </c>
      <c r="R36" s="1573" t="s">
        <v>8</v>
      </c>
      <c r="S36" s="1574">
        <f t="shared" si="12"/>
        <v>100</v>
      </c>
      <c r="T36" s="1573" t="s">
        <v>8</v>
      </c>
      <c r="U36" s="1574">
        <f t="shared" si="13"/>
        <v>100</v>
      </c>
      <c r="V36" s="1573" t="s">
        <v>8</v>
      </c>
      <c r="W36" s="1574">
        <f t="shared" si="14"/>
        <v>100</v>
      </c>
      <c r="X36" s="1567"/>
      <c r="Y36" s="3481"/>
      <c r="Z36" s="1575" t="str">
        <f t="shared" si="15"/>
        <v>成新度</v>
      </c>
      <c r="AA36" s="1576">
        <f t="shared" si="3"/>
        <v>1</v>
      </c>
      <c r="AB36" s="1576">
        <f t="shared" si="4"/>
        <v>1</v>
      </c>
      <c r="AC36" s="1576">
        <f t="shared" si="5"/>
        <v>1</v>
      </c>
    </row>
    <row r="37" spans="1:29" s="1219" customFormat="1" ht="15">
      <c r="A37" s="600"/>
      <c r="B37" s="1895" t="s">
        <v>2566</v>
      </c>
      <c r="C37" s="3207" t="s">
        <v>3123</v>
      </c>
      <c r="D37" s="255">
        <v>100</v>
      </c>
      <c r="E37" s="599" t="s">
        <v>3040</v>
      </c>
      <c r="F37" s="575">
        <f>SUMIF(112:112,#REF!,113:113)-SUMIF(112:112,E37,113:113)+100</f>
        <v>100</v>
      </c>
      <c r="G37" s="599" t="s">
        <v>3040</v>
      </c>
      <c r="H37" s="540">
        <f>SUMIF(112:112,G37,113:113)-SUMIF(112:112,E37,113:113)+100</f>
        <v>100</v>
      </c>
      <c r="I37" s="599" t="s">
        <v>3040</v>
      </c>
      <c r="J37" s="540">
        <f>SUMIF(112:112,I37,113:113)-SUMIF(112:112,E37,113:113)+100</f>
        <v>100</v>
      </c>
      <c r="K37" s="584">
        <v>100</v>
      </c>
      <c r="L37" s="2135"/>
      <c r="M37" s="2136"/>
      <c r="N37" s="2136"/>
      <c r="O37" s="2137"/>
      <c r="P37" s="3481"/>
      <c r="Q37" s="1151" t="str">
        <f t="shared" si="11"/>
        <v>市政基础设施</v>
      </c>
      <c r="R37" s="1568" t="s">
        <v>8</v>
      </c>
      <c r="S37" s="1569">
        <f t="shared" si="12"/>
        <v>100</v>
      </c>
      <c r="T37" s="1568" t="s">
        <v>8</v>
      </c>
      <c r="U37" s="1569">
        <f t="shared" si="13"/>
        <v>100</v>
      </c>
      <c r="V37" s="1568" t="s">
        <v>8</v>
      </c>
      <c r="W37" s="1569">
        <f t="shared" si="14"/>
        <v>100</v>
      </c>
      <c r="X37" s="1570"/>
      <c r="Y37" s="3481"/>
      <c r="Z37" s="1150" t="str">
        <f t="shared" si="15"/>
        <v>市政基础设施</v>
      </c>
      <c r="AA37" s="1571">
        <f t="shared" si="3"/>
        <v>1</v>
      </c>
      <c r="AB37" s="1571">
        <f t="shared" si="4"/>
        <v>1</v>
      </c>
      <c r="AC37" s="1571">
        <f t="shared" si="5"/>
        <v>1</v>
      </c>
    </row>
    <row r="38" spans="1:29" ht="18" hidden="1" customHeight="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1" t="s">
        <v>766</v>
      </c>
      <c r="Q38" s="1572" t="str">
        <f t="shared" si="11"/>
        <v>业态</v>
      </c>
      <c r="R38" s="1573" t="s">
        <v>8</v>
      </c>
      <c r="S38" s="1574">
        <f t="shared" si="12"/>
        <v>100</v>
      </c>
      <c r="T38" s="1573" t="s">
        <v>8</v>
      </c>
      <c r="U38" s="1574">
        <f t="shared" si="13"/>
        <v>100</v>
      </c>
      <c r="V38" s="1573" t="s">
        <v>8</v>
      </c>
      <c r="W38" s="1574">
        <f t="shared" si="14"/>
        <v>100</v>
      </c>
      <c r="X38" s="1567"/>
      <c r="Y38" s="3481" t="s">
        <v>766</v>
      </c>
      <c r="Z38" s="1575" t="str">
        <f t="shared" si="15"/>
        <v>业态</v>
      </c>
      <c r="AA38" s="1576">
        <f t="shared" si="3"/>
        <v>1</v>
      </c>
      <c r="AB38" s="1576">
        <f t="shared" si="4"/>
        <v>1</v>
      </c>
      <c r="AC38" s="1576">
        <f t="shared" si="5"/>
        <v>1</v>
      </c>
    </row>
    <row r="39" spans="1:29" ht="18" customHeight="1">
      <c r="A39" s="594"/>
      <c r="B39" s="527" t="s">
        <v>767</v>
      </c>
      <c r="C39" s="3207" t="s">
        <v>3045</v>
      </c>
      <c r="D39" s="540">
        <v>100</v>
      </c>
      <c r="E39" s="3207" t="s">
        <v>3045</v>
      </c>
      <c r="F39" s="575">
        <f>SUMIF(116:116,E39,117:117)-SUMIF(116:116,C39,117:117)+100</f>
        <v>100</v>
      </c>
      <c r="G39" s="3207" t="s">
        <v>3045</v>
      </c>
      <c r="H39" s="540">
        <f>SUMIF(116:116,G39,117:117)-SUMIF(116:116,C39,117:117)+100</f>
        <v>100</v>
      </c>
      <c r="I39" s="3207" t="s">
        <v>3045</v>
      </c>
      <c r="J39" s="540">
        <f>SUMIF(116:116,I39,117:117)-SUMIF(116:116,C39,117:117)+100</f>
        <v>100</v>
      </c>
      <c r="K39" s="584"/>
      <c r="L39" s="2142"/>
      <c r="M39" s="2134"/>
      <c r="N39" s="2134"/>
      <c r="O39" s="2141"/>
      <c r="P39" s="3481"/>
      <c r="Q39" s="1572" t="str">
        <f t="shared" si="11"/>
        <v>层高</v>
      </c>
      <c r="R39" s="1573" t="s">
        <v>8</v>
      </c>
      <c r="S39" s="1574">
        <f t="shared" si="12"/>
        <v>100</v>
      </c>
      <c r="T39" s="1573" t="s">
        <v>8</v>
      </c>
      <c r="U39" s="1574">
        <f t="shared" si="13"/>
        <v>100</v>
      </c>
      <c r="V39" s="1573" t="s">
        <v>8</v>
      </c>
      <c r="W39" s="1574">
        <f t="shared" si="14"/>
        <v>100</v>
      </c>
      <c r="X39" s="1567"/>
      <c r="Y39" s="3481"/>
      <c r="Z39" s="1575" t="str">
        <f t="shared" si="15"/>
        <v>层高</v>
      </c>
      <c r="AA39" s="1576">
        <f t="shared" si="3"/>
        <v>1</v>
      </c>
      <c r="AB39" s="1576">
        <f t="shared" si="4"/>
        <v>1</v>
      </c>
      <c r="AC39" s="1576">
        <f t="shared" si="5"/>
        <v>1</v>
      </c>
    </row>
    <row r="40" spans="1:29" ht="18" hidden="1" customHeight="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1"/>
      <c r="Q40" s="1572" t="str">
        <f t="shared" si="11"/>
        <v>单套建筑面积</v>
      </c>
      <c r="R40" s="1573" t="s">
        <v>8</v>
      </c>
      <c r="S40" s="1574">
        <f t="shared" si="12"/>
        <v>100</v>
      </c>
      <c r="T40" s="1573" t="s">
        <v>8</v>
      </c>
      <c r="U40" s="1574">
        <f t="shared" si="13"/>
        <v>100</v>
      </c>
      <c r="V40" s="1573" t="s">
        <v>8</v>
      </c>
      <c r="W40" s="1574">
        <f t="shared" si="14"/>
        <v>100</v>
      </c>
      <c r="X40" s="1567"/>
      <c r="Y40" s="3481"/>
      <c r="Z40" s="1575" t="str">
        <f t="shared" si="15"/>
        <v>单套建筑面积</v>
      </c>
      <c r="AA40" s="1576">
        <f t="shared" si="3"/>
        <v>1</v>
      </c>
      <c r="AB40" s="1576">
        <f t="shared" si="4"/>
        <v>1</v>
      </c>
      <c r="AC40" s="1576">
        <f t="shared" si="5"/>
        <v>1</v>
      </c>
    </row>
    <row r="41" spans="1:29" s="1338" customFormat="1" ht="18" hidden="1" customHeight="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1"/>
      <c r="Q41" s="1605" t="str">
        <f t="shared" si="11"/>
        <v>进深比</v>
      </c>
      <c r="R41" s="1577" t="s">
        <v>8</v>
      </c>
      <c r="S41" s="1578">
        <f t="shared" si="12"/>
        <v>100</v>
      </c>
      <c r="T41" s="1577" t="s">
        <v>8</v>
      </c>
      <c r="U41" s="1578">
        <f t="shared" si="13"/>
        <v>100</v>
      </c>
      <c r="V41" s="1577" t="s">
        <v>8</v>
      </c>
      <c r="W41" s="1578">
        <f t="shared" si="14"/>
        <v>100</v>
      </c>
      <c r="X41" s="1579"/>
      <c r="Y41" s="3481"/>
      <c r="Z41" s="1580" t="str">
        <f t="shared" si="15"/>
        <v>进深比</v>
      </c>
      <c r="AA41" s="1576">
        <f t="shared" si="3"/>
        <v>1</v>
      </c>
      <c r="AB41" s="1576">
        <f t="shared" si="4"/>
        <v>1</v>
      </c>
      <c r="AC41" s="1576">
        <f t="shared" si="5"/>
        <v>1</v>
      </c>
    </row>
    <row r="42" spans="1:29" ht="15">
      <c r="A42" s="594"/>
      <c r="B42" s="527" t="s">
        <v>770</v>
      </c>
      <c r="C42" s="3207" t="s">
        <v>3036</v>
      </c>
      <c r="D42" s="540">
        <v>100</v>
      </c>
      <c r="E42" s="3207" t="s">
        <v>3036</v>
      </c>
      <c r="F42" s="575">
        <f>SUMIF(122:122,E42,123:123)-SUMIF(122:122,C42,123:123)+100</f>
        <v>100</v>
      </c>
      <c r="G42" s="3207" t="s">
        <v>3036</v>
      </c>
      <c r="H42" s="540">
        <f>SUMIF(122:122,G42,123:123)-SUMIF(122:122,C42,123:123)+100</f>
        <v>100</v>
      </c>
      <c r="I42" s="3207" t="s">
        <v>3036</v>
      </c>
      <c r="J42" s="540">
        <f>SUMIF(122:122,I42,123:123)-SUMIF(122:122,C42,123:123)+100</f>
        <v>100</v>
      </c>
      <c r="K42" s="584"/>
      <c r="L42" s="2142"/>
      <c r="M42" s="2134"/>
      <c r="N42" s="2134"/>
      <c r="O42" s="2141"/>
      <c r="P42" s="3481"/>
      <c r="Q42" s="1572" t="str">
        <f t="shared" si="11"/>
        <v>内部装修</v>
      </c>
      <c r="R42" s="1573" t="s">
        <v>8</v>
      </c>
      <c r="S42" s="1574">
        <f t="shared" si="12"/>
        <v>100</v>
      </c>
      <c r="T42" s="1573" t="s">
        <v>8</v>
      </c>
      <c r="U42" s="1574">
        <f t="shared" si="13"/>
        <v>100</v>
      </c>
      <c r="V42" s="1573" t="s">
        <v>8</v>
      </c>
      <c r="W42" s="1574">
        <f t="shared" si="14"/>
        <v>100</v>
      </c>
      <c r="X42" s="1567"/>
      <c r="Y42" s="3481"/>
      <c r="Z42" s="1575" t="str">
        <f t="shared" si="15"/>
        <v>内部装修</v>
      </c>
      <c r="AA42" s="1576">
        <f t="shared" si="3"/>
        <v>1</v>
      </c>
      <c r="AB42" s="1576">
        <f t="shared" si="4"/>
        <v>1</v>
      </c>
      <c r="AC42" s="1576">
        <f t="shared" si="5"/>
        <v>1</v>
      </c>
    </row>
    <row r="43" spans="1:29" ht="27">
      <c r="A43" s="594"/>
      <c r="B43" s="527" t="s">
        <v>735</v>
      </c>
      <c r="C43" s="599" t="s">
        <v>3025</v>
      </c>
      <c r="D43" s="540">
        <v>100</v>
      </c>
      <c r="E43" s="599" t="s">
        <v>3025</v>
      </c>
      <c r="F43" s="575">
        <f>SUMIF(124:124,E43,125:125)-SUMIF(124:124,C43,125:125)+100</f>
        <v>100</v>
      </c>
      <c r="G43" s="599" t="s">
        <v>3025</v>
      </c>
      <c r="H43" s="540">
        <f>SUMIF(124:124,G43,125:125)-SUMIF(124:124,C43,125:125)+100</f>
        <v>100</v>
      </c>
      <c r="I43" s="599" t="s">
        <v>3025</v>
      </c>
      <c r="J43" s="540">
        <f>SUMIF(124:124,I43,125:125)-SUMIF(124:124,C43,125:125)+100</f>
        <v>100</v>
      </c>
      <c r="K43" s="584"/>
      <c r="L43" s="2142"/>
      <c r="M43" s="2134"/>
      <c r="N43" s="2134"/>
      <c r="O43" s="2141"/>
      <c r="P43" s="3481"/>
      <c r="Q43" s="1572" t="str">
        <f t="shared" si="11"/>
        <v>内部装修维护情况</v>
      </c>
      <c r="R43" s="1573" t="s">
        <v>8</v>
      </c>
      <c r="S43" s="1574">
        <f t="shared" si="12"/>
        <v>100</v>
      </c>
      <c r="T43" s="1573" t="s">
        <v>8</v>
      </c>
      <c r="U43" s="1574">
        <f t="shared" si="13"/>
        <v>100</v>
      </c>
      <c r="V43" s="1573" t="s">
        <v>8</v>
      </c>
      <c r="W43" s="1574">
        <f t="shared" si="14"/>
        <v>100</v>
      </c>
      <c r="X43" s="1567"/>
      <c r="Y43" s="3481"/>
      <c r="Z43" s="1575" t="str">
        <f t="shared" si="15"/>
        <v>内部装修维护情况</v>
      </c>
      <c r="AA43" s="1576">
        <f t="shared" si="3"/>
        <v>1</v>
      </c>
      <c r="AB43" s="1576">
        <f t="shared" si="4"/>
        <v>1</v>
      </c>
      <c r="AC43" s="1576">
        <f t="shared" si="5"/>
        <v>1</v>
      </c>
    </row>
    <row r="44" spans="1:29" s="1219" customFormat="1" ht="15">
      <c r="A44" s="600"/>
      <c r="B44" s="877">
        <v>111</v>
      </c>
      <c r="C44" s="880" t="s">
        <v>3136</v>
      </c>
      <c r="D44" s="255">
        <v>100</v>
      </c>
      <c r="E44" s="3209" t="s">
        <v>3137</v>
      </c>
      <c r="F44" s="863">
        <f>SUMIF(126:126,E44,127:127)-SUMIF(126:126,C44,127:127)+100</f>
        <v>101</v>
      </c>
      <c r="G44" s="3209" t="s">
        <v>3138</v>
      </c>
      <c r="H44" s="255">
        <f>SUMIF(126:126,G44,127:127)-SUMIF(126:126,C44,127:127)+100</f>
        <v>101</v>
      </c>
      <c r="I44" s="3209" t="s">
        <v>3138</v>
      </c>
      <c r="J44" s="255">
        <f>SUMIF(126:126,I44,127:127)-SUMIF(126:126,C44,127:127)+100</f>
        <v>101</v>
      </c>
      <c r="K44" s="581"/>
      <c r="L44" s="2135"/>
      <c r="M44" s="2136"/>
      <c r="N44" s="2136"/>
      <c r="O44" s="2137"/>
      <c r="P44" s="3481"/>
      <c r="Q44" s="1151">
        <f t="shared" si="11"/>
        <v>111</v>
      </c>
      <c r="R44" s="1568" t="s">
        <v>8</v>
      </c>
      <c r="S44" s="1569">
        <f t="shared" si="12"/>
        <v>101</v>
      </c>
      <c r="T44" s="1568" t="s">
        <v>8</v>
      </c>
      <c r="U44" s="1569">
        <f t="shared" si="13"/>
        <v>101</v>
      </c>
      <c r="V44" s="1568" t="s">
        <v>8</v>
      </c>
      <c r="W44" s="1569">
        <f t="shared" si="14"/>
        <v>101</v>
      </c>
      <c r="X44" s="1570"/>
      <c r="Y44" s="3481"/>
      <c r="Z44" s="1150">
        <f t="shared" si="15"/>
        <v>111</v>
      </c>
      <c r="AA44" s="1571">
        <f t="shared" si="3"/>
        <v>0.99009900990099009</v>
      </c>
      <c r="AB44" s="1571">
        <f t="shared" si="4"/>
        <v>0.99009900990099009</v>
      </c>
      <c r="AC44" s="1571">
        <f t="shared" si="5"/>
        <v>0.99009900990099009</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1"/>
      <c r="Q45" s="1572">
        <f t="shared" si="11"/>
        <v>111</v>
      </c>
      <c r="R45" s="1573" t="s">
        <v>8</v>
      </c>
      <c r="S45" s="1574">
        <f t="shared" si="12"/>
        <v>100</v>
      </c>
      <c r="T45" s="1573" t="s">
        <v>8</v>
      </c>
      <c r="U45" s="1574">
        <f t="shared" si="13"/>
        <v>100</v>
      </c>
      <c r="V45" s="1573" t="s">
        <v>8</v>
      </c>
      <c r="W45" s="1574">
        <f t="shared" si="14"/>
        <v>100</v>
      </c>
      <c r="X45" s="1567"/>
      <c r="Y45" s="348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2"/>
      <c r="Q46" s="1572">
        <f t="shared" si="11"/>
        <v>111</v>
      </c>
      <c r="R46" s="1573" t="s">
        <v>8</v>
      </c>
      <c r="S46" s="1574">
        <f t="shared" si="12"/>
        <v>100</v>
      </c>
      <c r="T46" s="1573" t="s">
        <v>8</v>
      </c>
      <c r="U46" s="1574">
        <f t="shared" si="13"/>
        <v>100</v>
      </c>
      <c r="V46" s="1573" t="s">
        <v>8</v>
      </c>
      <c r="W46" s="1574">
        <f t="shared" si="14"/>
        <v>100</v>
      </c>
      <c r="X46" s="1567"/>
      <c r="Y46" s="3482"/>
      <c r="Z46" s="1575">
        <f t="shared" si="15"/>
        <v>111</v>
      </c>
      <c r="AA46" s="1576">
        <f t="shared" si="3"/>
        <v>1</v>
      </c>
      <c r="AB46" s="1576">
        <f t="shared" si="4"/>
        <v>1</v>
      </c>
      <c r="AC46" s="1576">
        <f t="shared" si="5"/>
        <v>1</v>
      </c>
    </row>
    <row r="47" spans="1:29" ht="15">
      <c r="A47" s="607" t="s">
        <v>736</v>
      </c>
      <c r="B47" s="887"/>
      <c r="C47" s="2606" t="s">
        <v>1</v>
      </c>
      <c r="D47" s="2607"/>
      <c r="E47" s="2608">
        <v>11</v>
      </c>
      <c r="F47" s="2609"/>
      <c r="G47" s="2610">
        <v>10</v>
      </c>
      <c r="H47" s="2611"/>
      <c r="I47" s="2608">
        <v>12</v>
      </c>
      <c r="J47" s="2611"/>
      <c r="K47" s="1611"/>
      <c r="L47" s="2144"/>
      <c r="M47" s="2145"/>
      <c r="N47" s="2134"/>
      <c r="O47" s="2145"/>
      <c r="P47" s="3473" t="str">
        <f>A47</f>
        <v>成交单价（元/平方米）</v>
      </c>
      <c r="Q47" s="3473"/>
      <c r="R47" s="3474">
        <f>E47</f>
        <v>11</v>
      </c>
      <c r="S47" s="3474"/>
      <c r="T47" s="3474">
        <f>G47</f>
        <v>10</v>
      </c>
      <c r="U47" s="3474"/>
      <c r="V47" s="3474">
        <f>I47</f>
        <v>12</v>
      </c>
      <c r="W47" s="3474"/>
      <c r="X47" s="1559"/>
      <c r="Y47" s="1581"/>
      <c r="Z47" s="1559"/>
      <c r="AA47" s="1559"/>
      <c r="AB47" s="1559"/>
      <c r="AC47" s="1559"/>
    </row>
    <row r="48" spans="1:29" ht="15.75" thickBot="1">
      <c r="A48" s="615" t="s">
        <v>2761</v>
      </c>
      <c r="B48" s="888"/>
      <c r="C48" s="2612">
        <f>R49</f>
        <v>11</v>
      </c>
      <c r="D48" s="2613"/>
      <c r="E48" s="2614">
        <f>R48</f>
        <v>11.3</v>
      </c>
      <c r="F48" s="2614"/>
      <c r="G48" s="2612">
        <f>T48</f>
        <v>10</v>
      </c>
      <c r="H48" s="2613"/>
      <c r="I48" s="2614">
        <f>V48</f>
        <v>11.8</v>
      </c>
      <c r="J48" s="2613"/>
      <c r="K48" s="1612"/>
      <c r="L48" s="2144"/>
      <c r="M48" s="2145"/>
      <c r="N48" s="2134"/>
      <c r="O48" s="2145"/>
      <c r="P48" s="3473" t="str">
        <f>A48</f>
        <v>比较价格（元/平方米）</v>
      </c>
      <c r="Q48" s="3473"/>
      <c r="R48" s="3474">
        <f>IF(F1="售价",ROUND(PRODUCT(R47,AA7:AA46),0),ROUND(PRODUCT(R47,AA7:AA46),1))</f>
        <v>11.3</v>
      </c>
      <c r="S48" s="3474"/>
      <c r="T48" s="3474">
        <f>IF(F1="售价",ROUND(PRODUCT(T47,AB7:AB46),0),ROUND(PRODUCT(T47,AB7:AB46),1))</f>
        <v>10</v>
      </c>
      <c r="U48" s="3474"/>
      <c r="V48" s="3474">
        <f>IF(F1="售价",ROUND(PRODUCT(V47,AC7:AC46),0),ROUND(PRODUCT(V47,AC7:AC46),1))</f>
        <v>11.8</v>
      </c>
      <c r="W48" s="3474"/>
      <c r="X48" s="1559"/>
      <c r="Y48" s="1559"/>
      <c r="Z48" s="1559"/>
      <c r="AA48" s="1559"/>
      <c r="AB48" s="1559"/>
      <c r="AC48" s="1559"/>
    </row>
    <row r="49" spans="1:29" ht="15.75" thickBot="1">
      <c r="A49" s="621" t="s">
        <v>2932</v>
      </c>
      <c r="B49" s="622"/>
      <c r="C49" s="2615">
        <f>R49</f>
        <v>11</v>
      </c>
      <c r="D49" s="2615"/>
      <c r="E49" s="2615"/>
      <c r="F49" s="2615"/>
      <c r="G49" s="2615"/>
      <c r="H49" s="2615"/>
      <c r="I49" s="2615"/>
      <c r="J49" s="2615"/>
      <c r="K49" s="1613"/>
      <c r="L49" s="2144"/>
      <c r="M49" s="2145"/>
      <c r="N49" s="2134"/>
      <c r="O49" s="2145"/>
      <c r="P49" s="3475" t="str">
        <f>A49</f>
        <v>估价对象XX用房的比较价格（楼面单价，元/平方米）</v>
      </c>
      <c r="Q49" s="3476"/>
      <c r="R49" s="3477">
        <f>IF(F1="售价",ROUND(AVERAGE(R48:V48),0),ROUND(AVERAGE(R48:V48),1))</f>
        <v>11</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2.7272727272727337E-2</v>
      </c>
      <c r="F52" s="627" t="str">
        <f>IF(OR(E52&gt;=0.3,E52&lt;=-0.3),"超过30%","")</f>
        <v/>
      </c>
      <c r="G52" s="626">
        <f>IF(G47&lt;G48,G48/G47-1,G47/G48-1)</f>
        <v>0</v>
      </c>
      <c r="H52" s="627" t="str">
        <f>IF(OR(G52&gt;=0.3,G52&lt;=-0.3),"超过30%","")</f>
        <v/>
      </c>
      <c r="I52" s="626">
        <f>IF(I47&lt;I48,I48/I47-1,I47/I48-1)</f>
        <v>1.6949152542372836E-2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0.13000000000000012</v>
      </c>
      <c r="F53" s="627" t="str">
        <f>IF(OR(E53&gt;=0.2,E53&lt;=-0.2),"超过20%","")</f>
        <v/>
      </c>
      <c r="G53" s="626">
        <f>IF(G48&lt;I48,I48/G48-1,G48/I48-1)</f>
        <v>0.18000000000000016</v>
      </c>
      <c r="H53" s="627" t="str">
        <f>IF(OR(G53&gt;=0.2,G53&lt;=-0.2),"超过20%","")</f>
        <v/>
      </c>
      <c r="I53" s="626">
        <f>IF(I48&lt;E48,E48/I48-1,I48/E48-1)</f>
        <v>4.4247787610619538E-2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0.10000000000000009</v>
      </c>
      <c r="F54" s="627" t="str">
        <f>IF(OR(E54&gt;=0.3,E54&lt;=-0.3),"超过30%","")</f>
        <v/>
      </c>
      <c r="G54" s="626">
        <f>IF(G47&lt;I47,I47/G47-1,G47/I47-1)</f>
        <v>0.19999999999999996</v>
      </c>
      <c r="H54" s="627" t="str">
        <f>IF(OR(G54&gt;=0.3,G54&lt;=-0.3),"超过30%","")</f>
        <v/>
      </c>
      <c r="I54" s="626">
        <f>IF(I47&lt;E47,E47/I47-1,I47/E47-1)</f>
        <v>9.0909090909090828E-2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1" t="str">
        <f>YEAR(C7)&amp;"-"&amp;MONTH(C7)</f>
        <v>2018-10</v>
      </c>
      <c r="D58" s="2783">
        <f>EDATE(C58,-1)</f>
        <v>43344</v>
      </c>
      <c r="E58" s="2783">
        <f t="shared" ref="E58:O58" si="16">EDATE(D58,-1)</f>
        <v>43313</v>
      </c>
      <c r="F58" s="2783">
        <f t="shared" si="16"/>
        <v>43282</v>
      </c>
      <c r="G58" s="2783">
        <f t="shared" si="16"/>
        <v>43252</v>
      </c>
      <c r="H58" s="2783">
        <f t="shared" si="16"/>
        <v>43221</v>
      </c>
      <c r="I58" s="2783">
        <f t="shared" si="16"/>
        <v>43191</v>
      </c>
      <c r="J58" s="2783">
        <f t="shared" si="16"/>
        <v>43160</v>
      </c>
      <c r="K58" s="2783">
        <f t="shared" si="16"/>
        <v>43132</v>
      </c>
      <c r="L58" s="2783">
        <f t="shared" si="16"/>
        <v>43101</v>
      </c>
      <c r="M58" s="2783">
        <f t="shared" si="16"/>
        <v>43070</v>
      </c>
      <c r="N58" s="2783">
        <f t="shared" si="16"/>
        <v>43040</v>
      </c>
      <c r="O58" s="2783">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100</v>
      </c>
      <c r="E59" s="650">
        <v>100</v>
      </c>
      <c r="F59" s="650">
        <v>100</v>
      </c>
      <c r="G59" s="650">
        <v>100</v>
      </c>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3204" t="s">
        <v>3029</v>
      </c>
      <c r="D86" s="3204" t="s">
        <v>3121</v>
      </c>
      <c r="E86" s="3204" t="s">
        <v>3122</v>
      </c>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3204" t="s">
        <v>3068</v>
      </c>
      <c r="D88" s="3204" t="s">
        <v>3069</v>
      </c>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v>101</v>
      </c>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27.75" thickTop="1">
      <c r="A94" s="669"/>
      <c r="B94" s="673" t="str">
        <f>B29</f>
        <v>临街道路</v>
      </c>
      <c r="C94" s="3209" t="s">
        <v>3151</v>
      </c>
      <c r="D94" s="3209" t="s">
        <v>3141</v>
      </c>
      <c r="E94" s="3209" t="s">
        <v>3142</v>
      </c>
      <c r="F94" s="3209" t="s">
        <v>3143</v>
      </c>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v>100</v>
      </c>
      <c r="D95" s="671">
        <v>98</v>
      </c>
      <c r="E95" s="671">
        <v>100</v>
      </c>
      <c r="F95" s="671">
        <v>100</v>
      </c>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772</v>
      </c>
      <c r="C100" s="3204" t="s">
        <v>3030</v>
      </c>
      <c r="D100" s="3205" t="s">
        <v>3145</v>
      </c>
      <c r="E100" s="3205" t="s">
        <v>3144</v>
      </c>
      <c r="F100" s="3205"/>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1(含)-800</v>
      </c>
      <c r="D102" s="708" t="str">
        <f t="shared" ref="D102:L102" si="22">D103&amp;"(含)"&amp;"-"&amp;E103</f>
        <v>800(含)-50000</v>
      </c>
      <c r="E102" s="708" t="str">
        <f t="shared" si="22"/>
        <v>50000(含)-100000</v>
      </c>
      <c r="F102" s="708" t="str">
        <f t="shared" si="22"/>
        <v>100000(含)-100000</v>
      </c>
      <c r="G102" s="708" t="str">
        <f t="shared" si="22"/>
        <v>100000(含)-250000</v>
      </c>
      <c r="H102" s="708" t="str">
        <f t="shared" si="22"/>
        <v>250000(含)-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1</v>
      </c>
      <c r="D103" s="730">
        <v>800</v>
      </c>
      <c r="E103" s="730">
        <v>50000</v>
      </c>
      <c r="F103" s="730">
        <v>100000</v>
      </c>
      <c r="G103" s="730">
        <v>100000</v>
      </c>
      <c r="H103" s="730">
        <v>250000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99</v>
      </c>
      <c r="E104" s="671">
        <v>98</v>
      </c>
      <c r="F104" s="671">
        <v>97</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3032</v>
      </c>
      <c r="D105" s="688"/>
      <c r="E105" s="2179"/>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204" t="s">
        <v>3034</v>
      </c>
      <c r="D107" s="3204" t="s">
        <v>3036</v>
      </c>
      <c r="E107" s="3204" t="s">
        <v>3037</v>
      </c>
      <c r="F107" s="3206" t="s">
        <v>3038</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204" t="s">
        <v>3039</v>
      </c>
      <c r="D112" s="3204" t="s">
        <v>3041</v>
      </c>
      <c r="E112" s="3204" t="s">
        <v>3042</v>
      </c>
      <c r="F112" s="3204" t="s">
        <v>3043</v>
      </c>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0</v>
      </c>
      <c r="E113" s="679">
        <f t="shared" ref="E113:M113" si="26">D113-$K37</f>
        <v>-100</v>
      </c>
      <c r="F113" s="679">
        <f t="shared" si="26"/>
        <v>-200</v>
      </c>
      <c r="G113" s="679">
        <f t="shared" si="26"/>
        <v>-300</v>
      </c>
      <c r="H113" s="679">
        <f t="shared" si="26"/>
        <v>-400</v>
      </c>
      <c r="I113" s="679">
        <f t="shared" si="26"/>
        <v>-500</v>
      </c>
      <c r="J113" s="679">
        <f t="shared" si="26"/>
        <v>-600</v>
      </c>
      <c r="K113" s="679">
        <f t="shared" si="26"/>
        <v>-700</v>
      </c>
      <c r="L113" s="679">
        <f t="shared" si="26"/>
        <v>-800</v>
      </c>
      <c r="M113" s="679">
        <f t="shared" si="26"/>
        <v>-900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3034</v>
      </c>
      <c r="D122" s="3204" t="s">
        <v>3036</v>
      </c>
      <c r="E122" s="3204" t="s">
        <v>3037</v>
      </c>
      <c r="F122" s="3206" t="s">
        <v>3038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880" t="s">
        <v>3139</v>
      </c>
      <c r="D126" s="3204" t="s">
        <v>3138</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v>100</v>
      </c>
      <c r="D127" s="671">
        <v>101</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F54 H52:H54 J52:J54">
    <cfRule type="containsText" dxfId="133" priority="17" stopIfTrue="1" operator="containsText" text="超过">
      <formula>NOT(ISERROR(SEARCH("超过",F52)))</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8"/>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182788</v>
      </c>
      <c r="D13" s="451"/>
      <c r="E13" s="365"/>
      <c r="F13" s="452"/>
      <c r="G13" s="444"/>
      <c r="H13" s="447"/>
      <c r="I13" s="447"/>
      <c r="J13" s="447"/>
      <c r="K13" s="448"/>
    </row>
    <row r="14" spans="1:41" s="2116" customFormat="1" ht="13.5" customHeight="1">
      <c r="A14" s="1633" t="s">
        <v>1850</v>
      </c>
      <c r="B14" s="449" t="s">
        <v>480</v>
      </c>
      <c r="C14" s="53">
        <f ca="1">ROUND(C13*F14,0)</f>
        <v>5484</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3" t="s">
        <v>1852</v>
      </c>
      <c r="B16" s="449" t="s">
        <v>484</v>
      </c>
      <c r="C16" s="53">
        <f ca="1">ROUND(D16*E16/10000,0)</f>
        <v>8010</v>
      </c>
      <c r="D16" s="451">
        <f ca="1">IF(B1="",'数据-汇总表'!E3,INDIRECT("'数据-取费表'!K"&amp;$K$1)+INDIRECT("'数据-取费表'!S"&amp;$K$1))</f>
        <v>400500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2742</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199024</v>
      </c>
      <c r="D18" s="461"/>
      <c r="E18" s="462"/>
      <c r="F18" s="462"/>
      <c r="G18" s="1326" t="s">
        <v>2433</v>
      </c>
      <c r="H18" s="447"/>
      <c r="I18" s="447"/>
      <c r="J18" s="447"/>
      <c r="K18" s="448"/>
    </row>
    <row r="19" spans="1:14" s="2119" customFormat="1" ht="13.5" customHeight="1">
      <c r="A19" s="1634" t="s">
        <v>1855</v>
      </c>
      <c r="B19" s="459" t="s">
        <v>493</v>
      </c>
      <c r="C19" s="460">
        <f ca="1">ROUND(C18*F19,0)</f>
        <v>5971</v>
      </c>
      <c r="D19" s="462"/>
      <c r="E19" s="462"/>
      <c r="F19" s="466">
        <f>'数据-取费表'!B37</f>
        <v>0.03</v>
      </c>
      <c r="G19" s="444" t="s">
        <v>503</v>
      </c>
      <c r="H19" s="447"/>
      <c r="I19" s="447"/>
      <c r="J19" s="447"/>
      <c r="K19" s="448"/>
      <c r="L19" s="2121"/>
      <c r="M19" s="2121"/>
      <c r="N19" s="2121"/>
    </row>
    <row r="20" spans="1:14" s="2119" customFormat="1" ht="13.5" customHeight="1">
      <c r="A20" s="1634" t="s">
        <v>1856</v>
      </c>
      <c r="B20" s="459" t="s">
        <v>504</v>
      </c>
      <c r="C20" s="3006">
        <f>F20</f>
        <v>0.03</v>
      </c>
      <c r="D20" s="469" t="s">
        <v>505</v>
      </c>
      <c r="E20" s="469"/>
      <c r="F20" s="486">
        <f>'数据-取费表'!B38</f>
        <v>0.03</v>
      </c>
      <c r="G20" s="1326" t="s">
        <v>506</v>
      </c>
      <c r="H20" s="447"/>
      <c r="I20" s="447"/>
      <c r="J20" s="447"/>
      <c r="K20" s="448"/>
      <c r="L20" s="2121"/>
      <c r="M20" s="2121"/>
      <c r="N20" s="2121"/>
    </row>
    <row r="21" spans="1:14" s="2121" customFormat="1" ht="13.5" customHeight="1">
      <c r="A21" s="1634" t="s">
        <v>1859</v>
      </c>
      <c r="B21" s="461" t="s">
        <v>494</v>
      </c>
      <c r="C21" s="470">
        <f ca="1">C22</f>
        <v>9737</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9737</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8" t="s">
        <v>2831</v>
      </c>
      <c r="C24" s="478">
        <f ca="1">C25</f>
        <v>40999</v>
      </c>
      <c r="D24" s="489">
        <f ca="1">C26</f>
        <v>6.0000000000000001E-3</v>
      </c>
      <c r="E24" s="469" t="s">
        <v>507</v>
      </c>
      <c r="F24" s="479">
        <f ca="1">IF(B1="",'数据-取费表'!Q16,INDIRECT("'数据-取费表'!q"&amp;$K$1))</f>
        <v>0.2</v>
      </c>
      <c r="G24" s="444"/>
      <c r="H24" s="447"/>
      <c r="I24" s="447"/>
      <c r="J24" s="447"/>
      <c r="K24" s="448"/>
    </row>
    <row r="25" spans="1:14" s="2120" customFormat="1" ht="13.5" customHeight="1">
      <c r="A25" s="1633" t="s">
        <v>1849</v>
      </c>
      <c r="B25" s="1327" t="s">
        <v>2437</v>
      </c>
      <c r="C25" s="490">
        <f ca="1">ROUND((C18+C19)*F24,0)</f>
        <v>40999</v>
      </c>
      <c r="D25" s="472"/>
      <c r="E25" s="473"/>
      <c r="F25" s="480"/>
      <c r="G25" s="1325" t="s">
        <v>2434</v>
      </c>
      <c r="H25" s="457"/>
      <c r="I25" s="457"/>
      <c r="J25" s="457"/>
      <c r="K25" s="458"/>
    </row>
    <row r="26" spans="1:14" s="2120" customFormat="1" ht="13.5" customHeight="1">
      <c r="A26" s="1633" t="s">
        <v>1850</v>
      </c>
      <c r="B26" s="1327" t="s">
        <v>509</v>
      </c>
      <c r="C26" s="491">
        <f ca="1">ROUND(F20*F24,4)</f>
        <v>6.0000000000000001E-3</v>
      </c>
      <c r="D26" s="472"/>
      <c r="E26" s="481"/>
      <c r="F26" s="480"/>
      <c r="G26" s="1325" t="s">
        <v>510</v>
      </c>
      <c r="H26" s="457"/>
      <c r="I26" s="457"/>
      <c r="J26" s="457"/>
      <c r="K26" s="458"/>
    </row>
    <row r="27" spans="1:14" s="2120" customFormat="1" ht="13.5" customHeight="1">
      <c r="A27" s="1637" t="s">
        <v>1868</v>
      </c>
      <c r="B27" s="459" t="s">
        <v>511</v>
      </c>
      <c r="C27" s="3007">
        <f>ROUND(F27/(1+'数据-取费表'!C42),4)</f>
        <v>5.33E-2</v>
      </c>
      <c r="D27" s="462" t="s">
        <v>2829</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281239</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t="e">
        <f>ROUND(B2*10000/'数据-汇总表'!E3,0)</f>
        <v>#DIV/0!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t="e">
        <f>IF(B48="单位面积地价",C50,ROUND(B2*10000/'数据-汇总表'!D3,0))</f>
        <v>#DIV/0!</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86" t="s">
        <v>522</v>
      </c>
      <c r="D6" s="3487"/>
      <c r="E6" s="3486" t="s">
        <v>523</v>
      </c>
      <c r="F6" s="3487"/>
      <c r="G6" s="3486" t="s">
        <v>524</v>
      </c>
      <c r="H6" s="3487"/>
      <c r="I6" s="3486" t="s">
        <v>525</v>
      </c>
      <c r="J6" s="3487"/>
      <c r="K6" s="514" t="s">
        <v>526</v>
      </c>
      <c r="L6" s="2133"/>
      <c r="M6" s="2132"/>
      <c r="N6" s="2132"/>
      <c r="O6" s="2134"/>
      <c r="P6" s="3490" t="s">
        <v>527</v>
      </c>
      <c r="Q6" s="3491"/>
      <c r="R6" s="3496" t="s">
        <v>523</v>
      </c>
      <c r="S6" s="3497"/>
      <c r="T6" s="3496" t="s">
        <v>524</v>
      </c>
      <c r="U6" s="3497"/>
      <c r="V6" s="3502" t="s">
        <v>525</v>
      </c>
      <c r="W6" s="3502"/>
      <c r="X6" s="1567"/>
      <c r="Y6" s="3496" t="s">
        <v>527</v>
      </c>
      <c r="Z6" s="3497"/>
      <c r="AA6" s="3483" t="s">
        <v>523</v>
      </c>
      <c r="AB6" s="3484" t="s">
        <v>524</v>
      </c>
      <c r="AC6" s="3483" t="s">
        <v>525</v>
      </c>
    </row>
    <row r="7" spans="1:30" ht="20.25">
      <c r="A7" s="515"/>
      <c r="B7" s="516"/>
      <c r="C7" s="3510" t="s">
        <v>2926</v>
      </c>
      <c r="D7" s="3506"/>
      <c r="E7" s="3510" t="s">
        <v>2927</v>
      </c>
      <c r="F7" s="3506"/>
      <c r="G7" s="3510" t="s">
        <v>2928</v>
      </c>
      <c r="H7" s="3506"/>
      <c r="I7" s="3510" t="s">
        <v>2929</v>
      </c>
      <c r="J7" s="3506"/>
      <c r="K7" s="514"/>
      <c r="L7" s="2133"/>
      <c r="M7" s="2132"/>
      <c r="N7" s="2132"/>
      <c r="O7" s="2134"/>
      <c r="P7" s="3492"/>
      <c r="Q7" s="3493"/>
      <c r="R7" s="3498"/>
      <c r="S7" s="3499"/>
      <c r="T7" s="3498"/>
      <c r="U7" s="3499"/>
      <c r="V7" s="3502"/>
      <c r="W7" s="3502"/>
      <c r="X7" s="1567"/>
      <c r="Y7" s="3498"/>
      <c r="Z7" s="3499"/>
      <c r="AA7" s="3484"/>
      <c r="AB7" s="3484"/>
      <c r="AC7" s="3484"/>
    </row>
    <row r="8" spans="1:30" ht="21" thickBot="1">
      <c r="A8" s="515"/>
      <c r="B8" s="516"/>
      <c r="C8" s="3517" t="s">
        <v>2930</v>
      </c>
      <c r="D8" s="3518"/>
      <c r="E8" s="3517" t="s">
        <v>2930</v>
      </c>
      <c r="F8" s="3518"/>
      <c r="G8" s="3503" t="s">
        <v>2930</v>
      </c>
      <c r="H8" s="3504"/>
      <c r="I8" s="3503" t="s">
        <v>2930</v>
      </c>
      <c r="J8" s="3504"/>
      <c r="K8" s="514" t="s">
        <v>528</v>
      </c>
      <c r="L8" s="2133"/>
      <c r="M8" s="2132"/>
      <c r="N8" s="2132"/>
      <c r="O8" s="2134"/>
      <c r="P8" s="3494"/>
      <c r="Q8" s="3495"/>
      <c r="R8" s="3498"/>
      <c r="S8" s="3499"/>
      <c r="T8" s="3500"/>
      <c r="U8" s="3501"/>
      <c r="V8" s="3502"/>
      <c r="W8" s="3502"/>
      <c r="X8" s="1567"/>
      <c r="Y8" s="3500"/>
      <c r="Z8" s="3501"/>
      <c r="AA8" s="3485"/>
      <c r="AB8" s="3485"/>
      <c r="AC8" s="3485"/>
    </row>
    <row r="9" spans="1:30" s="1219" customFormat="1" ht="21" thickBot="1">
      <c r="A9" s="2891"/>
      <c r="B9" s="2898" t="s">
        <v>529</v>
      </c>
      <c r="C9" s="2890">
        <f>'数据-取费表'!B2</f>
        <v>43388</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507" t="s">
        <v>530</v>
      </c>
      <c r="Q9" s="3509"/>
      <c r="R9" s="1568" t="s">
        <v>8</v>
      </c>
      <c r="S9" s="1569">
        <f t="shared" ref="S9:S17" si="0">F9</f>
        <v>0</v>
      </c>
      <c r="T9" s="1568" t="s">
        <v>8</v>
      </c>
      <c r="U9" s="1569">
        <f t="shared" ref="U9:U17" si="1">H9</f>
        <v>0</v>
      </c>
      <c r="V9" s="1568" t="s">
        <v>8</v>
      </c>
      <c r="W9" s="1569">
        <f t="shared" ref="W9:W17" si="2">J9</f>
        <v>0</v>
      </c>
      <c r="X9" s="1570"/>
      <c r="Y9" s="3507" t="s">
        <v>530</v>
      </c>
      <c r="Z9" s="3508"/>
      <c r="AA9" s="1571" t="e">
        <f>D9/F9</f>
        <v>#DIV/0!</v>
      </c>
      <c r="AB9" s="1571" t="e">
        <f>D9/H9</f>
        <v>#DIV/0!</v>
      </c>
      <c r="AC9" s="1571" t="e">
        <f>D9/J9</f>
        <v>#DIV/0!</v>
      </c>
    </row>
    <row r="10" spans="1:30" s="1219"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507" t="s">
        <v>533</v>
      </c>
      <c r="Q10" s="3508"/>
      <c r="R10" s="1568" t="s">
        <v>8</v>
      </c>
      <c r="S10" s="1569">
        <f t="shared" si="0"/>
        <v>0</v>
      </c>
      <c r="T10" s="1568" t="s">
        <v>8</v>
      </c>
      <c r="U10" s="1569">
        <f t="shared" si="1"/>
        <v>0</v>
      </c>
      <c r="V10" s="1568" t="s">
        <v>8</v>
      </c>
      <c r="W10" s="1569">
        <f t="shared" si="2"/>
        <v>0</v>
      </c>
      <c r="X10" s="1570"/>
      <c r="Y10" s="3507" t="s">
        <v>533</v>
      </c>
      <c r="Z10" s="3508"/>
      <c r="AA10" s="1571" t="e">
        <f t="shared" ref="AA10:AA47" si="3">D10/F10</f>
        <v>#DIV/0!</v>
      </c>
      <c r="AB10" s="1571" t="e">
        <f t="shared" ref="AB10:AB47" si="4">D10/H10</f>
        <v>#DIV/0!</v>
      </c>
      <c r="AC10" s="1571" t="e">
        <f t="shared" ref="AC10:AC47" si="5">D10/J10</f>
        <v>#DIV/0!</v>
      </c>
    </row>
    <row r="11" spans="1:30" s="1219"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473" t="s">
        <v>535</v>
      </c>
      <c r="Q11" s="1151" t="str">
        <f t="shared" ref="Q11:Q17" si="6">B11</f>
        <v>用途</v>
      </c>
      <c r="R11" s="1568" t="s">
        <v>8</v>
      </c>
      <c r="S11" s="1569">
        <f t="shared" si="0"/>
        <v>100</v>
      </c>
      <c r="T11" s="1568" t="s">
        <v>8</v>
      </c>
      <c r="U11" s="1569">
        <f t="shared" si="1"/>
        <v>100</v>
      </c>
      <c r="V11" s="1568" t="s">
        <v>8</v>
      </c>
      <c r="W11" s="1569">
        <f t="shared" si="2"/>
        <v>100</v>
      </c>
      <c r="X11" s="1570"/>
      <c r="Y11" s="3434" t="s">
        <v>536</v>
      </c>
      <c r="Z11" s="1150" t="str">
        <f t="shared" ref="Z11:Z17" si="7">Q11</f>
        <v>用途</v>
      </c>
      <c r="AA11" s="1571">
        <f t="shared" si="3"/>
        <v>1</v>
      </c>
      <c r="AB11" s="1571">
        <f t="shared" si="4"/>
        <v>1</v>
      </c>
      <c r="AC11" s="1571">
        <f t="shared" si="5"/>
        <v>1</v>
      </c>
    </row>
    <row r="12" spans="1:30" s="1337"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473"/>
      <c r="Q12" s="1151" t="str">
        <f t="shared" si="6"/>
        <v>土地使用年限（年）</v>
      </c>
      <c r="R12" s="1568" t="s">
        <v>8</v>
      </c>
      <c r="S12" s="1569">
        <f t="shared" si="0"/>
        <v>100</v>
      </c>
      <c r="T12" s="1568" t="s">
        <v>8</v>
      </c>
      <c r="U12" s="1569">
        <f t="shared" si="1"/>
        <v>100</v>
      </c>
      <c r="V12" s="1568" t="s">
        <v>8</v>
      </c>
      <c r="W12" s="1569">
        <f t="shared" si="2"/>
        <v>100</v>
      </c>
      <c r="X12" s="1570"/>
      <c r="Y12" s="3434"/>
      <c r="Z12" s="1150" t="str">
        <f t="shared" si="7"/>
        <v>土地使用年限（年）</v>
      </c>
      <c r="AA12" s="1571">
        <f t="shared" si="3"/>
        <v>1</v>
      </c>
      <c r="AB12" s="1571">
        <f t="shared" si="4"/>
        <v>1</v>
      </c>
      <c r="AC12" s="1571">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473"/>
      <c r="Q13" s="1151" t="str">
        <f t="shared" si="6"/>
        <v>容积率</v>
      </c>
      <c r="R13" s="1568" t="s">
        <v>8</v>
      </c>
      <c r="S13" s="1569" t="e">
        <f t="shared" si="0"/>
        <v>#N/A</v>
      </c>
      <c r="T13" s="1568" t="s">
        <v>8</v>
      </c>
      <c r="U13" s="1569" t="e">
        <f t="shared" si="1"/>
        <v>#N/A</v>
      </c>
      <c r="V13" s="1568" t="s">
        <v>8</v>
      </c>
      <c r="W13" s="1569" t="e">
        <f t="shared" si="2"/>
        <v>#N/A</v>
      </c>
      <c r="X13" s="1570"/>
      <c r="Y13" s="3434"/>
      <c r="Z13" s="1150" t="str">
        <f t="shared" si="7"/>
        <v>容积率</v>
      </c>
      <c r="AA13" s="1571" t="e">
        <f t="shared" si="3"/>
        <v>#N/A</v>
      </c>
      <c r="AB13" s="1571" t="e">
        <f t="shared" si="4"/>
        <v>#N/A</v>
      </c>
      <c r="AC13" s="1571" t="e">
        <f t="shared" si="5"/>
        <v>#N/A</v>
      </c>
    </row>
    <row r="14" spans="1:30" s="1219" customFormat="1" ht="20.25">
      <c r="A14" s="2892"/>
      <c r="B14" s="2901" t="s">
        <v>2760</v>
      </c>
      <c r="C14" s="288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73"/>
      <c r="Q14" s="1151" t="str">
        <f t="shared" si="6"/>
        <v>配建</v>
      </c>
      <c r="R14" s="1568" t="s">
        <v>8</v>
      </c>
      <c r="S14" s="1569">
        <f t="shared" si="0"/>
        <v>100</v>
      </c>
      <c r="T14" s="1568" t="s">
        <v>8</v>
      </c>
      <c r="U14" s="1569">
        <f t="shared" si="1"/>
        <v>100</v>
      </c>
      <c r="V14" s="1568" t="s">
        <v>8</v>
      </c>
      <c r="W14" s="1569">
        <f t="shared" si="2"/>
        <v>100</v>
      </c>
      <c r="X14" s="1570"/>
      <c r="Y14" s="3434"/>
      <c r="Z14" s="1150" t="str">
        <f t="shared" si="7"/>
        <v>配建</v>
      </c>
      <c r="AA14" s="1571">
        <f>D14/F14</f>
        <v>1</v>
      </c>
      <c r="AB14" s="1571">
        <f>D14/H14</f>
        <v>1</v>
      </c>
      <c r="AC14" s="1571">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73"/>
      <c r="Q15" s="1151">
        <f t="shared" si="6"/>
        <v>111</v>
      </c>
      <c r="R15" s="1568" t="s">
        <v>8</v>
      </c>
      <c r="S15" s="1569">
        <f t="shared" si="0"/>
        <v>100</v>
      </c>
      <c r="T15" s="1568" t="s">
        <v>8</v>
      </c>
      <c r="U15" s="1569">
        <f t="shared" si="1"/>
        <v>100</v>
      </c>
      <c r="V15" s="1568" t="s">
        <v>8</v>
      </c>
      <c r="W15" s="1569">
        <f t="shared" si="2"/>
        <v>100</v>
      </c>
      <c r="X15" s="1570"/>
      <c r="Y15" s="3434"/>
      <c r="Z15" s="1150">
        <f t="shared" si="7"/>
        <v>111</v>
      </c>
      <c r="AA15" s="1571">
        <f>D15/F15</f>
        <v>1</v>
      </c>
      <c r="AB15" s="1571">
        <f>D15/H15</f>
        <v>1</v>
      </c>
      <c r="AC15" s="1571">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73"/>
      <c r="Q16" s="1151">
        <f t="shared" si="6"/>
        <v>111</v>
      </c>
      <c r="R16" s="1568" t="s">
        <v>8</v>
      </c>
      <c r="S16" s="1569">
        <f t="shared" si="0"/>
        <v>100</v>
      </c>
      <c r="T16" s="1568" t="s">
        <v>8</v>
      </c>
      <c r="U16" s="1569">
        <f t="shared" si="1"/>
        <v>100</v>
      </c>
      <c r="V16" s="1568" t="s">
        <v>8</v>
      </c>
      <c r="W16" s="1569">
        <f t="shared" si="2"/>
        <v>100</v>
      </c>
      <c r="X16" s="1570"/>
      <c r="Y16" s="3434"/>
      <c r="Z16" s="1150">
        <f t="shared" si="7"/>
        <v>111</v>
      </c>
      <c r="AA16" s="1571">
        <f>D16/F16</f>
        <v>1</v>
      </c>
      <c r="AB16" s="1571">
        <f>D16/H16</f>
        <v>1</v>
      </c>
      <c r="AC16" s="1571">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78" t="s">
        <v>540</v>
      </c>
      <c r="Q17" s="1572" t="str">
        <f t="shared" si="6"/>
        <v>居住社区成熟度</v>
      </c>
      <c r="R17" s="1573" t="s">
        <v>8</v>
      </c>
      <c r="S17" s="1574">
        <f t="shared" si="0"/>
        <v>100</v>
      </c>
      <c r="T17" s="1573" t="s">
        <v>8</v>
      </c>
      <c r="U17" s="1574">
        <f t="shared" si="1"/>
        <v>100</v>
      </c>
      <c r="V17" s="1573" t="s">
        <v>8</v>
      </c>
      <c r="W17" s="1574">
        <f t="shared" si="2"/>
        <v>100</v>
      </c>
      <c r="X17" s="1567"/>
      <c r="Y17" s="3478"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479"/>
      <c r="Q18" s="1572"/>
      <c r="R18" s="1573"/>
      <c r="S18" s="1574"/>
      <c r="T18" s="1573"/>
      <c r="U18" s="1574"/>
      <c r="V18" s="1573"/>
      <c r="W18" s="1574"/>
      <c r="X18" s="1567"/>
      <c r="Y18" s="3479"/>
      <c r="Z18" s="1575"/>
      <c r="AA18" s="1576">
        <v>1</v>
      </c>
      <c r="AB18" s="1576">
        <v>1</v>
      </c>
      <c r="AC18" s="1576">
        <v>1</v>
      </c>
    </row>
    <row r="19" spans="1:29" ht="85.5">
      <c r="A19" s="532"/>
      <c r="B19" s="560" t="s">
        <v>541</v>
      </c>
      <c r="C19" s="561" t="str">
        <f>估价对象房地状况!C16</f>
        <v>估价对象位于酒仙桥商圈，周边商业氛围较成熟，人流量较大，商业繁华度较好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79"/>
      <c r="Q19" s="1572" t="str">
        <f>B19</f>
        <v>商业繁华度</v>
      </c>
      <c r="R19" s="1573" t="s">
        <v>8</v>
      </c>
      <c r="S19" s="1574">
        <f>F19</f>
        <v>100</v>
      </c>
      <c r="T19" s="1573" t="s">
        <v>8</v>
      </c>
      <c r="U19" s="1574">
        <f>H19</f>
        <v>100</v>
      </c>
      <c r="V19" s="1573" t="s">
        <v>8</v>
      </c>
      <c r="W19" s="1574">
        <f>J19</f>
        <v>100</v>
      </c>
      <c r="X19" s="1567"/>
      <c r="Y19" s="347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479"/>
      <c r="Q20" s="1572"/>
      <c r="R20" s="1573"/>
      <c r="S20" s="1574"/>
      <c r="T20" s="1573"/>
      <c r="U20" s="1574"/>
      <c r="V20" s="1573"/>
      <c r="W20" s="1574"/>
      <c r="X20" s="1567"/>
      <c r="Y20" s="3479"/>
      <c r="Z20" s="1575"/>
      <c r="AA20" s="1576">
        <v>1</v>
      </c>
      <c r="AB20" s="1576">
        <v>1</v>
      </c>
      <c r="AC20" s="1576">
        <v>1</v>
      </c>
    </row>
    <row r="21" spans="1:29" ht="85.5">
      <c r="A21" s="532"/>
      <c r="B21" s="560" t="s">
        <v>542</v>
      </c>
      <c r="C21" s="561" t="str">
        <f>估价对象房地状况!C17</f>
        <v>估价对象位于酒仙桥商圈，周边办公楼项目较多，入驻率高，办公集聚程度较好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79"/>
      <c r="Q21" s="1572" t="str">
        <f>B21</f>
        <v>办公集聚程度</v>
      </c>
      <c r="R21" s="1573" t="s">
        <v>8</v>
      </c>
      <c r="S21" s="1574">
        <f>F21</f>
        <v>100</v>
      </c>
      <c r="T21" s="1573" t="s">
        <v>8</v>
      </c>
      <c r="U21" s="1574">
        <f>H21</f>
        <v>100</v>
      </c>
      <c r="V21" s="1573" t="s">
        <v>8</v>
      </c>
      <c r="W21" s="1574">
        <f>J21</f>
        <v>100</v>
      </c>
      <c r="X21" s="1567"/>
      <c r="Y21" s="347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479"/>
      <c r="Q22" s="1572"/>
      <c r="R22" s="1573"/>
      <c r="S22" s="1574"/>
      <c r="T22" s="1573"/>
      <c r="U22" s="1574"/>
      <c r="V22" s="1573"/>
      <c r="W22" s="1574"/>
      <c r="X22" s="1567"/>
      <c r="Y22" s="3479"/>
      <c r="Z22" s="1575"/>
      <c r="AA22" s="1576">
        <v>1</v>
      </c>
      <c r="AB22" s="1576">
        <v>1</v>
      </c>
      <c r="AC22" s="1576">
        <v>1</v>
      </c>
    </row>
    <row r="23" spans="1:29" ht="156.75">
      <c r="A23" s="532"/>
      <c r="B23" s="560" t="s">
        <v>543</v>
      </c>
      <c r="C23" s="573" t="str">
        <f>估价对象房地状况!C18</f>
        <v>估价对象周边有445路、516路、659路、983路等多条公交线路经过，距14号线地铁（将台站）约300米，道路状况较好、公共交通通达情况较好、综合评价交通便捷度较好。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79"/>
      <c r="Q23" s="1572" t="str">
        <f>B23</f>
        <v>交通便捷度</v>
      </c>
      <c r="R23" s="1573" t="s">
        <v>8</v>
      </c>
      <c r="S23" s="1574">
        <f>F23</f>
        <v>100</v>
      </c>
      <c r="T23" s="1573" t="s">
        <v>8</v>
      </c>
      <c r="U23" s="1574">
        <f>H23</f>
        <v>100</v>
      </c>
      <c r="V23" s="1573" t="s">
        <v>8</v>
      </c>
      <c r="W23" s="1574">
        <f>J23</f>
        <v>100</v>
      </c>
      <c r="X23" s="1567"/>
      <c r="Y23" s="3479"/>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479"/>
      <c r="Q24" s="1572"/>
      <c r="R24" s="1573"/>
      <c r="S24" s="1574"/>
      <c r="T24" s="1573"/>
      <c r="U24" s="1574"/>
      <c r="V24" s="1573"/>
      <c r="W24" s="1574"/>
      <c r="X24" s="1567"/>
      <c r="Y24" s="347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79"/>
      <c r="Q25" s="1572" t="str">
        <f t="shared" ref="Q25:Q39" si="8">B25</f>
        <v>区域土地利用方向</v>
      </c>
      <c r="R25" s="1573" t="s">
        <v>8</v>
      </c>
      <c r="S25" s="1574">
        <f>F25</f>
        <v>100</v>
      </c>
      <c r="T25" s="1573" t="s">
        <v>8</v>
      </c>
      <c r="U25" s="1574">
        <f>H25</f>
        <v>100</v>
      </c>
      <c r="V25" s="1573" t="s">
        <v>8</v>
      </c>
      <c r="W25" s="1574">
        <f>J25</f>
        <v>100</v>
      </c>
      <c r="X25" s="1567"/>
      <c r="Y25" s="3479"/>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479"/>
      <c r="Q26" s="1572"/>
      <c r="R26" s="1573"/>
      <c r="S26" s="1574"/>
      <c r="T26" s="1573"/>
      <c r="U26" s="1574"/>
      <c r="V26" s="1573"/>
      <c r="W26" s="1574"/>
      <c r="X26" s="1567"/>
      <c r="Y26" s="3479"/>
      <c r="Z26" s="1575"/>
      <c r="AA26" s="1576"/>
      <c r="AB26" s="1576"/>
      <c r="AC26" s="1576"/>
    </row>
    <row r="27" spans="1:29" ht="57">
      <c r="A27" s="515"/>
      <c r="B27" s="578" t="s">
        <v>545</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79"/>
      <c r="Q27" s="1572" t="str">
        <f t="shared" si="8"/>
        <v>自然及人文环境状况</v>
      </c>
      <c r="R27" s="1573" t="s">
        <v>8</v>
      </c>
      <c r="S27" s="1574">
        <f>F27</f>
        <v>100</v>
      </c>
      <c r="T27" s="1573" t="s">
        <v>8</v>
      </c>
      <c r="U27" s="1574">
        <f>H27</f>
        <v>100</v>
      </c>
      <c r="V27" s="1573" t="s">
        <v>8</v>
      </c>
      <c r="W27" s="1574">
        <f>J27</f>
        <v>100</v>
      </c>
      <c r="X27" s="1567"/>
      <c r="Y27" s="3479"/>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479"/>
      <c r="Q28" s="1572"/>
      <c r="R28" s="1573"/>
      <c r="S28" s="1574"/>
      <c r="T28" s="1573"/>
      <c r="U28" s="1574"/>
      <c r="V28" s="1573"/>
      <c r="W28" s="1574"/>
      <c r="X28" s="1567"/>
      <c r="Y28" s="3479"/>
      <c r="Z28" s="1575"/>
      <c r="AA28" s="1576">
        <v>1</v>
      </c>
      <c r="AB28" s="1576">
        <v>1</v>
      </c>
      <c r="AC28" s="1576">
        <v>1</v>
      </c>
    </row>
    <row r="29" spans="1:29" s="1219" customFormat="1" ht="42.75">
      <c r="A29" s="577"/>
      <c r="B29" s="2570" t="s">
        <v>2549</v>
      </c>
      <c r="C29" s="573" t="str">
        <f>估价对象房地状况!C21</f>
        <v>估价对象所在区域公共配套设施齐备度较好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79"/>
      <c r="Q29" s="1151" t="str">
        <f t="shared" si="8"/>
        <v>公共配套设施</v>
      </c>
      <c r="R29" s="1568" t="s">
        <v>8</v>
      </c>
      <c r="S29" s="1569">
        <f>F29</f>
        <v>100</v>
      </c>
      <c r="T29" s="1568" t="s">
        <v>8</v>
      </c>
      <c r="U29" s="1569">
        <f>H29</f>
        <v>100</v>
      </c>
      <c r="V29" s="1568" t="s">
        <v>8</v>
      </c>
      <c r="W29" s="1569">
        <f>J29</f>
        <v>100</v>
      </c>
      <c r="X29" s="1570"/>
      <c r="Y29" s="3479"/>
      <c r="Z29" s="1150" t="str">
        <f>Q29</f>
        <v>公共配套设施</v>
      </c>
      <c r="AA29" s="1576">
        <f>D29/F29</f>
        <v>1</v>
      </c>
      <c r="AB29" s="1576">
        <f>D29/H29</f>
        <v>1</v>
      </c>
      <c r="AC29" s="1576">
        <f>D29/J29</f>
        <v>1</v>
      </c>
    </row>
    <row r="30" spans="1:29" s="1219" customFormat="1" ht="20.25">
      <c r="A30" s="577"/>
      <c r="B30" s="566"/>
      <c r="C30" s="579"/>
      <c r="D30" s="557"/>
      <c r="E30" s="576"/>
      <c r="F30" s="555"/>
      <c r="G30" s="554"/>
      <c r="H30" s="555"/>
      <c r="I30" s="576"/>
      <c r="J30" s="555"/>
      <c r="K30" s="531"/>
      <c r="L30" s="2135"/>
      <c r="M30" s="2132"/>
      <c r="N30" s="2132"/>
      <c r="O30" s="2137"/>
      <c r="P30" s="3479"/>
      <c r="Q30" s="1151"/>
      <c r="R30" s="1568"/>
      <c r="S30" s="1569"/>
      <c r="T30" s="1568"/>
      <c r="U30" s="1569"/>
      <c r="V30" s="1568"/>
      <c r="W30" s="1569"/>
      <c r="X30" s="1570"/>
      <c r="Y30" s="3479"/>
      <c r="Z30" s="1150"/>
      <c r="AA30" s="1576">
        <v>1</v>
      </c>
      <c r="AB30" s="1576">
        <v>1</v>
      </c>
      <c r="AC30" s="1576">
        <v>1</v>
      </c>
    </row>
    <row r="31" spans="1:29" s="1219" customFormat="1" ht="42.75">
      <c r="A31" s="577"/>
      <c r="B31" s="2570" t="s">
        <v>2550</v>
      </c>
      <c r="C31" s="573" t="str">
        <f>估价对象房地状况!C22</f>
        <v>估价对象所在区域基础设施水平达到三通一平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79"/>
      <c r="Q31" s="2557" t="str">
        <f t="shared" ref="Q31" si="9">B31</f>
        <v>基础设施水平</v>
      </c>
      <c r="R31" s="1568" t="s">
        <v>8</v>
      </c>
      <c r="S31" s="1569">
        <f>F31</f>
        <v>100</v>
      </c>
      <c r="T31" s="1568" t="s">
        <v>8</v>
      </c>
      <c r="U31" s="1569">
        <f>H31</f>
        <v>100</v>
      </c>
      <c r="V31" s="1568" t="s">
        <v>8</v>
      </c>
      <c r="W31" s="1569">
        <f>J31</f>
        <v>100</v>
      </c>
      <c r="X31" s="1570"/>
      <c r="Y31" s="3479"/>
      <c r="Z31" s="2554" t="str">
        <f>Q31</f>
        <v>基础设施水平</v>
      </c>
      <c r="AA31" s="1576">
        <f>D31/F31</f>
        <v>1</v>
      </c>
      <c r="AB31" s="1576">
        <f>D31/H31</f>
        <v>1</v>
      </c>
      <c r="AC31" s="1576">
        <f>D31/J31</f>
        <v>1</v>
      </c>
    </row>
    <row r="32" spans="1:29" s="1219" customFormat="1" ht="20.25">
      <c r="A32" s="577"/>
      <c r="B32" s="566"/>
      <c r="C32" s="579"/>
      <c r="D32" s="557"/>
      <c r="E32" s="2571"/>
      <c r="F32" s="555"/>
      <c r="G32" s="579"/>
      <c r="H32" s="555"/>
      <c r="I32" s="579"/>
      <c r="J32" s="555"/>
      <c r="K32" s="531"/>
      <c r="L32" s="2135"/>
      <c r="M32" s="2132"/>
      <c r="N32" s="2132"/>
      <c r="O32" s="2137"/>
      <c r="P32" s="3479"/>
      <c r="Q32" s="2557"/>
      <c r="R32" s="1568"/>
      <c r="S32" s="1569"/>
      <c r="T32" s="1568"/>
      <c r="U32" s="1569"/>
      <c r="V32" s="1568"/>
      <c r="W32" s="1569"/>
      <c r="X32" s="1570"/>
      <c r="Y32" s="3479"/>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7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79"/>
      <c r="Q34" s="1572" t="str">
        <f t="shared" si="8"/>
        <v>毗邻道路的类型与等级</v>
      </c>
      <c r="R34" s="1573" t="s">
        <v>8</v>
      </c>
      <c r="S34" s="1574">
        <f t="shared" si="10"/>
        <v>100</v>
      </c>
      <c r="T34" s="1573" t="s">
        <v>8</v>
      </c>
      <c r="U34" s="1574">
        <f t="shared" si="11"/>
        <v>100</v>
      </c>
      <c r="V34" s="1573" t="s">
        <v>8</v>
      </c>
      <c r="W34" s="1574">
        <f t="shared" si="12"/>
        <v>100</v>
      </c>
      <c r="X34" s="1567"/>
      <c r="Y34" s="347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79"/>
      <c r="Q35" s="1572"/>
      <c r="R35" s="1573"/>
      <c r="S35" s="1574"/>
      <c r="T35" s="1573"/>
      <c r="U35" s="1574"/>
      <c r="V35" s="1573"/>
      <c r="W35" s="1574"/>
      <c r="X35" s="1567"/>
      <c r="Y35" s="347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79"/>
      <c r="Q36" s="1572" t="str">
        <f t="shared" si="8"/>
        <v>土地级别</v>
      </c>
      <c r="R36" s="1573" t="s">
        <v>8</v>
      </c>
      <c r="S36" s="1574">
        <f t="shared" si="10"/>
        <v>100</v>
      </c>
      <c r="T36" s="1573" t="s">
        <v>8</v>
      </c>
      <c r="U36" s="1574">
        <f t="shared" si="11"/>
        <v>100</v>
      </c>
      <c r="V36" s="1573" t="s">
        <v>8</v>
      </c>
      <c r="W36" s="1574">
        <f t="shared" si="12"/>
        <v>100</v>
      </c>
      <c r="X36" s="1567"/>
      <c r="Y36" s="347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79"/>
      <c r="Q37" s="1572">
        <f t="shared" si="8"/>
        <v>111</v>
      </c>
      <c r="R37" s="1573" t="s">
        <v>8</v>
      </c>
      <c r="S37" s="1574">
        <f t="shared" si="10"/>
        <v>100</v>
      </c>
      <c r="T37" s="1573" t="s">
        <v>8</v>
      </c>
      <c r="U37" s="1574">
        <f t="shared" si="11"/>
        <v>100</v>
      </c>
      <c r="V37" s="1573" t="s">
        <v>8</v>
      </c>
      <c r="W37" s="1574">
        <f t="shared" si="12"/>
        <v>100</v>
      </c>
      <c r="X37" s="1567"/>
      <c r="Y37" s="347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0" t="s">
        <v>550</v>
      </c>
      <c r="Q38" s="1572">
        <f t="shared" si="8"/>
        <v>111</v>
      </c>
      <c r="R38" s="1573" t="s">
        <v>8</v>
      </c>
      <c r="S38" s="1574">
        <f t="shared" si="10"/>
        <v>100</v>
      </c>
      <c r="T38" s="1573" t="s">
        <v>8</v>
      </c>
      <c r="U38" s="1574">
        <f t="shared" si="11"/>
        <v>100</v>
      </c>
      <c r="V38" s="1573" t="s">
        <v>8</v>
      </c>
      <c r="W38" s="1574">
        <f t="shared" si="12"/>
        <v>100</v>
      </c>
      <c r="X38" s="1567"/>
      <c r="Y38" s="3481"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1"/>
      <c r="Q39" s="1572">
        <f t="shared" si="8"/>
        <v>111</v>
      </c>
      <c r="R39" s="1577" t="s">
        <v>8</v>
      </c>
      <c r="S39" s="1578">
        <f t="shared" si="10"/>
        <v>100</v>
      </c>
      <c r="T39" s="1577" t="s">
        <v>8</v>
      </c>
      <c r="U39" s="1578">
        <f t="shared" si="11"/>
        <v>100</v>
      </c>
      <c r="V39" s="1577" t="s">
        <v>8</v>
      </c>
      <c r="W39" s="1578">
        <f t="shared" si="12"/>
        <v>100</v>
      </c>
      <c r="X39" s="1579"/>
      <c r="Y39" s="3481"/>
      <c r="Z39" s="1580">
        <f t="shared" si="13"/>
        <v>111</v>
      </c>
      <c r="AA39" s="1576">
        <f t="shared" si="3"/>
        <v>1</v>
      </c>
      <c r="AB39" s="1576">
        <f t="shared" si="4"/>
        <v>1</v>
      </c>
      <c r="AC39" s="1576">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481"/>
      <c r="Q40" s="1572" t="str">
        <f>B40</f>
        <v>宗地面积</v>
      </c>
      <c r="R40" s="1573" t="s">
        <v>8</v>
      </c>
      <c r="S40" s="1574" t="e">
        <f t="shared" si="10"/>
        <v>#N/A</v>
      </c>
      <c r="T40" s="1573" t="s">
        <v>8</v>
      </c>
      <c r="U40" s="1574" t="e">
        <f t="shared" si="11"/>
        <v>#N/A</v>
      </c>
      <c r="V40" s="1573" t="s">
        <v>8</v>
      </c>
      <c r="W40" s="1574" t="e">
        <f t="shared" si="12"/>
        <v>#N/A</v>
      </c>
      <c r="X40" s="1567"/>
      <c r="Y40" s="3481"/>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81"/>
      <c r="Q41" s="1572" t="str">
        <f t="shared" ref="Q41:Q47" si="14">B41</f>
        <v>宗地形状</v>
      </c>
      <c r="R41" s="1573" t="s">
        <v>8</v>
      </c>
      <c r="S41" s="1574">
        <f t="shared" si="10"/>
        <v>100</v>
      </c>
      <c r="T41" s="1573" t="s">
        <v>8</v>
      </c>
      <c r="U41" s="1574">
        <f t="shared" si="11"/>
        <v>100</v>
      </c>
      <c r="V41" s="1573" t="s">
        <v>8</v>
      </c>
      <c r="W41" s="1574">
        <f t="shared" si="12"/>
        <v>100</v>
      </c>
      <c r="X41" s="1567"/>
      <c r="Y41" s="348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81"/>
      <c r="Q42" s="1572" t="str">
        <f t="shared" si="14"/>
        <v>临街宽度及深度</v>
      </c>
      <c r="R42" s="1573" t="s">
        <v>8</v>
      </c>
      <c r="S42" s="1574">
        <f t="shared" si="10"/>
        <v>100</v>
      </c>
      <c r="T42" s="1573" t="s">
        <v>8</v>
      </c>
      <c r="U42" s="1574">
        <f t="shared" si="11"/>
        <v>100</v>
      </c>
      <c r="V42" s="1573" t="s">
        <v>8</v>
      </c>
      <c r="W42" s="1574">
        <f t="shared" si="12"/>
        <v>100</v>
      </c>
      <c r="X42" s="1567"/>
      <c r="Y42" s="3481"/>
      <c r="Z42" s="1575" t="str">
        <f t="shared" si="13"/>
        <v>临街宽度及深度</v>
      </c>
      <c r="AA42" s="1576">
        <f t="shared" si="3"/>
        <v>1</v>
      </c>
      <c r="AB42" s="1576">
        <f t="shared" si="4"/>
        <v>1</v>
      </c>
      <c r="AC42" s="1576">
        <f t="shared" si="5"/>
        <v>1</v>
      </c>
    </row>
    <row r="43" spans="1:29" s="1219"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81"/>
      <c r="Q43" s="1572" t="str">
        <f t="shared" si="14"/>
        <v>宗地开发程度</v>
      </c>
      <c r="R43" s="1568" t="s">
        <v>8</v>
      </c>
      <c r="S43" s="1569">
        <f t="shared" si="10"/>
        <v>100</v>
      </c>
      <c r="T43" s="1568" t="s">
        <v>8</v>
      </c>
      <c r="U43" s="1569">
        <f t="shared" si="11"/>
        <v>100</v>
      </c>
      <c r="V43" s="1568" t="s">
        <v>8</v>
      </c>
      <c r="W43" s="1569">
        <f t="shared" si="12"/>
        <v>100</v>
      </c>
      <c r="X43" s="1570"/>
      <c r="Y43" s="348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81" t="s">
        <v>550</v>
      </c>
      <c r="Q44" s="1572" t="str">
        <f t="shared" si="14"/>
        <v>工程地质条件</v>
      </c>
      <c r="R44" s="1573" t="s">
        <v>8</v>
      </c>
      <c r="S44" s="1574">
        <f t="shared" si="10"/>
        <v>100</v>
      </c>
      <c r="T44" s="1573" t="s">
        <v>8</v>
      </c>
      <c r="U44" s="1574">
        <f t="shared" si="11"/>
        <v>100</v>
      </c>
      <c r="V44" s="1573" t="s">
        <v>8</v>
      </c>
      <c r="W44" s="1574">
        <f t="shared" si="12"/>
        <v>100</v>
      </c>
      <c r="X44" s="1567"/>
      <c r="Y44" s="348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81"/>
      <c r="Q45" s="1572">
        <f t="shared" si="14"/>
        <v>111</v>
      </c>
      <c r="R45" s="1573" t="s">
        <v>8</v>
      </c>
      <c r="S45" s="1574">
        <f t="shared" si="10"/>
        <v>100</v>
      </c>
      <c r="T45" s="1573" t="s">
        <v>8</v>
      </c>
      <c r="U45" s="1574">
        <f t="shared" si="11"/>
        <v>100</v>
      </c>
      <c r="V45" s="1573" t="s">
        <v>8</v>
      </c>
      <c r="W45" s="1574">
        <f t="shared" si="12"/>
        <v>100</v>
      </c>
      <c r="X45" s="1567"/>
      <c r="Y45" s="348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1"/>
      <c r="Q46" s="1572">
        <f t="shared" si="14"/>
        <v>111</v>
      </c>
      <c r="R46" s="1573" t="s">
        <v>8</v>
      </c>
      <c r="S46" s="1574">
        <f t="shared" si="10"/>
        <v>100</v>
      </c>
      <c r="T46" s="1573" t="s">
        <v>8</v>
      </c>
      <c r="U46" s="1574">
        <f t="shared" si="11"/>
        <v>100</v>
      </c>
      <c r="V46" s="1573" t="s">
        <v>8</v>
      </c>
      <c r="W46" s="1574">
        <f t="shared" si="12"/>
        <v>100</v>
      </c>
      <c r="X46" s="1567"/>
      <c r="Y46" s="3481"/>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1"/>
      <c r="Q47" s="1572">
        <f t="shared" si="14"/>
        <v>111</v>
      </c>
      <c r="R47" s="1577" t="s">
        <v>8</v>
      </c>
      <c r="S47" s="1578">
        <f t="shared" si="10"/>
        <v>100</v>
      </c>
      <c r="T47" s="1577" t="s">
        <v>8</v>
      </c>
      <c r="U47" s="1578">
        <f t="shared" si="11"/>
        <v>100</v>
      </c>
      <c r="V47" s="1577" t="s">
        <v>8</v>
      </c>
      <c r="W47" s="1578">
        <f t="shared" si="12"/>
        <v>100</v>
      </c>
      <c r="X47" s="1579"/>
      <c r="Y47" s="3481"/>
      <c r="Z47" s="1580">
        <f t="shared" si="13"/>
        <v>111</v>
      </c>
      <c r="AA47" s="1576">
        <f t="shared" si="3"/>
        <v>1</v>
      </c>
      <c r="AB47" s="1576">
        <f t="shared" si="4"/>
        <v>1</v>
      </c>
      <c r="AC47" s="1576">
        <f t="shared" si="5"/>
        <v>1</v>
      </c>
    </row>
    <row r="48" spans="1:29" ht="20.25">
      <c r="A48" s="607" t="s">
        <v>556</v>
      </c>
      <c r="B48" s="608" t="s">
        <v>2931</v>
      </c>
      <c r="C48" s="609" t="s">
        <v>1</v>
      </c>
      <c r="D48" s="610"/>
      <c r="E48" s="611"/>
      <c r="F48" s="612"/>
      <c r="G48" s="613"/>
      <c r="H48" s="614"/>
      <c r="I48" s="611"/>
      <c r="J48" s="614"/>
      <c r="K48" s="1339"/>
      <c r="L48" s="2144"/>
      <c r="M48" s="2132"/>
      <c r="N48" s="2132"/>
      <c r="O48" s="2145"/>
      <c r="P48" s="3473" t="str">
        <f>A48</f>
        <v>成交单价</v>
      </c>
      <c r="Q48" s="3473"/>
      <c r="R48" s="3502">
        <f>E48</f>
        <v>0</v>
      </c>
      <c r="S48" s="3502"/>
      <c r="T48" s="3502">
        <f>G48</f>
        <v>0</v>
      </c>
      <c r="U48" s="3502"/>
      <c r="V48" s="3502">
        <f>I48</f>
        <v>0</v>
      </c>
      <c r="W48" s="3502"/>
      <c r="X48" s="1559"/>
      <c r="Y48" s="1581"/>
      <c r="Z48" s="1559"/>
      <c r="AA48" s="1559"/>
      <c r="AB48" s="1559"/>
      <c r="AC48" s="1559"/>
    </row>
    <row r="49" spans="1:29" ht="21" thickBot="1">
      <c r="A49" s="615" t="s">
        <v>2694</v>
      </c>
      <c r="B49" s="616"/>
      <c r="C49" s="617" t="e">
        <f>R50</f>
        <v>#DIV/0!</v>
      </c>
      <c r="D49" s="618"/>
      <c r="E49" s="617" t="e">
        <f>R49</f>
        <v>#DIV/0!</v>
      </c>
      <c r="F49" s="619"/>
      <c r="G49" s="620" t="e">
        <f>T49</f>
        <v>#DIV/0!</v>
      </c>
      <c r="H49" s="618"/>
      <c r="I49" s="617" t="e">
        <f>V49</f>
        <v>#DIV/0!</v>
      </c>
      <c r="J49" s="618"/>
      <c r="K49" s="1340"/>
      <c r="L49" s="2144"/>
      <c r="M49" s="2132"/>
      <c r="N49" s="2132"/>
      <c r="O49" s="2145"/>
      <c r="P49" s="3473" t="str">
        <f>A49</f>
        <v>比较价格（元/平方米）</v>
      </c>
      <c r="Q49" s="3473"/>
      <c r="R49" s="3516" t="e">
        <f>ROUND(PRODUCT(R48,AA9:AA47),0)</f>
        <v>#DIV/0!</v>
      </c>
      <c r="S49" s="3516"/>
      <c r="T49" s="3516" t="e">
        <f>ROUND(PRODUCT(T48,AB9:AB47),0)</f>
        <v>#DIV/0!</v>
      </c>
      <c r="U49" s="3516"/>
      <c r="V49" s="3516" t="e">
        <f>ROUND(PRODUCT(V48,AC9:AC47),0)</f>
        <v>#DIV/0!</v>
      </c>
      <c r="W49" s="3516"/>
      <c r="X49" s="1559"/>
      <c r="Y49" s="1559"/>
      <c r="Z49" s="1559"/>
      <c r="AA49" s="1559"/>
      <c r="AB49" s="1559"/>
      <c r="AC49" s="1559"/>
    </row>
    <row r="50" spans="1:29" ht="21" thickBot="1">
      <c r="A50" s="621" t="s">
        <v>2932</v>
      </c>
      <c r="B50" s="622"/>
      <c r="C50" s="623" t="e">
        <f>R50</f>
        <v>#DIV/0!</v>
      </c>
      <c r="D50" s="623"/>
      <c r="E50" s="623"/>
      <c r="F50" s="623"/>
      <c r="G50" s="623"/>
      <c r="H50" s="623"/>
      <c r="I50" s="623"/>
      <c r="J50" s="623"/>
      <c r="K50" s="1341"/>
      <c r="L50" s="2144"/>
      <c r="M50" s="2132"/>
      <c r="N50" s="2132"/>
      <c r="O50" s="2145"/>
      <c r="P50" s="3475" t="str">
        <f>A50</f>
        <v>估价对象XX用房的比较价格（楼面单价，元/平方米）</v>
      </c>
      <c r="Q50" s="3476"/>
      <c r="R50" s="3515" t="e">
        <f>ROUND(AVERAGE(R49:V49),0)</f>
        <v>#DIV/0!</v>
      </c>
      <c r="S50" s="3515"/>
      <c r="T50" s="3515"/>
      <c r="U50" s="3515"/>
      <c r="V50" s="3515"/>
      <c r="W50" s="3515"/>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519" t="s">
        <v>2282</v>
      </c>
      <c r="H57" s="3520"/>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t="e">
        <f>C50</f>
        <v>#DIV/0!</v>
      </c>
      <c r="C58" s="635">
        <v>1</v>
      </c>
      <c r="D58" s="2228">
        <v>1</v>
      </c>
      <c r="E58" s="635">
        <f>'数据-汇总表'!E8+'数据-汇总表'!E9</f>
        <v>400500</v>
      </c>
      <c r="F58" s="636" t="e">
        <f t="shared" ref="F58:F67" si="15">ROUND(B58*E58/10000,0)</f>
        <v>#DIV/0!</v>
      </c>
      <c r="G58" s="3521"/>
      <c r="H58" s="352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t="e">
        <f>ROUND($C$50*C59*D59,0)</f>
        <v>#DIV/0!</v>
      </c>
      <c r="C59" s="378">
        <f t="shared" ref="C59:C67" si="16">IF($C$57="北京市系数",I59,J59)</f>
        <v>0.7</v>
      </c>
      <c r="D59" s="2229">
        <v>0.25</v>
      </c>
      <c r="E59" s="639">
        <v>0</v>
      </c>
      <c r="F59" s="636" t="e">
        <f t="shared" si="15"/>
        <v>#DIV/0!</v>
      </c>
      <c r="G59" s="3523" t="s">
        <v>2283</v>
      </c>
      <c r="H59" s="1948" t="str">
        <f>项目基本情况!B43</f>
        <v>四级</v>
      </c>
      <c r="I59" s="1556">
        <f>SUMIF(修正!$A$45:$A$56,H59,修正!B45:B56)</f>
        <v>0.7</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t="e">
        <f t="shared" ref="B60:B67" si="17">ROUND($C$50*C60*D60,0)</f>
        <v>#DIV/0!</v>
      </c>
      <c r="C60" s="378">
        <f t="shared" si="16"/>
        <v>0.4</v>
      </c>
      <c r="D60" s="2229">
        <v>0.25</v>
      </c>
      <c r="E60" s="639">
        <v>0</v>
      </c>
      <c r="F60" s="636" t="e">
        <f t="shared" si="15"/>
        <v>#DIV/0!</v>
      </c>
      <c r="G60" s="3523"/>
      <c r="H60" s="1948" t="str">
        <f>项目基本情况!B43</f>
        <v>四级</v>
      </c>
      <c r="I60" s="1556">
        <f>SUMIF(修正!$A$45:$A$56,H60,修正!C45:C56)</f>
        <v>0.4</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t="e">
        <f t="shared" si="17"/>
        <v>#DIV/0!</v>
      </c>
      <c r="C61" s="378">
        <f t="shared" si="16"/>
        <v>0.28000000000000003</v>
      </c>
      <c r="D61" s="2229">
        <v>0.25</v>
      </c>
      <c r="E61" s="639">
        <v>0</v>
      </c>
      <c r="F61" s="636" t="e">
        <f t="shared" si="15"/>
        <v>#DIV/0!</v>
      </c>
      <c r="G61" s="3523"/>
      <c r="H61" s="1948" t="str">
        <f>项目基本情况!B43</f>
        <v>四级</v>
      </c>
      <c r="I61" s="1556">
        <f>SUMIF(修正!$A$45:$A$56,H61,修正!D45:D56)</f>
        <v>0.28000000000000003</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t="e">
        <f t="shared" si="17"/>
        <v>#DIV/0!</v>
      </c>
      <c r="C62" s="378">
        <f t="shared" si="16"/>
        <v>0.25</v>
      </c>
      <c r="D62" s="2229">
        <v>0.25</v>
      </c>
      <c r="E62" s="639">
        <v>0</v>
      </c>
      <c r="F62" s="636" t="e">
        <f t="shared" si="15"/>
        <v>#DIV/0!</v>
      </c>
      <c r="G62" s="3523"/>
      <c r="H62" s="1948" t="str">
        <f>项目基本情况!B43</f>
        <v>四级</v>
      </c>
      <c r="I62" s="1556">
        <f>SUMIF(修正!$A$45:$A$56,H62,修正!E45:E56)</f>
        <v>0.25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t="e">
        <f t="shared" si="17"/>
        <v>#DIV/0!</v>
      </c>
      <c r="C63" s="378">
        <f t="shared" si="16"/>
        <v>0.25</v>
      </c>
      <c r="D63" s="2229">
        <v>0.25</v>
      </c>
      <c r="E63" s="641">
        <f>'数据-汇总表'!E11</f>
        <v>0</v>
      </c>
      <c r="F63" s="636" t="e">
        <f t="shared" si="15"/>
        <v>#DIV/0!</v>
      </c>
      <c r="G63" s="1945" t="s">
        <v>2284</v>
      </c>
      <c r="H63" s="1948" t="str">
        <f>项目基本情况!C43</f>
        <v>四级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t="e">
        <f t="shared" si="17"/>
        <v>#DIV/0!</v>
      </c>
      <c r="C64" s="378">
        <f t="shared" si="16"/>
        <v>0.25</v>
      </c>
      <c r="D64" s="2229">
        <v>0.25</v>
      </c>
      <c r="E64" s="641">
        <f>'数据-汇总表'!E12</f>
        <v>0</v>
      </c>
      <c r="F64" s="636" t="e">
        <f t="shared" si="15"/>
        <v>#DIV/0!</v>
      </c>
      <c r="G64" s="1946" t="s">
        <v>1678</v>
      </c>
      <c r="H64" s="1944" t="str">
        <f>IF(G64="商业",项目基本情况!B43,IF(G64="办公",项目基本情况!C43,IF(G64="住宅",项目基本情况!D43,项目基本情况!E43)))</f>
        <v>四级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t="e">
        <f t="shared" si="17"/>
        <v>#DIV/0!</v>
      </c>
      <c r="C65" s="378">
        <f t="shared" si="16"/>
        <v>0</v>
      </c>
      <c r="D65" s="2229">
        <v>0.25</v>
      </c>
      <c r="E65" s="641">
        <f>'数据-汇总表'!E13</f>
        <v>0</v>
      </c>
      <c r="F65" s="636" t="e">
        <f t="shared" si="15"/>
        <v>#DIV/0!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t="e">
        <f t="shared" si="17"/>
        <v>#DIV/0!</v>
      </c>
      <c r="C66" s="378">
        <f t="shared" si="16"/>
        <v>0.2</v>
      </c>
      <c r="D66" s="2229">
        <v>0.25</v>
      </c>
      <c r="E66" s="641">
        <f>'数据-汇总表'!E14</f>
        <v>0</v>
      </c>
      <c r="F66" s="636" t="e">
        <f t="shared" si="15"/>
        <v>#DIV/0!</v>
      </c>
      <c r="G66" s="1945" t="s">
        <v>2283</v>
      </c>
      <c r="H66" s="1948" t="str">
        <f>项目基本情况!B43</f>
        <v>四级</v>
      </c>
      <c r="I66" s="1556">
        <f>SUMIF(修正!$A$45:$A$56,H66,修正!H45:H56)</f>
        <v>0.2</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t="e">
        <f t="shared" si="17"/>
        <v>#DIV/0!</v>
      </c>
      <c r="C67" s="378">
        <f t="shared" si="16"/>
        <v>0.2</v>
      </c>
      <c r="D67" s="2229">
        <v>0.25</v>
      </c>
      <c r="E67" s="641">
        <f>'数据-汇总表'!E15</f>
        <v>0</v>
      </c>
      <c r="F67" s="636" t="e">
        <f t="shared" si="15"/>
        <v>#DIV/0!</v>
      </c>
      <c r="G67" s="1947" t="s">
        <v>2284</v>
      </c>
      <c r="H67" s="1949" t="str">
        <f>项目基本情况!C43</f>
        <v>四级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78298.679999999993</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8" t="str">
        <f>YEAR(C9)&amp;"-"&amp;MONTH(C9)&amp;"-1"</f>
        <v>2018-10-1</v>
      </c>
      <c r="D70" s="2778">
        <f>EDATE(C70,-3)</f>
        <v>43282</v>
      </c>
      <c r="E70" s="2778">
        <f t="shared" ref="E70:N70" si="18">EDATE(D70,-3)</f>
        <v>43191</v>
      </c>
      <c r="F70" s="2778">
        <f t="shared" si="18"/>
        <v>43101</v>
      </c>
      <c r="G70" s="2778">
        <f t="shared" si="18"/>
        <v>43009</v>
      </c>
      <c r="H70" s="2778">
        <f t="shared" si="18"/>
        <v>42917</v>
      </c>
      <c r="I70" s="2778">
        <f t="shared" si="18"/>
        <v>42826</v>
      </c>
      <c r="J70" s="2778">
        <f t="shared" si="18"/>
        <v>42736</v>
      </c>
      <c r="K70" s="2778">
        <f t="shared" si="18"/>
        <v>42644</v>
      </c>
      <c r="L70" s="2778">
        <f t="shared" si="18"/>
        <v>42552</v>
      </c>
      <c r="M70" s="2778">
        <f t="shared" si="18"/>
        <v>42461</v>
      </c>
      <c r="N70" s="2778">
        <f t="shared" si="18"/>
        <v>42370</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3" t="str">
        <f>YEAR(C70)&amp;"-"&amp;ROUNDUP(MONTH(C70)/3,0)</f>
        <v>2018-4</v>
      </c>
      <c r="D72" s="2780" t="str">
        <f>YEAR(D70)&amp;"-"&amp;ROUNDUP(MONTH(D70)/3,0)</f>
        <v>2018-3</v>
      </c>
      <c r="E72" s="2780" t="str">
        <f t="shared" ref="E72:N72" si="19">YEAR(E70)&amp;"-"&amp;ROUNDUP(MONTH(E70)/3,0)</f>
        <v>2018-2</v>
      </c>
      <c r="F72" s="2780" t="str">
        <f t="shared" si="19"/>
        <v>2018-1</v>
      </c>
      <c r="G72" s="2780" t="str">
        <f t="shared" si="19"/>
        <v>2017-4</v>
      </c>
      <c r="H72" s="2780" t="str">
        <f t="shared" si="19"/>
        <v>2017-3</v>
      </c>
      <c r="I72" s="2780" t="str">
        <f t="shared" si="19"/>
        <v>2017-2</v>
      </c>
      <c r="J72" s="2780" t="str">
        <f t="shared" si="19"/>
        <v>2017-1</v>
      </c>
      <c r="K72" s="2780" t="str">
        <f t="shared" si="19"/>
        <v>2016-4</v>
      </c>
      <c r="L72" s="2780" t="str">
        <f t="shared" si="19"/>
        <v>2016-3</v>
      </c>
      <c r="M72" s="2780" t="str">
        <f t="shared" si="19"/>
        <v>2016-2</v>
      </c>
      <c r="N72" s="2780"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785" t="s">
        <v>2648</v>
      </c>
      <c r="B73" s="479" t="str">
        <f>"北京市平均增长率"&amp;TEXT(SUMIF('基准地价-商业'!N21:N25,A73,'基准地价-商业'!P21:P25),"0.00%")</f>
        <v>北京市平均增长率2.19%</v>
      </c>
      <c r="C73" s="894">
        <v>100</v>
      </c>
      <c r="D73" s="730"/>
      <c r="E73" s="730"/>
      <c r="F73" s="730"/>
      <c r="G73" s="730"/>
      <c r="H73" s="730"/>
      <c r="I73" s="730"/>
      <c r="J73" s="730"/>
      <c r="K73" s="730"/>
      <c r="L73" s="730"/>
      <c r="M73" s="2771"/>
      <c r="N73" s="2772"/>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5" t="s">
        <v>2647</v>
      </c>
      <c r="B74" s="2784"/>
      <c r="C74" s="2769"/>
      <c r="D74" s="2770"/>
      <c r="E74" s="2770"/>
      <c r="F74" s="2770"/>
      <c r="G74" s="2770"/>
      <c r="H74" s="2770"/>
      <c r="I74" s="2770"/>
      <c r="J74" s="2770"/>
      <c r="K74" s="2770"/>
      <c r="L74" s="2770"/>
      <c r="M74" s="2770"/>
      <c r="N74" s="2770"/>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3" priority="14" stopIfTrue="1" operator="containsText" text="超过">
      <formula>NOT(ISERROR(SEARCH("超过",F53)))</formula>
    </cfRule>
  </conditionalFormatting>
  <conditionalFormatting sqref="J55">
    <cfRule type="containsText" dxfId="122" priority="13" stopIfTrue="1" operator="containsText" text="超过">
      <formula>NOT(ISERROR(SEARCH("超过",J55)))</formula>
    </cfRule>
  </conditionalFormatting>
  <conditionalFormatting sqref="H55">
    <cfRule type="containsText" dxfId="121" priority="12" stopIfTrue="1" operator="containsText" text="超过">
      <formula>NOT(ISERROR(SEARCH("超过",H55)))</formula>
    </cfRule>
  </conditionalFormatting>
  <conditionalFormatting sqref="F55">
    <cfRule type="containsText" dxfId="120" priority="11" stopIfTrue="1" operator="containsText" text="超过">
      <formula>NOT(ISERROR(SEARCH("超过",F55)))</formula>
    </cfRule>
  </conditionalFormatting>
  <conditionalFormatting sqref="F54 H54 J54">
    <cfRule type="containsText" dxfId="119" priority="10" stopIfTrue="1" operator="containsText" text="超过">
      <formula>NOT(ISERROR(SEARCH("超过",F54)))</formula>
    </cfRule>
  </conditionalFormatting>
  <conditionalFormatting sqref="E53">
    <cfRule type="expression" dxfId="118" priority="9" stopIfTrue="1">
      <formula>$F$53="超过30%"</formula>
    </cfRule>
  </conditionalFormatting>
  <conditionalFormatting sqref="G55">
    <cfRule type="expression" dxfId="117" priority="8" stopIfTrue="1">
      <formula>$H$55="超过30%"</formula>
    </cfRule>
  </conditionalFormatting>
  <conditionalFormatting sqref="E54">
    <cfRule type="expression" dxfId="116" priority="7" stopIfTrue="1">
      <formula>$F$54="超过20%"</formula>
    </cfRule>
  </conditionalFormatting>
  <conditionalFormatting sqref="E55">
    <cfRule type="expression" dxfId="115" priority="6" stopIfTrue="1">
      <formula>$F$55="超过30%"</formula>
    </cfRule>
  </conditionalFormatting>
  <conditionalFormatting sqref="G53">
    <cfRule type="expression" dxfId="114" priority="5" stopIfTrue="1">
      <formula>$H$55+$H$53="超过30%"</formula>
    </cfRule>
  </conditionalFormatting>
  <conditionalFormatting sqref="G54">
    <cfRule type="expression" dxfId="113" priority="4" stopIfTrue="1">
      <formula>$H$54="超过20%"</formula>
    </cfRule>
  </conditionalFormatting>
  <conditionalFormatting sqref="I53">
    <cfRule type="expression" dxfId="112" priority="3" stopIfTrue="1">
      <formula>$J$53="超过30%"</formula>
    </cfRule>
  </conditionalFormatting>
  <conditionalFormatting sqref="I54">
    <cfRule type="expression" dxfId="111" priority="2" stopIfTrue="1">
      <formula>$J$54="超过20%"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86" t="s">
        <v>522</v>
      </c>
      <c r="D6" s="3487"/>
      <c r="E6" s="3488" t="s">
        <v>523</v>
      </c>
      <c r="F6" s="3489"/>
      <c r="G6" s="3486" t="s">
        <v>524</v>
      </c>
      <c r="H6" s="3487"/>
      <c r="I6" s="3486" t="s">
        <v>525</v>
      </c>
      <c r="J6" s="3487"/>
      <c r="K6" s="514" t="s">
        <v>526</v>
      </c>
      <c r="L6" s="2133"/>
      <c r="M6" s="2134"/>
      <c r="N6" s="2134"/>
      <c r="O6" s="2134"/>
      <c r="P6" s="3490" t="s">
        <v>527</v>
      </c>
      <c r="Q6" s="3491"/>
      <c r="R6" s="3496" t="s">
        <v>523</v>
      </c>
      <c r="S6" s="3497"/>
      <c r="T6" s="3496" t="s">
        <v>524</v>
      </c>
      <c r="U6" s="3497"/>
      <c r="V6" s="3502" t="s">
        <v>525</v>
      </c>
      <c r="W6" s="3502"/>
      <c r="X6" s="1567"/>
      <c r="Y6" s="3496" t="s">
        <v>527</v>
      </c>
      <c r="Z6" s="3497"/>
      <c r="AA6" s="3483" t="s">
        <v>523</v>
      </c>
      <c r="AB6" s="3484" t="s">
        <v>524</v>
      </c>
      <c r="AC6" s="3483" t="s">
        <v>525</v>
      </c>
    </row>
    <row r="7" spans="1:29" ht="15">
      <c r="A7" s="515"/>
      <c r="B7" s="516"/>
      <c r="C7" s="3510" t="s">
        <v>2926</v>
      </c>
      <c r="D7" s="3506"/>
      <c r="E7" s="3524" t="s">
        <v>2927</v>
      </c>
      <c r="F7" s="3514"/>
      <c r="G7" s="3510" t="s">
        <v>2928</v>
      </c>
      <c r="H7" s="3506"/>
      <c r="I7" s="3510" t="s">
        <v>2929</v>
      </c>
      <c r="J7" s="3506"/>
      <c r="K7" s="514"/>
      <c r="L7" s="2133"/>
      <c r="M7" s="2134"/>
      <c r="N7" s="2134"/>
      <c r="O7" s="2134"/>
      <c r="P7" s="3492"/>
      <c r="Q7" s="3493"/>
      <c r="R7" s="3498"/>
      <c r="S7" s="3499"/>
      <c r="T7" s="3498"/>
      <c r="U7" s="3499"/>
      <c r="V7" s="3502"/>
      <c r="W7" s="3502"/>
      <c r="X7" s="1567"/>
      <c r="Y7" s="3498"/>
      <c r="Z7" s="3499"/>
      <c r="AA7" s="3484"/>
      <c r="AB7" s="3484"/>
      <c r="AC7" s="3484"/>
    </row>
    <row r="8" spans="1:29" ht="15.75" thickBot="1">
      <c r="A8" s="517"/>
      <c r="B8" s="518"/>
      <c r="C8" s="3503" t="s">
        <v>2930</v>
      </c>
      <c r="D8" s="3504"/>
      <c r="E8" s="3511" t="s">
        <v>2930</v>
      </c>
      <c r="F8" s="3512"/>
      <c r="G8" s="3503" t="s">
        <v>2930</v>
      </c>
      <c r="H8" s="3504"/>
      <c r="I8" s="3503" t="s">
        <v>2930</v>
      </c>
      <c r="J8" s="3504"/>
      <c r="K8" s="514" t="s">
        <v>528</v>
      </c>
      <c r="L8" s="2133"/>
      <c r="M8" s="2134"/>
      <c r="N8" s="2134"/>
      <c r="O8" s="2134"/>
      <c r="P8" s="3494"/>
      <c r="Q8" s="3495"/>
      <c r="R8" s="3498"/>
      <c r="S8" s="3499"/>
      <c r="T8" s="3500"/>
      <c r="U8" s="3501"/>
      <c r="V8" s="3502"/>
      <c r="W8" s="3502"/>
      <c r="X8" s="1567"/>
      <c r="Y8" s="3500"/>
      <c r="Z8" s="3501"/>
      <c r="AA8" s="3485"/>
      <c r="AB8" s="3485"/>
      <c r="AC8" s="3485"/>
    </row>
    <row r="9" spans="1:29" s="1219" customFormat="1" ht="15.75" thickBot="1">
      <c r="A9" s="2891"/>
      <c r="B9" s="2898" t="s">
        <v>529</v>
      </c>
      <c r="C9" s="519">
        <f>'数据-取费表'!B2</f>
        <v>43388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507" t="s">
        <v>530</v>
      </c>
      <c r="Q9" s="3509"/>
      <c r="R9" s="1568" t="s">
        <v>8</v>
      </c>
      <c r="S9" s="1569">
        <f t="shared" ref="S9:S17" si="0">F9</f>
        <v>0</v>
      </c>
      <c r="T9" s="1568" t="s">
        <v>8</v>
      </c>
      <c r="U9" s="1569">
        <f t="shared" ref="U9:U17" si="1">H9</f>
        <v>0</v>
      </c>
      <c r="V9" s="1568" t="s">
        <v>8</v>
      </c>
      <c r="W9" s="1569">
        <f t="shared" ref="W9:W17" si="2">J9</f>
        <v>0</v>
      </c>
      <c r="X9" s="1570"/>
      <c r="Y9" s="3507" t="s">
        <v>530</v>
      </c>
      <c r="Z9" s="3508"/>
      <c r="AA9" s="1571" t="e">
        <f>D9/F9</f>
        <v>#DIV/0!</v>
      </c>
      <c r="AB9" s="1571" t="e">
        <f>D9/H9</f>
        <v>#DIV/0!</v>
      </c>
      <c r="AC9" s="1571" t="e">
        <f>D9/J9</f>
        <v>#DIV/0!</v>
      </c>
    </row>
    <row r="10" spans="1:29" s="1219"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507" t="s">
        <v>533</v>
      </c>
      <c r="Q10" s="3508"/>
      <c r="R10" s="1568" t="s">
        <v>8</v>
      </c>
      <c r="S10" s="1569">
        <f t="shared" si="0"/>
        <v>0</v>
      </c>
      <c r="T10" s="1568" t="s">
        <v>8</v>
      </c>
      <c r="U10" s="1569">
        <f t="shared" si="1"/>
        <v>0</v>
      </c>
      <c r="V10" s="1568" t="s">
        <v>8</v>
      </c>
      <c r="W10" s="1569">
        <f t="shared" si="2"/>
        <v>0</v>
      </c>
      <c r="X10" s="1570"/>
      <c r="Y10" s="3507" t="s">
        <v>533</v>
      </c>
      <c r="Z10" s="3508"/>
      <c r="AA10" s="1571" t="e">
        <f t="shared" ref="AA10:AA42" si="3">D10/F10</f>
        <v>#DIV/0!</v>
      </c>
      <c r="AB10" s="1571" t="e">
        <f t="shared" ref="AB10:AB42" si="4">D10/H10</f>
        <v>#DIV/0!</v>
      </c>
      <c r="AC10" s="1571" t="e">
        <f t="shared" ref="AC10:AC42" si="5">D10/J10</f>
        <v>#DIV/0!</v>
      </c>
    </row>
    <row r="11" spans="1:29" s="1219"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73" t="s">
        <v>535</v>
      </c>
      <c r="Q11" s="1151" t="str">
        <f t="shared" ref="Q11:Q17" si="6">B11</f>
        <v>用途</v>
      </c>
      <c r="R11" s="1568" t="s">
        <v>8</v>
      </c>
      <c r="S11" s="1569">
        <f t="shared" si="0"/>
        <v>100</v>
      </c>
      <c r="T11" s="1568" t="s">
        <v>8</v>
      </c>
      <c r="U11" s="1569">
        <f t="shared" si="1"/>
        <v>100</v>
      </c>
      <c r="V11" s="1568" t="s">
        <v>8</v>
      </c>
      <c r="W11" s="1569">
        <f t="shared" si="2"/>
        <v>100</v>
      </c>
      <c r="X11" s="1570"/>
      <c r="Y11" s="3434" t="s">
        <v>536</v>
      </c>
      <c r="Z11" s="1150" t="str">
        <f t="shared" ref="Z11:Z17" si="7">Q11</f>
        <v>用途</v>
      </c>
      <c r="AA11" s="1571">
        <f t="shared" si="3"/>
        <v>1</v>
      </c>
      <c r="AB11" s="1571">
        <f t="shared" si="4"/>
        <v>1</v>
      </c>
      <c r="AC11" s="1571">
        <f t="shared" si="5"/>
        <v>1</v>
      </c>
    </row>
    <row r="12" spans="1:29" s="1337"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73"/>
      <c r="Q12" s="1151" t="str">
        <f t="shared" si="6"/>
        <v>土地使用年限（年）</v>
      </c>
      <c r="R12" s="1568" t="s">
        <v>8</v>
      </c>
      <c r="S12" s="1569">
        <f t="shared" si="0"/>
        <v>100</v>
      </c>
      <c r="T12" s="1568" t="s">
        <v>8</v>
      </c>
      <c r="U12" s="1569">
        <f t="shared" si="1"/>
        <v>100</v>
      </c>
      <c r="V12" s="1568" t="s">
        <v>8</v>
      </c>
      <c r="W12" s="1569">
        <f t="shared" si="2"/>
        <v>100</v>
      </c>
      <c r="X12" s="1570"/>
      <c r="Y12" s="3434"/>
      <c r="Z12" s="1150" t="str">
        <f t="shared" si="7"/>
        <v>土地使用年限（年）</v>
      </c>
      <c r="AA12" s="1571">
        <f t="shared" si="3"/>
        <v>1</v>
      </c>
      <c r="AB12" s="1571">
        <f t="shared" si="4"/>
        <v>1</v>
      </c>
      <c r="AC12" s="1571">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73"/>
      <c r="Q13" s="1151" t="str">
        <f t="shared" si="6"/>
        <v>容积率</v>
      </c>
      <c r="R13" s="1568" t="s">
        <v>8</v>
      </c>
      <c r="S13" s="1569" t="e">
        <f t="shared" si="0"/>
        <v>#N/A</v>
      </c>
      <c r="T13" s="1568" t="s">
        <v>8</v>
      </c>
      <c r="U13" s="1569" t="e">
        <f t="shared" si="1"/>
        <v>#N/A</v>
      </c>
      <c r="V13" s="1568" t="s">
        <v>8</v>
      </c>
      <c r="W13" s="1569" t="e">
        <f t="shared" si="2"/>
        <v>#N/A</v>
      </c>
      <c r="X13" s="1570"/>
      <c r="Y13" s="3434"/>
      <c r="Z13" s="1150" t="str">
        <f t="shared" si="7"/>
        <v>容积率</v>
      </c>
      <c r="AA13" s="1571" t="e">
        <f t="shared" si="3"/>
        <v>#N/A</v>
      </c>
      <c r="AB13" s="1571" t="e">
        <f t="shared" si="4"/>
        <v>#N/A</v>
      </c>
      <c r="AC13" s="1571" t="e">
        <f t="shared" si="5"/>
        <v>#N/A</v>
      </c>
    </row>
    <row r="14" spans="1:29" s="1219"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D14/F14</f>
        <v>1</v>
      </c>
      <c r="AB14" s="1571">
        <f>D14/H14</f>
        <v>1</v>
      </c>
      <c r="AC14" s="1571">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73"/>
      <c r="Q15" s="1151">
        <f t="shared" si="6"/>
        <v>111</v>
      </c>
      <c r="R15" s="1568" t="s">
        <v>8</v>
      </c>
      <c r="S15" s="1569">
        <f t="shared" si="0"/>
        <v>100</v>
      </c>
      <c r="T15" s="1568" t="s">
        <v>8</v>
      </c>
      <c r="U15" s="1569">
        <f t="shared" si="1"/>
        <v>100</v>
      </c>
      <c r="V15" s="1568" t="s">
        <v>8</v>
      </c>
      <c r="W15" s="1569">
        <f t="shared" si="2"/>
        <v>100</v>
      </c>
      <c r="X15" s="1570"/>
      <c r="Y15" s="3434"/>
      <c r="Z15" s="1150">
        <f t="shared" si="7"/>
        <v>111</v>
      </c>
      <c r="AA15" s="1571">
        <f t="shared" si="3"/>
        <v>1</v>
      </c>
      <c r="AB15" s="1571">
        <f t="shared" si="4"/>
        <v>1</v>
      </c>
      <c r="AC15" s="1571">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73"/>
      <c r="Q16" s="1151">
        <f t="shared" si="6"/>
        <v>111</v>
      </c>
      <c r="R16" s="1568" t="s">
        <v>8</v>
      </c>
      <c r="S16" s="1569">
        <f t="shared" si="0"/>
        <v>100</v>
      </c>
      <c r="T16" s="1568" t="s">
        <v>8</v>
      </c>
      <c r="U16" s="1569">
        <f t="shared" si="1"/>
        <v>100</v>
      </c>
      <c r="V16" s="1568" t="s">
        <v>8</v>
      </c>
      <c r="W16" s="1569">
        <f t="shared" si="2"/>
        <v>100</v>
      </c>
      <c r="X16" s="1570"/>
      <c r="Y16" s="3434"/>
      <c r="Z16" s="1150">
        <f t="shared" si="7"/>
        <v>111</v>
      </c>
      <c r="AA16" s="1571">
        <f t="shared" si="3"/>
        <v>1</v>
      </c>
      <c r="AB16" s="1571">
        <f t="shared" si="4"/>
        <v>1</v>
      </c>
      <c r="AC16" s="1571">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78" t="s">
        <v>540</v>
      </c>
      <c r="Q17" s="1572" t="str">
        <f t="shared" si="6"/>
        <v>产业集聚程度</v>
      </c>
      <c r="R17" s="1573" t="s">
        <v>8</v>
      </c>
      <c r="S17" s="1574">
        <f t="shared" si="0"/>
        <v>100</v>
      </c>
      <c r="T17" s="1573" t="s">
        <v>8</v>
      </c>
      <c r="U17" s="1574">
        <f t="shared" si="1"/>
        <v>100</v>
      </c>
      <c r="V17" s="1573" t="s">
        <v>8</v>
      </c>
      <c r="W17" s="1574">
        <f t="shared" si="2"/>
        <v>100</v>
      </c>
      <c r="X17" s="1567"/>
      <c r="Y17" s="347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79"/>
      <c r="Q18" s="1572"/>
      <c r="R18" s="1573"/>
      <c r="S18" s="1574"/>
      <c r="T18" s="1573"/>
      <c r="U18" s="1574"/>
      <c r="V18" s="1573"/>
      <c r="W18" s="1574"/>
      <c r="X18" s="1567"/>
      <c r="Y18" s="347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79"/>
      <c r="Q19" s="1572" t="str">
        <f>B19</f>
        <v>交通便捷度</v>
      </c>
      <c r="R19" s="1573" t="s">
        <v>8</v>
      </c>
      <c r="S19" s="1574">
        <f>F19</f>
        <v>100</v>
      </c>
      <c r="T19" s="1573" t="s">
        <v>8</v>
      </c>
      <c r="U19" s="1574">
        <f>H19</f>
        <v>100</v>
      </c>
      <c r="V19" s="1573" t="s">
        <v>8</v>
      </c>
      <c r="W19" s="1574">
        <f>J19</f>
        <v>100</v>
      </c>
      <c r="X19" s="1567"/>
      <c r="Y19" s="347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79"/>
      <c r="Q20" s="1572"/>
      <c r="R20" s="1573"/>
      <c r="S20" s="1574"/>
      <c r="T20" s="1573"/>
      <c r="U20" s="1574"/>
      <c r="V20" s="1573"/>
      <c r="W20" s="1574"/>
      <c r="X20" s="1567"/>
      <c r="Y20" s="347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79"/>
      <c r="Q21" s="1572" t="str">
        <f t="shared" ref="Q21:Q35" si="8">B21</f>
        <v>区域土地利用方向</v>
      </c>
      <c r="R21" s="1573" t="s">
        <v>8</v>
      </c>
      <c r="S21" s="1574">
        <f>F21</f>
        <v>100</v>
      </c>
      <c r="T21" s="1573" t="s">
        <v>8</v>
      </c>
      <c r="U21" s="1574">
        <f>H21</f>
        <v>100</v>
      </c>
      <c r="V21" s="1573" t="s">
        <v>8</v>
      </c>
      <c r="W21" s="1574">
        <f>J21</f>
        <v>100</v>
      </c>
      <c r="X21" s="1567"/>
      <c r="Y21" s="347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79"/>
      <c r="Q22" s="1572"/>
      <c r="R22" s="1573"/>
      <c r="S22" s="1574"/>
      <c r="T22" s="1573"/>
      <c r="U22" s="1574"/>
      <c r="V22" s="1573"/>
      <c r="W22" s="1574"/>
      <c r="X22" s="1567"/>
      <c r="Y22" s="347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79"/>
      <c r="Q23" s="1572" t="str">
        <f t="shared" si="8"/>
        <v>环境状况</v>
      </c>
      <c r="R23" s="1573" t="s">
        <v>8</v>
      </c>
      <c r="S23" s="1574">
        <f>F23</f>
        <v>100</v>
      </c>
      <c r="T23" s="1573" t="s">
        <v>8</v>
      </c>
      <c r="U23" s="1574">
        <f>H23</f>
        <v>100</v>
      </c>
      <c r="V23" s="1573" t="s">
        <v>8</v>
      </c>
      <c r="W23" s="1574">
        <f>J23</f>
        <v>100</v>
      </c>
      <c r="X23" s="1567"/>
      <c r="Y23" s="347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79"/>
      <c r="Q24" s="1572"/>
      <c r="R24" s="1573"/>
      <c r="S24" s="1574"/>
      <c r="T24" s="1573"/>
      <c r="U24" s="1574"/>
      <c r="V24" s="1573"/>
      <c r="W24" s="1574"/>
      <c r="X24" s="1567"/>
      <c r="Y24" s="3479"/>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79"/>
      <c r="Q25" s="1151" t="str">
        <f t="shared" si="8"/>
        <v>公共配套设施</v>
      </c>
      <c r="R25" s="1568" t="s">
        <v>8</v>
      </c>
      <c r="S25" s="1569">
        <f>F25</f>
        <v>100</v>
      </c>
      <c r="T25" s="1568" t="s">
        <v>8</v>
      </c>
      <c r="U25" s="1569">
        <f>H25</f>
        <v>100</v>
      </c>
      <c r="V25" s="1568" t="s">
        <v>8</v>
      </c>
      <c r="W25" s="1569">
        <f>J25</f>
        <v>100</v>
      </c>
      <c r="X25" s="1570"/>
      <c r="Y25" s="3479"/>
      <c r="Z25" s="1150"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79"/>
      <c r="Q26" s="1151"/>
      <c r="R26" s="1568"/>
      <c r="S26" s="1569"/>
      <c r="T26" s="1568"/>
      <c r="U26" s="1569"/>
      <c r="V26" s="1568"/>
      <c r="W26" s="1569"/>
      <c r="X26" s="1570"/>
      <c r="Y26" s="3479"/>
      <c r="Z26" s="1150"/>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79"/>
      <c r="Q27" s="2557" t="str">
        <f t="shared" ref="Q27" si="9">B27</f>
        <v>基础设施水平</v>
      </c>
      <c r="R27" s="1568" t="s">
        <v>8</v>
      </c>
      <c r="S27" s="1569">
        <f>F27</f>
        <v>100</v>
      </c>
      <c r="T27" s="1568" t="s">
        <v>8</v>
      </c>
      <c r="U27" s="1569">
        <f>H27</f>
        <v>100</v>
      </c>
      <c r="V27" s="1568" t="s">
        <v>8</v>
      </c>
      <c r="W27" s="1569">
        <f>J27</f>
        <v>100</v>
      </c>
      <c r="X27" s="1570"/>
      <c r="Y27" s="3479"/>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79"/>
      <c r="Q28" s="2557"/>
      <c r="R28" s="1568"/>
      <c r="S28" s="1569"/>
      <c r="T28" s="1568"/>
      <c r="U28" s="1569"/>
      <c r="V28" s="1568"/>
      <c r="W28" s="1569"/>
      <c r="X28" s="1570"/>
      <c r="Y28" s="3479"/>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7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9"/>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79"/>
      <c r="Q30" s="1572" t="str">
        <f t="shared" si="8"/>
        <v>毗邻道路的类型与等级</v>
      </c>
      <c r="R30" s="1573" t="s">
        <v>8</v>
      </c>
      <c r="S30" s="1574">
        <f t="shared" si="10"/>
        <v>100</v>
      </c>
      <c r="T30" s="1573" t="s">
        <v>8</v>
      </c>
      <c r="U30" s="1574">
        <f t="shared" si="11"/>
        <v>100</v>
      </c>
      <c r="V30" s="1573" t="s">
        <v>8</v>
      </c>
      <c r="W30" s="1574">
        <f t="shared" si="12"/>
        <v>100</v>
      </c>
      <c r="X30" s="1567"/>
      <c r="Y30" s="347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79"/>
      <c r="Q31" s="1572"/>
      <c r="R31" s="1573"/>
      <c r="S31" s="1574"/>
      <c r="T31" s="1573"/>
      <c r="U31" s="1574"/>
      <c r="V31" s="1573"/>
      <c r="W31" s="1574"/>
      <c r="X31" s="1567"/>
      <c r="Y31" s="3479"/>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79"/>
      <c r="Q32" s="1572" t="str">
        <f t="shared" si="8"/>
        <v>土地级别</v>
      </c>
      <c r="R32" s="1573" t="s">
        <v>8</v>
      </c>
      <c r="S32" s="1574">
        <f t="shared" si="10"/>
        <v>100</v>
      </c>
      <c r="T32" s="1573" t="s">
        <v>8</v>
      </c>
      <c r="U32" s="1574">
        <f t="shared" si="11"/>
        <v>100</v>
      </c>
      <c r="V32" s="1573" t="s">
        <v>8</v>
      </c>
      <c r="W32" s="1574">
        <f t="shared" si="12"/>
        <v>100</v>
      </c>
      <c r="X32" s="1567"/>
      <c r="Y32" s="347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79"/>
      <c r="Q33" s="1572">
        <f t="shared" si="8"/>
        <v>111</v>
      </c>
      <c r="R33" s="1573" t="s">
        <v>8</v>
      </c>
      <c r="S33" s="1574">
        <f t="shared" si="10"/>
        <v>100</v>
      </c>
      <c r="T33" s="1573" t="s">
        <v>8</v>
      </c>
      <c r="U33" s="1574">
        <f t="shared" si="11"/>
        <v>100</v>
      </c>
      <c r="V33" s="1573" t="s">
        <v>8</v>
      </c>
      <c r="W33" s="1574">
        <f t="shared" si="12"/>
        <v>100</v>
      </c>
      <c r="X33" s="1567"/>
      <c r="Y33" s="347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0" t="s">
        <v>550</v>
      </c>
      <c r="Q34" s="1572">
        <f t="shared" si="8"/>
        <v>111</v>
      </c>
      <c r="R34" s="1573" t="s">
        <v>8</v>
      </c>
      <c r="S34" s="1574">
        <f t="shared" si="10"/>
        <v>100</v>
      </c>
      <c r="T34" s="1573" t="s">
        <v>8</v>
      </c>
      <c r="U34" s="1574">
        <f t="shared" si="11"/>
        <v>100</v>
      </c>
      <c r="V34" s="1573" t="s">
        <v>8</v>
      </c>
      <c r="W34" s="1574">
        <f t="shared" si="12"/>
        <v>100</v>
      </c>
      <c r="X34" s="1567"/>
      <c r="Y34" s="3481"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1"/>
      <c r="Q35" s="1572">
        <f t="shared" si="8"/>
        <v>111</v>
      </c>
      <c r="R35" s="1577" t="s">
        <v>8</v>
      </c>
      <c r="S35" s="1578">
        <f t="shared" si="10"/>
        <v>100</v>
      </c>
      <c r="T35" s="1577" t="s">
        <v>8</v>
      </c>
      <c r="U35" s="1578">
        <f t="shared" si="11"/>
        <v>100</v>
      </c>
      <c r="V35" s="1577" t="s">
        <v>8</v>
      </c>
      <c r="W35" s="1578">
        <f t="shared" si="12"/>
        <v>100</v>
      </c>
      <c r="X35" s="1579"/>
      <c r="Y35" s="3481"/>
      <c r="Z35" s="1580">
        <f t="shared" si="13"/>
        <v>111</v>
      </c>
      <c r="AA35" s="1576">
        <f t="shared" si="3"/>
        <v>1</v>
      </c>
      <c r="AB35" s="1576">
        <f t="shared" si="4"/>
        <v>1</v>
      </c>
      <c r="AC35" s="1576">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1"/>
      <c r="Q36" s="1572" t="str">
        <f>B36</f>
        <v>宗地面积</v>
      </c>
      <c r="R36" s="1573" t="s">
        <v>8</v>
      </c>
      <c r="S36" s="1574" t="e">
        <f t="shared" si="10"/>
        <v>#N/A</v>
      </c>
      <c r="T36" s="1573" t="s">
        <v>8</v>
      </c>
      <c r="U36" s="1574" t="e">
        <f t="shared" si="11"/>
        <v>#N/A</v>
      </c>
      <c r="V36" s="1573" t="s">
        <v>8</v>
      </c>
      <c r="W36" s="1574" t="e">
        <f t="shared" si="12"/>
        <v>#N/A</v>
      </c>
      <c r="X36" s="1567"/>
      <c r="Y36" s="348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1"/>
      <c r="Q37" s="1572" t="str">
        <f t="shared" ref="Q37:Q42" si="14">B37</f>
        <v>宗地形状</v>
      </c>
      <c r="R37" s="1573" t="s">
        <v>8</v>
      </c>
      <c r="S37" s="1574">
        <f t="shared" si="10"/>
        <v>100</v>
      </c>
      <c r="T37" s="1573" t="s">
        <v>8</v>
      </c>
      <c r="U37" s="1574">
        <f t="shared" si="11"/>
        <v>100</v>
      </c>
      <c r="V37" s="1573" t="s">
        <v>8</v>
      </c>
      <c r="W37" s="1574">
        <f t="shared" si="12"/>
        <v>100</v>
      </c>
      <c r="X37" s="1567"/>
      <c r="Y37" s="3481"/>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1"/>
      <c r="Q38" s="1572" t="str">
        <f t="shared" si="14"/>
        <v>宗地开发程度</v>
      </c>
      <c r="R38" s="1568" t="s">
        <v>8</v>
      </c>
      <c r="S38" s="1569">
        <f t="shared" si="10"/>
        <v>100</v>
      </c>
      <c r="T38" s="1568" t="s">
        <v>8</v>
      </c>
      <c r="U38" s="1569">
        <f t="shared" si="11"/>
        <v>100</v>
      </c>
      <c r="V38" s="1568" t="s">
        <v>8</v>
      </c>
      <c r="W38" s="1569">
        <f t="shared" si="12"/>
        <v>100</v>
      </c>
      <c r="X38" s="1570"/>
      <c r="Y38" s="348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1" t="s">
        <v>601</v>
      </c>
      <c r="Q39" s="1572" t="str">
        <f t="shared" si="14"/>
        <v>工程地质条件</v>
      </c>
      <c r="R39" s="1573" t="s">
        <v>8</v>
      </c>
      <c r="S39" s="1574">
        <f t="shared" si="10"/>
        <v>100</v>
      </c>
      <c r="T39" s="1573" t="s">
        <v>8</v>
      </c>
      <c r="U39" s="1574">
        <f t="shared" si="11"/>
        <v>100</v>
      </c>
      <c r="V39" s="1573" t="s">
        <v>8</v>
      </c>
      <c r="W39" s="1574">
        <f t="shared" si="12"/>
        <v>100</v>
      </c>
      <c r="X39" s="1567"/>
      <c r="Y39" s="348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1"/>
      <c r="Q40" s="1572">
        <f t="shared" si="14"/>
        <v>111</v>
      </c>
      <c r="R40" s="1573" t="s">
        <v>8</v>
      </c>
      <c r="S40" s="1574">
        <f t="shared" si="10"/>
        <v>100</v>
      </c>
      <c r="T40" s="1573" t="s">
        <v>8</v>
      </c>
      <c r="U40" s="1574">
        <f t="shared" si="11"/>
        <v>100</v>
      </c>
      <c r="V40" s="1573" t="s">
        <v>8</v>
      </c>
      <c r="W40" s="1574">
        <f t="shared" si="12"/>
        <v>100</v>
      </c>
      <c r="X40" s="1567"/>
      <c r="Y40" s="348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1"/>
      <c r="Q41" s="1572">
        <f t="shared" si="14"/>
        <v>111</v>
      </c>
      <c r="R41" s="1573" t="s">
        <v>8</v>
      </c>
      <c r="S41" s="1574">
        <f t="shared" si="10"/>
        <v>100</v>
      </c>
      <c r="T41" s="1573" t="s">
        <v>8</v>
      </c>
      <c r="U41" s="1574">
        <f t="shared" si="11"/>
        <v>100</v>
      </c>
      <c r="V41" s="1573" t="s">
        <v>8</v>
      </c>
      <c r="W41" s="1574">
        <f t="shared" si="12"/>
        <v>100</v>
      </c>
      <c r="X41" s="1567"/>
      <c r="Y41" s="3481"/>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1"/>
      <c r="Q42" s="1572">
        <f t="shared" si="14"/>
        <v>111</v>
      </c>
      <c r="R42" s="1577" t="s">
        <v>8</v>
      </c>
      <c r="S42" s="1578">
        <f t="shared" si="10"/>
        <v>100</v>
      </c>
      <c r="T42" s="1577" t="s">
        <v>8</v>
      </c>
      <c r="U42" s="1578">
        <f t="shared" si="11"/>
        <v>100</v>
      </c>
      <c r="V42" s="1577" t="s">
        <v>8</v>
      </c>
      <c r="W42" s="1578">
        <f t="shared" si="12"/>
        <v>100</v>
      </c>
      <c r="X42" s="1579"/>
      <c r="Y42" s="3481"/>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4"/>
      <c r="M43" s="2134"/>
      <c r="N43" s="2134"/>
      <c r="O43" s="2145"/>
      <c r="P43" s="3473" t="str">
        <f>A43</f>
        <v>成交单价</v>
      </c>
      <c r="Q43" s="3473"/>
      <c r="R43" s="3502">
        <f>E43</f>
        <v>0</v>
      </c>
      <c r="S43" s="3502"/>
      <c r="T43" s="3502">
        <f>G43</f>
        <v>0</v>
      </c>
      <c r="U43" s="3502"/>
      <c r="V43" s="3502">
        <f>I43</f>
        <v>0</v>
      </c>
      <c r="W43" s="3502"/>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473" t="str">
        <f>A44</f>
        <v>比较价格（元/平方米）</v>
      </c>
      <c r="Q44" s="3473"/>
      <c r="R44" s="3516" t="e">
        <f>ROUND(PRODUCT(R43,AA9:AA42),0)</f>
        <v>#DIV/0!</v>
      </c>
      <c r="S44" s="3516"/>
      <c r="T44" s="3516" t="e">
        <f>ROUND(PRODUCT(T43,AB9:AB42),0)</f>
        <v>#DIV/0!</v>
      </c>
      <c r="U44" s="3516"/>
      <c r="V44" s="3516" t="e">
        <f>ROUND(PRODUCT(V43,AC9:AC42),0)</f>
        <v>#DIV/0!</v>
      </c>
      <c r="W44" s="3516"/>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4"/>
      <c r="M45" s="2134"/>
      <c r="N45" s="2134"/>
      <c r="O45" s="2145"/>
      <c r="P45" s="3475" t="str">
        <f>A45</f>
        <v>估价对象XX用房的比较价格（楼面单价，元/平方米）</v>
      </c>
      <c r="Q45" s="3476"/>
      <c r="R45" s="3515" t="e">
        <f>ROUND(AVERAGE(R44:V44),0)</f>
        <v>#DIV/0!</v>
      </c>
      <c r="S45" s="3515"/>
      <c r="T45" s="3515"/>
      <c r="U45" s="3515"/>
      <c r="V45" s="3515"/>
      <c r="W45" s="3515"/>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525" t="s">
        <v>2285</v>
      </c>
      <c r="H52" s="3526"/>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400500</v>
      </c>
      <c r="F53" s="1950" t="e">
        <f t="shared" ref="F53:F62" si="15">ROUND(B53*E53/10000,0)</f>
        <v>#DIV/0!</v>
      </c>
      <c r="G53" s="3527"/>
      <c r="H53" s="352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0.7</v>
      </c>
      <c r="D54" s="2229">
        <v>0.25</v>
      </c>
      <c r="E54" s="639"/>
      <c r="F54" s="1950" t="e">
        <f t="shared" si="15"/>
        <v>#DIV/0!</v>
      </c>
      <c r="G54" s="3529" t="s">
        <v>2286</v>
      </c>
      <c r="H54" s="1954" t="str">
        <f>项目基本情况!B43</f>
        <v>四级</v>
      </c>
      <c r="I54" s="1953">
        <f>SUMIF(修正!$A$45:$A$56,H54,修正!B45:B56)</f>
        <v>0.7</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0.4</v>
      </c>
      <c r="D55" s="2229">
        <v>0.25</v>
      </c>
      <c r="E55" s="639"/>
      <c r="F55" s="1950" t="e">
        <f t="shared" si="15"/>
        <v>#DIV/0!</v>
      </c>
      <c r="G55" s="3529"/>
      <c r="H55" s="1955" t="str">
        <f>项目基本情况!B43</f>
        <v>四级</v>
      </c>
      <c r="I55" s="1953">
        <f>SUMIF(修正!$A$45:$A$56,H55,修正!C45:C56)</f>
        <v>0.4</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0.28000000000000003</v>
      </c>
      <c r="D56" s="2229">
        <v>0.25</v>
      </c>
      <c r="E56" s="639"/>
      <c r="F56" s="1950" t="e">
        <f t="shared" si="15"/>
        <v>#DIV/0!</v>
      </c>
      <c r="G56" s="3529"/>
      <c r="H56" s="1955" t="str">
        <f>项目基本情况!B43</f>
        <v>四级</v>
      </c>
      <c r="I56" s="1953">
        <f>SUMIF(修正!$A$45:$A$56,H56,修正!D45:D56)</f>
        <v>0.28000000000000003</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0.25</v>
      </c>
      <c r="D57" s="2229">
        <v>0.25</v>
      </c>
      <c r="E57" s="639"/>
      <c r="F57" s="1950" t="e">
        <f t="shared" si="15"/>
        <v>#DIV/0!</v>
      </c>
      <c r="G57" s="3529"/>
      <c r="H57" s="1955" t="str">
        <f>项目基本情况!B43</f>
        <v>四级</v>
      </c>
      <c r="I57" s="1953">
        <f>SUMIF(修正!$A$45:$A$56,H57,修正!E45:E56)</f>
        <v>0.25</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0.25</v>
      </c>
      <c r="D58" s="2229">
        <v>0.25</v>
      </c>
      <c r="E58" s="641">
        <f>'数据-汇总表'!E11</f>
        <v>0</v>
      </c>
      <c r="F58" s="1950" t="e">
        <f t="shared" si="15"/>
        <v>#DIV/0!</v>
      </c>
      <c r="G58" s="1956" t="s">
        <v>2287</v>
      </c>
      <c r="H58" s="1955" t="str">
        <f>项目基本情况!C43</f>
        <v>四级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0.25</v>
      </c>
      <c r="D59" s="2229">
        <v>0.25</v>
      </c>
      <c r="E59" s="641">
        <f>'数据-汇总表'!E12</f>
        <v>0</v>
      </c>
      <c r="F59" s="1950" t="e">
        <f t="shared" si="15"/>
        <v>#DIV/0!</v>
      </c>
      <c r="G59" s="1946" t="s">
        <v>1678</v>
      </c>
      <c r="H59" s="1954" t="str">
        <f>IF(G59="商业",项目基本情况!B43,IF(G59="办公",项目基本情况!C43,IF(G59="住宅",项目基本情况!D43,项目基本情况!E43)))</f>
        <v>四级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0.2</v>
      </c>
      <c r="D61" s="2229">
        <v>0.25</v>
      </c>
      <c r="E61" s="641">
        <f>'数据-汇总表'!E14</f>
        <v>0</v>
      </c>
      <c r="F61" s="1950" t="e">
        <f t="shared" si="15"/>
        <v>#DIV/0!</v>
      </c>
      <c r="G61" s="1956" t="s">
        <v>2286</v>
      </c>
      <c r="H61" s="1955" t="str">
        <f>项目基本情况!B43</f>
        <v>四级</v>
      </c>
      <c r="I61" s="1953">
        <f>SUMIF(修正!$A$45:$A$56,H61,修正!H45:H56)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0.2</v>
      </c>
      <c r="D62" s="2229">
        <v>0.25</v>
      </c>
      <c r="E62" s="641">
        <f>'数据-汇总表'!E15</f>
        <v>0</v>
      </c>
      <c r="F62" s="1950" t="e">
        <f t="shared" si="15"/>
        <v>#DIV/0!</v>
      </c>
      <c r="G62" s="1957" t="s">
        <v>2287</v>
      </c>
      <c r="H62" s="1958" t="str">
        <f>项目基本情况!C43</f>
        <v>四级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78298.679999999993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9" t="str">
        <f>YEAR(C9)&amp;"-"&amp;MONTH(C9)&amp;"-1"</f>
        <v>2018-10-1</v>
      </c>
      <c r="D65" s="2778">
        <f>EDATE(C65,-3)</f>
        <v>43282</v>
      </c>
      <c r="E65" s="2778">
        <f t="shared" ref="E65:N65" si="18">EDATE(D65,-3)</f>
        <v>43191</v>
      </c>
      <c r="F65" s="2778">
        <f t="shared" si="18"/>
        <v>43101</v>
      </c>
      <c r="G65" s="2778">
        <f t="shared" si="18"/>
        <v>43009</v>
      </c>
      <c r="H65" s="2778">
        <f t="shared" si="18"/>
        <v>42917</v>
      </c>
      <c r="I65" s="2778">
        <f t="shared" si="18"/>
        <v>42826</v>
      </c>
      <c r="J65" s="2778">
        <f t="shared" si="18"/>
        <v>42736</v>
      </c>
      <c r="K65" s="2778">
        <f t="shared" si="18"/>
        <v>42644</v>
      </c>
      <c r="L65" s="2778">
        <f t="shared" si="18"/>
        <v>42552</v>
      </c>
      <c r="M65" s="2778">
        <f t="shared" si="18"/>
        <v>42461</v>
      </c>
      <c r="N65" s="2778">
        <f t="shared" si="18"/>
        <v>42370</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3" t="str">
        <f>YEAR(C65)&amp;"-"&amp;ROUNDUP(MONTH(C65)/3,0)</f>
        <v>2018-4</v>
      </c>
      <c r="D67" s="2780" t="str">
        <f t="shared" ref="D67:N67" si="19">YEAR(D65)&amp;"-"&amp;ROUNDUP(MONTH(D65)/3,0)</f>
        <v>2018-3</v>
      </c>
      <c r="E67" s="2780" t="str">
        <f t="shared" si="19"/>
        <v>2018-2</v>
      </c>
      <c r="F67" s="2780" t="str">
        <f t="shared" si="19"/>
        <v>2018-1</v>
      </c>
      <c r="G67" s="2780" t="str">
        <f t="shared" si="19"/>
        <v>2017-4</v>
      </c>
      <c r="H67" s="2780" t="str">
        <f t="shared" si="19"/>
        <v>2017-3</v>
      </c>
      <c r="I67" s="2780" t="str">
        <f t="shared" si="19"/>
        <v>2017-2</v>
      </c>
      <c r="J67" s="2780" t="str">
        <f t="shared" si="19"/>
        <v>2017-1</v>
      </c>
      <c r="K67" s="2780" t="str">
        <f t="shared" si="19"/>
        <v>2016-4</v>
      </c>
      <c r="L67" s="2780" t="str">
        <f t="shared" si="19"/>
        <v>2016-3</v>
      </c>
      <c r="M67" s="2780" t="str">
        <f t="shared" si="19"/>
        <v>2016-2</v>
      </c>
      <c r="N67" s="2780"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77" t="s">
        <v>2650</v>
      </c>
      <c r="B68" s="479" t="str">
        <f>"北京市平均增长率"&amp;TEXT('基准地价-商业'!P24,"0.00%")</f>
        <v>北京市平均增长率1.42%</v>
      </c>
      <c r="C68" s="894">
        <v>100</v>
      </c>
      <c r="D68" s="730"/>
      <c r="E68" s="730"/>
      <c r="F68" s="730"/>
      <c r="G68" s="730"/>
      <c r="H68" s="730"/>
      <c r="I68" s="730"/>
      <c r="J68" s="730"/>
      <c r="K68" s="730"/>
      <c r="L68" s="730"/>
      <c r="M68" s="2771"/>
      <c r="N68" s="2772"/>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9"/>
      <c r="D69" s="2770"/>
      <c r="E69" s="2770"/>
      <c r="F69" s="2770"/>
      <c r="G69" s="2770"/>
      <c r="H69" s="2770"/>
      <c r="I69" s="2770"/>
      <c r="J69" s="2770"/>
      <c r="K69" s="2770"/>
      <c r="L69" s="2770"/>
      <c r="M69" s="2770"/>
      <c r="N69" s="2770"/>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9" priority="14" stopIfTrue="1" operator="containsText" text="超过">
      <formula>NOT(ISERROR(SEARCH("超过",F48)))</formula>
    </cfRule>
  </conditionalFormatting>
  <conditionalFormatting sqref="J50">
    <cfRule type="containsText" dxfId="108" priority="13" stopIfTrue="1" operator="containsText" text="超过">
      <formula>NOT(ISERROR(SEARCH("超过",J50)))</formula>
    </cfRule>
  </conditionalFormatting>
  <conditionalFormatting sqref="H50">
    <cfRule type="containsText" dxfId="107" priority="12" stopIfTrue="1" operator="containsText" text="超过">
      <formula>NOT(ISERROR(SEARCH("超过",H50)))</formula>
    </cfRule>
  </conditionalFormatting>
  <conditionalFormatting sqref="F50">
    <cfRule type="containsText" dxfId="106" priority="11" stopIfTrue="1" operator="containsText" text="超过">
      <formula>NOT(ISERROR(SEARCH("超过",F50)))</formula>
    </cfRule>
  </conditionalFormatting>
  <conditionalFormatting sqref="F49 H49 J49">
    <cfRule type="containsText" dxfId="105" priority="10" stopIfTrue="1" operator="containsText" text="超过">
      <formula>NOT(ISERROR(SEARCH("超过",F49)))</formula>
    </cfRule>
  </conditionalFormatting>
  <conditionalFormatting sqref="E48">
    <cfRule type="expression" dxfId="104" priority="9" stopIfTrue="1">
      <formula>$F$48="超过30%"</formula>
    </cfRule>
  </conditionalFormatting>
  <conditionalFormatting sqref="G50">
    <cfRule type="expression" dxfId="103" priority="8" stopIfTrue="1">
      <formula>$H$50="超过30%"</formula>
    </cfRule>
  </conditionalFormatting>
  <conditionalFormatting sqref="E50">
    <cfRule type="expression" dxfId="102" priority="6" stopIfTrue="1">
      <formula>$F$50="超过30%"</formula>
    </cfRule>
  </conditionalFormatting>
  <conditionalFormatting sqref="G48">
    <cfRule type="expression" dxfId="101" priority="5" stopIfTrue="1">
      <formula>$H$48="超过30%"</formula>
    </cfRule>
  </conditionalFormatting>
  <conditionalFormatting sqref="G49">
    <cfRule type="expression" dxfId="100" priority="4" stopIfTrue="1">
      <formula>$H$49="超过20%"</formula>
    </cfRule>
  </conditionalFormatting>
  <conditionalFormatting sqref="I48">
    <cfRule type="expression" dxfId="99" priority="3" stopIfTrue="1">
      <formula>$J$48="超过30%"</formula>
    </cfRule>
  </conditionalFormatting>
  <conditionalFormatting sqref="I49">
    <cfRule type="expression" dxfId="98" priority="2" stopIfTrue="1">
      <formula>$J$49="超过20%"</formula>
    </cfRule>
  </conditionalFormatting>
  <conditionalFormatting sqref="I50">
    <cfRule type="expression" dxfId="97" priority="1" stopIfTrue="1">
      <formula>$J$50="超过30%"</formula>
    </cfRule>
  </conditionalFormatting>
  <conditionalFormatting sqref="E49">
    <cfRule type="expression" dxfId="9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3" t="s">
        <v>1008</v>
      </c>
      <c r="B18" s="1154" t="s">
        <v>1447</v>
      </c>
      <c r="C18" s="1131" t="s">
        <v>1448</v>
      </c>
      <c r="D18" s="1132"/>
      <c r="E18" s="1154">
        <v>1</v>
      </c>
      <c r="F18" s="1133" t="s">
        <v>1449</v>
      </c>
      <c r="G18" s="1134"/>
      <c r="H18" s="1105"/>
      <c r="I18" s="1105"/>
    </row>
    <row r="19" spans="1:9" s="1599" customFormat="1" ht="19.5" customHeight="1">
      <c r="A19" s="3463"/>
      <c r="B19" s="3463" t="s">
        <v>1450</v>
      </c>
      <c r="C19" s="1131" t="s">
        <v>1451</v>
      </c>
      <c r="D19" s="1132"/>
      <c r="E19" s="1154">
        <v>0.9</v>
      </c>
      <c r="F19" s="1133" t="s">
        <v>1452</v>
      </c>
      <c r="G19" s="1134"/>
      <c r="H19" s="1105"/>
      <c r="I19" s="1105"/>
    </row>
    <row r="20" spans="1:9" s="1599" customFormat="1" ht="19.5" customHeight="1">
      <c r="A20" s="3463"/>
      <c r="B20" s="3463"/>
      <c r="C20" s="1131" t="s">
        <v>1453</v>
      </c>
      <c r="D20" s="1132"/>
      <c r="E20" s="1154">
        <v>1.1000000000000001</v>
      </c>
      <c r="F20" s="1133" t="s">
        <v>1454</v>
      </c>
      <c r="G20" s="1134"/>
      <c r="H20" s="1105"/>
      <c r="I20" s="1105"/>
    </row>
    <row r="21" spans="1:9" s="1599" customFormat="1" ht="19.5" customHeight="1">
      <c r="A21" s="3463"/>
      <c r="B21" s="3463"/>
      <c r="C21" s="1131" t="s">
        <v>1455</v>
      </c>
      <c r="D21" s="1132"/>
      <c r="E21" s="1154">
        <v>0.8</v>
      </c>
      <c r="F21" s="1133" t="s">
        <v>1456</v>
      </c>
      <c r="G21" s="1134"/>
      <c r="H21" s="1105"/>
      <c r="I21" s="1105"/>
    </row>
    <row r="22" spans="1:9" s="1599" customFormat="1" ht="19.5" customHeight="1">
      <c r="A22" s="3463"/>
      <c r="B22" s="3463"/>
      <c r="C22" s="1131" t="s">
        <v>1457</v>
      </c>
      <c r="D22" s="1132"/>
      <c r="E22" s="1154">
        <v>0.5</v>
      </c>
      <c r="F22" s="1133"/>
      <c r="G22" s="1134"/>
      <c r="H22" s="1105"/>
      <c r="I22" s="1105"/>
    </row>
    <row r="23" spans="1:9" s="1599" customFormat="1" ht="19.5" customHeight="1">
      <c r="A23" s="3463" t="s">
        <v>1030</v>
      </c>
      <c r="B23" s="1154" t="s">
        <v>1447</v>
      </c>
      <c r="C23" s="1131" t="s">
        <v>1458</v>
      </c>
      <c r="D23" s="1132"/>
      <c r="E23" s="1154">
        <v>1</v>
      </c>
      <c r="F23" s="1133" t="s">
        <v>1459</v>
      </c>
      <c r="G23" s="1134"/>
      <c r="H23" s="1105"/>
      <c r="I23" s="1105"/>
    </row>
    <row r="24" spans="1:9" s="1599" customFormat="1" ht="19.5" customHeight="1">
      <c r="A24" s="3463"/>
      <c r="B24" s="3463" t="s">
        <v>1450</v>
      </c>
      <c r="C24" s="1131" t="s">
        <v>1460</v>
      </c>
      <c r="D24" s="1132"/>
      <c r="E24" s="1154">
        <v>0.5</v>
      </c>
      <c r="F24" s="1133"/>
      <c r="G24" s="1134"/>
      <c r="H24" s="1105"/>
      <c r="I24" s="1105"/>
    </row>
    <row r="25" spans="1:9" s="1599" customFormat="1" ht="19.5" customHeight="1">
      <c r="A25" s="3463"/>
      <c r="B25" s="3463"/>
      <c r="C25" s="1131" t="s">
        <v>1461</v>
      </c>
      <c r="D25" s="1132"/>
      <c r="E25" s="1154">
        <v>1.1000000000000001</v>
      </c>
      <c r="F25" s="1133"/>
      <c r="G25" s="1134"/>
      <c r="H25" s="1105"/>
      <c r="I25" s="1105"/>
    </row>
    <row r="26" spans="1:9" s="1599" customFormat="1" ht="19.5" customHeight="1">
      <c r="A26" s="3463"/>
      <c r="B26" s="3463"/>
      <c r="C26" s="1131" t="s">
        <v>1462</v>
      </c>
      <c r="D26" s="1132"/>
      <c r="E26" s="1154">
        <v>1.1000000000000001</v>
      </c>
      <c r="F26" s="1133"/>
      <c r="G26" s="1134"/>
      <c r="H26" s="1105"/>
      <c r="I26" s="1105"/>
    </row>
    <row r="27" spans="1:9" s="1599" customFormat="1" ht="19.5" customHeight="1">
      <c r="A27" s="3463"/>
      <c r="B27" s="3463"/>
      <c r="C27" s="1131" t="s">
        <v>1463</v>
      </c>
      <c r="D27" s="1132"/>
      <c r="E27" s="1154">
        <v>0.9</v>
      </c>
      <c r="F27" s="1133" t="s">
        <v>1464</v>
      </c>
      <c r="G27" s="1134"/>
      <c r="H27" s="1105"/>
      <c r="I27" s="1105"/>
    </row>
    <row r="28" spans="1:9" s="1599" customFormat="1" ht="19.5" customHeight="1">
      <c r="A28" s="3463"/>
      <c r="B28" s="3463"/>
      <c r="C28" s="1131" t="s">
        <v>1465</v>
      </c>
      <c r="D28" s="1132"/>
      <c r="E28" s="1154">
        <v>0.9</v>
      </c>
      <c r="F28" s="1133" t="s">
        <v>1466</v>
      </c>
      <c r="G28" s="1134"/>
      <c r="H28" s="1105"/>
      <c r="I28" s="1105"/>
    </row>
    <row r="29" spans="1:9" s="1599" customFormat="1" ht="19.5" customHeight="1">
      <c r="A29" s="3463"/>
      <c r="B29" s="3463"/>
      <c r="C29" s="1131" t="s">
        <v>1467</v>
      </c>
      <c r="D29" s="1132"/>
      <c r="E29" s="1154">
        <v>0.9</v>
      </c>
      <c r="F29" s="1133" t="s">
        <v>1468</v>
      </c>
      <c r="G29" s="1134"/>
      <c r="H29" s="1105"/>
      <c r="I29" s="1105"/>
    </row>
    <row r="30" spans="1:9" s="1599" customFormat="1" ht="19.5" customHeight="1">
      <c r="A30" s="3463"/>
      <c r="B30" s="3463"/>
      <c r="C30" s="1131" t="s">
        <v>1469</v>
      </c>
      <c r="D30" s="1132"/>
      <c r="E30" s="1154">
        <v>0.9</v>
      </c>
      <c r="F30" s="1133" t="s">
        <v>1470</v>
      </c>
      <c r="G30" s="1134"/>
      <c r="H30" s="1105"/>
      <c r="I30" s="1105"/>
    </row>
    <row r="31" spans="1:9" s="1599" customFormat="1" ht="19.5" customHeight="1">
      <c r="A31" s="3463"/>
      <c r="B31" s="3463"/>
      <c r="C31" s="1131" t="s">
        <v>1471</v>
      </c>
      <c r="D31" s="1132"/>
      <c r="E31" s="1154">
        <v>0.8</v>
      </c>
      <c r="F31" s="1133" t="s">
        <v>1472</v>
      </c>
      <c r="G31" s="1134"/>
      <c r="H31" s="1105"/>
      <c r="I31" s="1105"/>
    </row>
    <row r="32" spans="1:9" s="1599" customFormat="1" ht="19.5" customHeight="1">
      <c r="A32" s="3463"/>
      <c r="B32" s="3463"/>
      <c r="C32" s="1131" t="s">
        <v>1473</v>
      </c>
      <c r="D32" s="1132"/>
      <c r="E32" s="1154">
        <v>0.8</v>
      </c>
      <c r="F32" s="1133" t="s">
        <v>1474</v>
      </c>
      <c r="G32" s="1134"/>
      <c r="H32" s="1105"/>
      <c r="I32" s="1105"/>
    </row>
    <row r="33" spans="1:9" s="1599" customFormat="1" ht="19.5" customHeight="1">
      <c r="A33" s="3463" t="s">
        <v>1475</v>
      </c>
      <c r="B33" s="1154" t="s">
        <v>1447</v>
      </c>
      <c r="C33" s="1131" t="s">
        <v>1476</v>
      </c>
      <c r="D33" s="1132"/>
      <c r="E33" s="1154">
        <v>1</v>
      </c>
      <c r="F33" s="1133" t="s">
        <v>1477</v>
      </c>
      <c r="G33" s="1134"/>
      <c r="H33" s="1105"/>
      <c r="I33" s="1105"/>
    </row>
    <row r="34" spans="1:9" s="1599" customFormat="1" ht="19.5" customHeight="1">
      <c r="A34" s="3463"/>
      <c r="B34" s="1154" t="s">
        <v>1450</v>
      </c>
      <c r="C34" s="1131" t="s">
        <v>1478</v>
      </c>
      <c r="D34" s="1132"/>
      <c r="E34" s="1154">
        <v>1.5</v>
      </c>
      <c r="F34" s="1133" t="s">
        <v>1479</v>
      </c>
      <c r="G34" s="1134"/>
      <c r="H34" s="1105"/>
      <c r="I34" s="1105"/>
    </row>
    <row r="35" spans="1:9" s="1599" customFormat="1" ht="19.5" customHeight="1">
      <c r="A35" s="3463" t="s">
        <v>1433</v>
      </c>
      <c r="B35" s="1154" t="s">
        <v>1447</v>
      </c>
      <c r="C35" s="1131" t="s">
        <v>1480</v>
      </c>
      <c r="D35" s="1132"/>
      <c r="E35" s="1154">
        <v>1</v>
      </c>
      <c r="F35" s="1133" t="s">
        <v>1481</v>
      </c>
      <c r="G35" s="1134"/>
      <c r="H35" s="1105"/>
      <c r="I35" s="1105"/>
    </row>
    <row r="36" spans="1:9" s="1599" customFormat="1" ht="19.5" customHeight="1">
      <c r="A36" s="3463"/>
      <c r="B36" s="3463" t="s">
        <v>1450</v>
      </c>
      <c r="C36" s="1131" t="s">
        <v>1482</v>
      </c>
      <c r="D36" s="1132"/>
      <c r="E36" s="1154">
        <v>1</v>
      </c>
      <c r="F36" s="1133" t="s">
        <v>1483</v>
      </c>
      <c r="G36" s="1134"/>
      <c r="H36" s="1105"/>
      <c r="I36" s="1105"/>
    </row>
    <row r="37" spans="1:9" s="1599" customFormat="1" ht="19.5" customHeight="1">
      <c r="A37" s="3463"/>
      <c r="B37" s="3463"/>
      <c r="C37" s="1131" t="s">
        <v>1484</v>
      </c>
      <c r="D37" s="1132"/>
      <c r="E37" s="1154">
        <v>1.5</v>
      </c>
      <c r="F37" s="1133" t="s">
        <v>1485</v>
      </c>
      <c r="G37" s="1134"/>
      <c r="H37" s="1105"/>
      <c r="I37" s="1105"/>
    </row>
    <row r="38" spans="1:9" s="1599" customFormat="1" ht="19.5" customHeight="1">
      <c r="A38" s="3463"/>
      <c r="B38" s="3463"/>
      <c r="C38" s="1131" t="s">
        <v>1486</v>
      </c>
      <c r="D38" s="1132"/>
      <c r="E38" s="1154">
        <v>1</v>
      </c>
      <c r="F38" s="1133" t="s">
        <v>1487</v>
      </c>
      <c r="G38" s="1134"/>
      <c r="H38" s="1105"/>
      <c r="I38" s="1105"/>
    </row>
    <row r="39" spans="1:9" s="1599" customFormat="1" ht="19.5" customHeight="1">
      <c r="A39" s="3463"/>
      <c r="B39" s="3463"/>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3" t="s">
        <v>1502</v>
      </c>
      <c r="C61" s="1068" t="s">
        <v>1503</v>
      </c>
      <c r="D61" s="1068" t="s">
        <v>1504</v>
      </c>
      <c r="E61" s="1139">
        <v>0.5</v>
      </c>
      <c r="F61" s="1154">
        <v>80</v>
      </c>
      <c r="H61" s="1105">
        <f>SUMIF(C59:C119,'基准地价-商业'!C8,E59:E119)</f>
        <v>0</v>
      </c>
    </row>
    <row r="62" spans="1:8" s="1105" customFormat="1" ht="24">
      <c r="A62" s="1154">
        <v>2</v>
      </c>
      <c r="B62" s="3463"/>
      <c r="C62" s="1068" t="s">
        <v>1505</v>
      </c>
      <c r="D62" s="1068" t="s">
        <v>1506</v>
      </c>
      <c r="E62" s="1139">
        <v>0.5</v>
      </c>
      <c r="F62" s="1154">
        <v>80</v>
      </c>
    </row>
    <row r="63" spans="1:8" s="1105" customFormat="1" ht="36">
      <c r="A63" s="1154">
        <v>3</v>
      </c>
      <c r="B63" s="3463"/>
      <c r="C63" s="1068" t="s">
        <v>1507</v>
      </c>
      <c r="D63" s="1068" t="s">
        <v>1508</v>
      </c>
      <c r="E63" s="1139">
        <v>0.5</v>
      </c>
      <c r="F63" s="1154">
        <v>80</v>
      </c>
    </row>
    <row r="64" spans="1:8" s="1105" customFormat="1" ht="36">
      <c r="A64" s="1154">
        <v>4</v>
      </c>
      <c r="B64" s="3463"/>
      <c r="C64" s="1068" t="s">
        <v>1509</v>
      </c>
      <c r="D64" s="1068" t="s">
        <v>1510</v>
      </c>
      <c r="E64" s="1139">
        <v>0.4</v>
      </c>
      <c r="F64" s="1154">
        <v>60</v>
      </c>
    </row>
    <row r="65" spans="1:6" s="1105" customFormat="1" ht="36">
      <c r="A65" s="1154">
        <v>5</v>
      </c>
      <c r="B65" s="3463"/>
      <c r="C65" s="1068" t="s">
        <v>1511</v>
      </c>
      <c r="D65" s="1068" t="s">
        <v>1512</v>
      </c>
      <c r="E65" s="1139">
        <v>0.2</v>
      </c>
      <c r="F65" s="1154">
        <v>30</v>
      </c>
    </row>
    <row r="66" spans="1:6" s="1105" customFormat="1" ht="36">
      <c r="A66" s="1154">
        <v>6</v>
      </c>
      <c r="B66" s="3463"/>
      <c r="C66" s="1068" t="s">
        <v>1513</v>
      </c>
      <c r="D66" s="1068" t="s">
        <v>1514</v>
      </c>
      <c r="E66" s="1139">
        <v>0.3</v>
      </c>
      <c r="F66" s="1154">
        <v>50</v>
      </c>
    </row>
    <row r="67" spans="1:6" s="1105" customFormat="1" ht="36">
      <c r="A67" s="1154">
        <v>7</v>
      </c>
      <c r="B67" s="3463"/>
      <c r="C67" s="1068" t="s">
        <v>1515</v>
      </c>
      <c r="D67" s="1068" t="s">
        <v>1516</v>
      </c>
      <c r="E67" s="1139">
        <v>0.2</v>
      </c>
      <c r="F67" s="1154">
        <v>30</v>
      </c>
    </row>
    <row r="68" spans="1:6" s="1105" customFormat="1" ht="36">
      <c r="A68" s="1154">
        <v>8</v>
      </c>
      <c r="B68" s="3463"/>
      <c r="C68" s="1068" t="s">
        <v>1517</v>
      </c>
      <c r="D68" s="1068" t="s">
        <v>1518</v>
      </c>
      <c r="E68" s="1139">
        <v>0.2</v>
      </c>
      <c r="F68" s="1154">
        <v>30</v>
      </c>
    </row>
    <row r="69" spans="1:6" s="1105" customFormat="1" ht="36">
      <c r="A69" s="1154">
        <v>9</v>
      </c>
      <c r="B69" s="3463"/>
      <c r="C69" s="1068" t="s">
        <v>1519</v>
      </c>
      <c r="D69" s="1068" t="s">
        <v>1520</v>
      </c>
      <c r="E69" s="1139">
        <v>0.2</v>
      </c>
      <c r="F69" s="1154">
        <v>30</v>
      </c>
    </row>
    <row r="70" spans="1:6" s="1105" customFormat="1" ht="48">
      <c r="A70" s="1154">
        <v>10</v>
      </c>
      <c r="B70" s="3463"/>
      <c r="C70" s="1068" t="s">
        <v>1521</v>
      </c>
      <c r="D70" s="1068" t="s">
        <v>1522</v>
      </c>
      <c r="E70" s="1139">
        <v>0.2</v>
      </c>
      <c r="F70" s="1154">
        <v>30</v>
      </c>
    </row>
    <row r="71" spans="1:6" s="1105" customFormat="1" ht="48">
      <c r="A71" s="1154">
        <v>11</v>
      </c>
      <c r="B71" s="3463"/>
      <c r="C71" s="1068" t="s">
        <v>1523</v>
      </c>
      <c r="D71" s="1068" t="s">
        <v>1524</v>
      </c>
      <c r="E71" s="1139">
        <v>0.2</v>
      </c>
      <c r="F71" s="1154">
        <v>30</v>
      </c>
    </row>
    <row r="72" spans="1:6" s="1105" customFormat="1" ht="36">
      <c r="A72" s="1154">
        <v>12</v>
      </c>
      <c r="B72" s="3463"/>
      <c r="C72" s="1068" t="s">
        <v>1525</v>
      </c>
      <c r="D72" s="1068" t="s">
        <v>1526</v>
      </c>
      <c r="E72" s="1139">
        <v>0.5</v>
      </c>
      <c r="F72" s="1154">
        <v>80</v>
      </c>
    </row>
    <row r="73" spans="1:6" s="1105" customFormat="1" ht="24">
      <c r="A73" s="1154">
        <v>13</v>
      </c>
      <c r="B73" s="3463"/>
      <c r="C73" s="1068" t="s">
        <v>1527</v>
      </c>
      <c r="D73" s="1068" t="s">
        <v>1528</v>
      </c>
      <c r="E73" s="1139">
        <v>0.4</v>
      </c>
      <c r="F73" s="1154">
        <v>60</v>
      </c>
    </row>
    <row r="74" spans="1:6" s="1105" customFormat="1" ht="24">
      <c r="A74" s="1154">
        <v>14</v>
      </c>
      <c r="B74" s="3463"/>
      <c r="C74" s="1068" t="s">
        <v>1529</v>
      </c>
      <c r="D74" s="1068" t="s">
        <v>1530</v>
      </c>
      <c r="E74" s="1139">
        <v>0.2</v>
      </c>
      <c r="F74" s="1154">
        <v>30</v>
      </c>
    </row>
    <row r="75" spans="1:6" s="1105" customFormat="1" ht="24">
      <c r="A75" s="1154">
        <v>15</v>
      </c>
      <c r="B75" s="3463"/>
      <c r="C75" s="1068" t="s">
        <v>1531</v>
      </c>
      <c r="D75" s="1068" t="s">
        <v>1532</v>
      </c>
      <c r="E75" s="1139">
        <v>0.2</v>
      </c>
      <c r="F75" s="1154">
        <v>30</v>
      </c>
    </row>
    <row r="76" spans="1:6" s="1105" customFormat="1" ht="24">
      <c r="A76" s="1154">
        <v>16</v>
      </c>
      <c r="B76" s="3463" t="s">
        <v>1533</v>
      </c>
      <c r="C76" s="1068" t="s">
        <v>1534</v>
      </c>
      <c r="D76" s="1068" t="s">
        <v>1535</v>
      </c>
      <c r="E76" s="1139">
        <v>0.5</v>
      </c>
      <c r="F76" s="1154">
        <v>80</v>
      </c>
    </row>
    <row r="77" spans="1:6" s="1105" customFormat="1" ht="24">
      <c r="A77" s="1154">
        <v>17</v>
      </c>
      <c r="B77" s="3463"/>
      <c r="C77" s="1068" t="s">
        <v>1536</v>
      </c>
      <c r="D77" s="1068" t="s">
        <v>1537</v>
      </c>
      <c r="E77" s="1139">
        <v>0.5</v>
      </c>
      <c r="F77" s="1154">
        <v>80</v>
      </c>
    </row>
    <row r="78" spans="1:6" s="1105" customFormat="1" ht="24">
      <c r="A78" s="1154">
        <v>18</v>
      </c>
      <c r="B78" s="3463"/>
      <c r="C78" s="1068" t="s">
        <v>1538</v>
      </c>
      <c r="D78" s="1068" t="s">
        <v>1539</v>
      </c>
      <c r="E78" s="1139">
        <v>0.2</v>
      </c>
      <c r="F78" s="1154">
        <v>30</v>
      </c>
    </row>
    <row r="79" spans="1:6" s="1105" customFormat="1" ht="24">
      <c r="A79" s="1154">
        <v>19</v>
      </c>
      <c r="B79" s="3463"/>
      <c r="C79" s="1068" t="s">
        <v>1540</v>
      </c>
      <c r="D79" s="1068" t="s">
        <v>1541</v>
      </c>
      <c r="E79" s="1139">
        <v>0.5</v>
      </c>
      <c r="F79" s="1154">
        <v>80</v>
      </c>
    </row>
    <row r="80" spans="1:6" s="1105" customFormat="1" ht="36">
      <c r="A80" s="1154">
        <v>20</v>
      </c>
      <c r="B80" s="3463"/>
      <c r="C80" s="1068" t="s">
        <v>1542</v>
      </c>
      <c r="D80" s="1068" t="s">
        <v>1543</v>
      </c>
      <c r="E80" s="1139">
        <v>0.2</v>
      </c>
      <c r="F80" s="1154">
        <v>30</v>
      </c>
    </row>
    <row r="81" spans="1:6" s="1105" customFormat="1" ht="36">
      <c r="A81" s="1154">
        <v>21</v>
      </c>
      <c r="B81" s="3463"/>
      <c r="C81" s="1068" t="s">
        <v>1544</v>
      </c>
      <c r="D81" s="1068" t="s">
        <v>1545</v>
      </c>
      <c r="E81" s="1139">
        <v>0.2</v>
      </c>
      <c r="F81" s="1154">
        <v>30</v>
      </c>
    </row>
    <row r="82" spans="1:6" s="1105" customFormat="1" ht="48">
      <c r="A82" s="1154">
        <v>22</v>
      </c>
      <c r="B82" s="3463"/>
      <c r="C82" s="1068" t="s">
        <v>1546</v>
      </c>
      <c r="D82" s="1068" t="s">
        <v>1547</v>
      </c>
      <c r="E82" s="1139">
        <v>0.2</v>
      </c>
      <c r="F82" s="1154">
        <v>30</v>
      </c>
    </row>
    <row r="83" spans="1:6" s="1105" customFormat="1" ht="48">
      <c r="A83" s="1154">
        <v>23</v>
      </c>
      <c r="B83" s="3463"/>
      <c r="C83" s="1068" t="s">
        <v>1548</v>
      </c>
      <c r="D83" s="1068" t="s">
        <v>1549</v>
      </c>
      <c r="E83" s="1139">
        <v>0.2</v>
      </c>
      <c r="F83" s="1154">
        <v>30</v>
      </c>
    </row>
    <row r="84" spans="1:6" s="1105" customFormat="1" ht="36">
      <c r="A84" s="1154">
        <v>24</v>
      </c>
      <c r="B84" s="3463"/>
      <c r="C84" s="1068" t="s">
        <v>1550</v>
      </c>
      <c r="D84" s="1068" t="s">
        <v>1551</v>
      </c>
      <c r="E84" s="1139">
        <v>0.2</v>
      </c>
      <c r="F84" s="1154">
        <v>30</v>
      </c>
    </row>
    <row r="85" spans="1:6" s="1105" customFormat="1" ht="36">
      <c r="A85" s="1154">
        <v>25</v>
      </c>
      <c r="B85" s="3463"/>
      <c r="C85" s="1068" t="s">
        <v>1552</v>
      </c>
      <c r="D85" s="1068" t="s">
        <v>1553</v>
      </c>
      <c r="E85" s="1139">
        <v>0.5</v>
      </c>
      <c r="F85" s="1154">
        <v>80</v>
      </c>
    </row>
    <row r="86" spans="1:6" s="1105" customFormat="1" ht="36">
      <c r="A86" s="1154">
        <v>26</v>
      </c>
      <c r="B86" s="3463"/>
      <c r="C86" s="1068" t="s">
        <v>1554</v>
      </c>
      <c r="D86" s="1068" t="s">
        <v>1555</v>
      </c>
      <c r="E86" s="1139">
        <v>0.2</v>
      </c>
      <c r="F86" s="1154">
        <v>30</v>
      </c>
    </row>
    <row r="87" spans="1:6" s="1105" customFormat="1" ht="36">
      <c r="A87" s="1154">
        <v>27</v>
      </c>
      <c r="B87" s="3463"/>
      <c r="C87" s="1068" t="s">
        <v>1556</v>
      </c>
      <c r="D87" s="1068" t="s">
        <v>1557</v>
      </c>
      <c r="E87" s="1139">
        <v>0.2</v>
      </c>
      <c r="F87" s="1154">
        <v>30</v>
      </c>
    </row>
    <row r="88" spans="1:6" s="1105" customFormat="1" ht="36">
      <c r="A88" s="1154">
        <v>28</v>
      </c>
      <c r="B88" s="3463"/>
      <c r="C88" s="1068" t="s">
        <v>1558</v>
      </c>
      <c r="D88" s="1068" t="s">
        <v>1559</v>
      </c>
      <c r="E88" s="1139">
        <v>0.2</v>
      </c>
      <c r="F88" s="1154">
        <v>30</v>
      </c>
    </row>
    <row r="89" spans="1:6" s="1105" customFormat="1" ht="24">
      <c r="A89" s="1154">
        <v>29</v>
      </c>
      <c r="B89" s="3463"/>
      <c r="C89" s="1068" t="s">
        <v>1560</v>
      </c>
      <c r="D89" s="1068" t="s">
        <v>1561</v>
      </c>
      <c r="E89" s="1139">
        <v>0.2</v>
      </c>
      <c r="F89" s="1154">
        <v>30</v>
      </c>
    </row>
    <row r="90" spans="1:6" s="1105" customFormat="1" ht="24">
      <c r="A90" s="1154">
        <v>30</v>
      </c>
      <c r="B90" s="3463"/>
      <c r="C90" s="1068" t="s">
        <v>1562</v>
      </c>
      <c r="D90" s="1068" t="s">
        <v>1563</v>
      </c>
      <c r="E90" s="1139">
        <v>0.2</v>
      </c>
      <c r="F90" s="1154">
        <v>30</v>
      </c>
    </row>
    <row r="91" spans="1:6" s="1105" customFormat="1" ht="36">
      <c r="A91" s="1154">
        <v>31</v>
      </c>
      <c r="B91" s="3463"/>
      <c r="C91" s="1068" t="s">
        <v>1564</v>
      </c>
      <c r="D91" s="1068" t="s">
        <v>1565</v>
      </c>
      <c r="E91" s="1139">
        <v>0.2</v>
      </c>
      <c r="F91" s="1154">
        <v>30</v>
      </c>
    </row>
    <row r="92" spans="1:6" s="1105" customFormat="1" ht="24">
      <c r="A92" s="1154">
        <v>32</v>
      </c>
      <c r="B92" s="3463" t="s">
        <v>1566</v>
      </c>
      <c r="C92" s="1154" t="s">
        <v>1567</v>
      </c>
      <c r="D92" s="1068" t="s">
        <v>1568</v>
      </c>
      <c r="E92" s="1139">
        <v>0.2</v>
      </c>
      <c r="F92" s="1154">
        <v>30</v>
      </c>
    </row>
    <row r="93" spans="1:6" s="1105" customFormat="1" ht="36">
      <c r="A93" s="1154">
        <v>33</v>
      </c>
      <c r="B93" s="3463"/>
      <c r="C93" s="1154" t="s">
        <v>1569</v>
      </c>
      <c r="D93" s="1068" t="s">
        <v>1570</v>
      </c>
      <c r="E93" s="1139">
        <v>0.2</v>
      </c>
      <c r="F93" s="1154">
        <v>30</v>
      </c>
    </row>
    <row r="94" spans="1:6" s="1105" customFormat="1" ht="48">
      <c r="A94" s="1154">
        <v>34</v>
      </c>
      <c r="B94" s="3463"/>
      <c r="C94" s="1154" t="s">
        <v>1571</v>
      </c>
      <c r="D94" s="1068" t="s">
        <v>1572</v>
      </c>
      <c r="E94" s="1139">
        <v>0.2</v>
      </c>
      <c r="F94" s="1154">
        <v>30</v>
      </c>
    </row>
    <row r="95" spans="1:6" s="1105" customFormat="1" ht="36">
      <c r="A95" s="1154">
        <v>35</v>
      </c>
      <c r="B95" s="3463"/>
      <c r="C95" s="1154" t="s">
        <v>1573</v>
      </c>
      <c r="D95" s="1068" t="s">
        <v>1574</v>
      </c>
      <c r="E95" s="1139">
        <v>0.2</v>
      </c>
      <c r="F95" s="1154">
        <v>30</v>
      </c>
    </row>
    <row r="96" spans="1:6" s="1105" customFormat="1" ht="48">
      <c r="A96" s="1154">
        <v>36</v>
      </c>
      <c r="B96" s="3463"/>
      <c r="C96" s="1068" t="s">
        <v>1575</v>
      </c>
      <c r="D96" s="1068" t="s">
        <v>1576</v>
      </c>
      <c r="E96" s="1139">
        <v>0.2</v>
      </c>
      <c r="F96" s="1154">
        <v>30</v>
      </c>
    </row>
    <row r="97" spans="1:6" s="1105" customFormat="1" ht="36">
      <c r="A97" s="1154">
        <v>37</v>
      </c>
      <c r="B97" s="3463"/>
      <c r="C97" s="1154" t="s">
        <v>1577</v>
      </c>
      <c r="D97" s="1068" t="s">
        <v>1578</v>
      </c>
      <c r="E97" s="1139">
        <v>0.2</v>
      </c>
      <c r="F97" s="1154">
        <v>30</v>
      </c>
    </row>
    <row r="98" spans="1:6" s="1105" customFormat="1" ht="36">
      <c r="A98" s="1154">
        <v>38</v>
      </c>
      <c r="B98" s="3463"/>
      <c r="C98" s="1154" t="s">
        <v>1579</v>
      </c>
      <c r="D98" s="1068" t="s">
        <v>1580</v>
      </c>
      <c r="E98" s="1139">
        <v>0.2</v>
      </c>
      <c r="F98" s="1154">
        <v>30</v>
      </c>
    </row>
    <row r="99" spans="1:6" s="1105" customFormat="1" ht="36">
      <c r="A99" s="1154">
        <v>39</v>
      </c>
      <c r="B99" s="3463" t="s">
        <v>1581</v>
      </c>
      <c r="C99" s="1154" t="s">
        <v>1582</v>
      </c>
      <c r="D99" s="1068" t="s">
        <v>1583</v>
      </c>
      <c r="E99" s="1139">
        <v>0.3</v>
      </c>
      <c r="F99" s="1154">
        <v>50</v>
      </c>
    </row>
    <row r="100" spans="1:6" s="1105" customFormat="1" ht="24">
      <c r="A100" s="1154">
        <v>40</v>
      </c>
      <c r="B100" s="3463"/>
      <c r="C100" s="1154" t="s">
        <v>1584</v>
      </c>
      <c r="D100" s="1068" t="s">
        <v>1585</v>
      </c>
      <c r="E100" s="1139">
        <v>0.2</v>
      </c>
      <c r="F100" s="1154">
        <v>30</v>
      </c>
    </row>
    <row r="101" spans="1:6" s="1105" customFormat="1" ht="36">
      <c r="A101" s="1154">
        <v>41</v>
      </c>
      <c r="B101" s="346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3" t="s">
        <v>1596</v>
      </c>
      <c r="C105" s="1154" t="s">
        <v>1597</v>
      </c>
      <c r="D105" s="1068" t="s">
        <v>1598</v>
      </c>
      <c r="E105" s="1139">
        <v>0.2</v>
      </c>
      <c r="F105" s="1154">
        <v>30</v>
      </c>
    </row>
    <row r="106" spans="1:6" s="1105" customFormat="1" ht="36">
      <c r="A106" s="1154">
        <v>46</v>
      </c>
      <c r="B106" s="3463"/>
      <c r="C106" s="1154" t="s">
        <v>1599</v>
      </c>
      <c r="D106" s="1068" t="s">
        <v>1600</v>
      </c>
      <c r="E106" s="1139">
        <v>0.2</v>
      </c>
      <c r="F106" s="1154">
        <v>30</v>
      </c>
    </row>
    <row r="107" spans="1:6" s="1105" customFormat="1" ht="36">
      <c r="A107" s="1154">
        <v>47</v>
      </c>
      <c r="B107" s="3463" t="s">
        <v>1601</v>
      </c>
      <c r="C107" s="1154" t="s">
        <v>1602</v>
      </c>
      <c r="D107" s="1068" t="s">
        <v>1603</v>
      </c>
      <c r="E107" s="1139">
        <v>0.3</v>
      </c>
      <c r="F107" s="1154">
        <v>50</v>
      </c>
    </row>
    <row r="108" spans="1:6" s="1105" customFormat="1" ht="36">
      <c r="A108" s="1154">
        <v>48</v>
      </c>
      <c r="B108" s="346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3" t="s">
        <v>1612</v>
      </c>
      <c r="C111" s="1154" t="s">
        <v>1613</v>
      </c>
      <c r="D111" s="1068" t="s">
        <v>1614</v>
      </c>
      <c r="E111" s="1139">
        <v>0.2</v>
      </c>
      <c r="F111" s="1154">
        <v>30</v>
      </c>
    </row>
    <row r="112" spans="1:6" s="1105" customFormat="1" ht="24">
      <c r="A112" s="1154">
        <v>52</v>
      </c>
      <c r="B112" s="3463"/>
      <c r="C112" s="1154" t="s">
        <v>1615</v>
      </c>
      <c r="D112" s="1068" t="s">
        <v>1616</v>
      </c>
      <c r="E112" s="1139">
        <v>0.2</v>
      </c>
      <c r="F112" s="1154">
        <v>30</v>
      </c>
    </row>
    <row r="113" spans="1:14" s="1105" customFormat="1" ht="24">
      <c r="A113" s="1154">
        <v>53</v>
      </c>
      <c r="B113" s="346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3" t="s">
        <v>1625</v>
      </c>
      <c r="C116" s="1154" t="s">
        <v>1626</v>
      </c>
      <c r="D116" s="1068" t="s">
        <v>1627</v>
      </c>
      <c r="E116" s="1139">
        <v>0.2</v>
      </c>
      <c r="F116" s="1154">
        <v>30</v>
      </c>
    </row>
    <row r="117" spans="1:14" ht="36">
      <c r="A117" s="1154">
        <v>57</v>
      </c>
      <c r="B117" s="346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2" t="s">
        <v>1634</v>
      </c>
      <c r="B121" s="3462"/>
      <c r="C121" s="3462"/>
      <c r="D121" s="3462"/>
      <c r="E121" s="3462"/>
      <c r="F121" s="3462"/>
      <c r="G121" s="3462"/>
      <c r="H121" s="3462"/>
      <c r="I121" s="3462"/>
      <c r="J121" s="34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0" t="s">
        <v>1040</v>
      </c>
      <c r="B1" s="3530"/>
      <c r="C1" s="3530"/>
      <c r="D1" s="3530"/>
      <c r="E1" s="3530"/>
      <c r="F1" s="353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1" t="s">
        <v>1053</v>
      </c>
      <c r="B2" s="3531"/>
      <c r="C2" s="3531"/>
      <c r="D2" s="3531"/>
      <c r="E2" s="3531"/>
      <c r="F2" s="353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SUMPRODUCT((B5:B9='基准地价-商业'!I2)*(C3:F3='基准地价-商业'!E2)*(C5:F9))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SUMPRODUCT((B10:B28='基准地价-商业'!I2)*(C3:F3='基准地价-商业'!E2)*(C10:F28))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SUMPRODUCT((B29:B48='基准地价-商业'!I2)*(C3:F3='基准地价-商业'!E2)*(C29:F48))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SUMPRODUCT((B49:B75='基准地价-商业'!I2)*(C3:F3='基准地价-商业'!E2)*(C49:F75))</f>
        <v>14720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SUMPRODUCT((B76:B109='基准地价-商业'!I2)*(C3:F3='基准地价-商业'!E2)*(C76:F109))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SUMPRODUCT((B110:B157='基准地价-商业'!I2)*(C3:F3='基准地价-商业'!E2)*(C110:F157))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SUMPRODUCT((B158:B205='基准地价-商业'!I2)*(C3:F3='基准地价-商业'!E2)*(C158:F205))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SUMPRODUCT((B206:B244='基准地价-商业'!I2)*(C3:F3='基准地价-商业'!E2)*(C206:F244))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SUMPRODUCT((B245:B289='基准地价-商业'!I2)*(C3:F3='基准地价-商业'!E2)*(C245:F289))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SUMPRODUCT((B290:B316='基准地价-商业'!I2)*(C3:F3='基准地价-商业'!E2)*(C290:F316))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SUMPRODUCT((B317:B337='基准地价-商业'!I2)*(C3:F3='基准地价-商业'!E2)*(C317:F337))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SUMPRODUCT((B338:B344='基准地价-商业'!I2)*(C3:F3='基准地价-商业'!E2)*(C338:F344))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SUMPRODUCT((A105:A204=ROUNDDOWN('基准地价-商业'!G3,1))*(B104:M104='基准地价-商业'!G2)*(B105:M204))</f>
        <v>0.81689999999999996</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34" t="s">
        <v>2080</v>
      </c>
      <c r="B1" s="353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2947</v>
      </c>
      <c r="B1" s="3081"/>
      <c r="C1" s="3081"/>
      <c r="D1" s="3081"/>
      <c r="E1" s="3081"/>
      <c r="F1" s="3081"/>
    </row>
    <row r="2" spans="1:6" ht="14.25">
      <c r="A2" s="3082" t="s">
        <v>2942</v>
      </c>
      <c r="B2" s="3083">
        <f ca="1">SUMIF(B7:B14,"&lt;&gt;#ref!",B7:B14)</f>
        <v>0</v>
      </c>
      <c r="C2" s="3082" t="s">
        <v>2943</v>
      </c>
      <c r="D2" s="3081"/>
      <c r="E2" s="3081"/>
      <c r="F2" s="3081"/>
    </row>
    <row r="3" spans="1:6" ht="14.25">
      <c r="A3" s="3082" t="s">
        <v>2975</v>
      </c>
      <c r="B3" s="3083" t="e">
        <f ca="1">ROUND(B2*10000/E3,0)</f>
        <v>#DIV/0!</v>
      </c>
      <c r="C3" s="3082" t="s">
        <v>2079</v>
      </c>
      <c r="D3" s="3082" t="s">
        <v>2944</v>
      </c>
      <c r="E3" s="3083">
        <f ca="1">SUMIF(E7:E14,"&lt;&gt;#ref!",E7:E14)</f>
        <v>0</v>
      </c>
      <c r="F3" s="3081"/>
    </row>
    <row r="4" spans="1:6" ht="14.25">
      <c r="A4" s="3082" t="s">
        <v>2951</v>
      </c>
      <c r="B4" s="3083" t="e">
        <f ca="1">ROUND(B2*10000/E4,0)</f>
        <v>#DIV/0!</v>
      </c>
      <c r="C4" s="3082" t="s">
        <v>2079</v>
      </c>
      <c r="D4" s="3082" t="s">
        <v>2952</v>
      </c>
      <c r="E4" s="3083">
        <f ca="1">SUMIF(F7:F14,"&lt;&gt;#ref!",F7:F14)</f>
        <v>0</v>
      </c>
      <c r="F4" s="3081"/>
    </row>
    <row r="5" spans="1:6" ht="14.25">
      <c r="A5" s="3084"/>
      <c r="B5" s="1881"/>
      <c r="C5" s="1881"/>
      <c r="D5" s="1881"/>
      <c r="E5" s="1881"/>
      <c r="F5" s="3081"/>
    </row>
    <row r="6" spans="1:6" ht="28.5">
      <c r="A6" s="3085" t="s">
        <v>2948</v>
      </c>
      <c r="B6" s="3082" t="s">
        <v>2945</v>
      </c>
      <c r="C6" s="3083"/>
      <c r="D6" s="1881"/>
      <c r="E6" s="3082" t="s">
        <v>2946</v>
      </c>
      <c r="F6" s="3082" t="s">
        <v>2950</v>
      </c>
    </row>
    <row r="7" spans="1:6" ht="14.25">
      <c r="A7" s="260" t="s">
        <v>2949</v>
      </c>
      <c r="B7" s="3086" t="e">
        <f ca="1">SUMIF(INDIRECT("'"&amp;A7&amp;"'"&amp;"!A:A"),"总价",INDIRECT("'"&amp;A7&amp;"'"&amp;"!B:B"))</f>
        <v>#REF!</v>
      </c>
      <c r="C7" s="3082" t="s">
        <v>2943</v>
      </c>
      <c r="D7" s="1881"/>
      <c r="E7" s="3087" t="e">
        <f ca="1">SUMIF(INDIRECT("'"&amp;A7&amp;"'"&amp;"!C:C"),"建筑面积",INDIRECT("'"&amp;A7&amp;"'"&amp;"!D:D"))</f>
        <v>#REF!</v>
      </c>
      <c r="F7" s="3087" t="e">
        <f ca="1">SUMIF(INDIRECT("'"&amp;A7&amp;"'"&amp;"!E:E"),"土地面积",INDIRECT("'"&amp;A7&amp;"'"&amp;"!F:F"))</f>
        <v>#REF!</v>
      </c>
    </row>
    <row r="8" spans="1:6" ht="14.25">
      <c r="A8" s="260"/>
      <c r="B8" s="3086" t="e">
        <f t="shared" ref="B8:B14" ca="1" si="0">SUMIF(INDIRECT("'"&amp;A8&amp;"'"&amp;"!A:A"),"总价",INDIRECT("'"&amp;A8&amp;"'"&amp;"!B:B"))</f>
        <v>#REF!</v>
      </c>
      <c r="C8" s="3082" t="s">
        <v>2943</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2943</v>
      </c>
      <c r="D9" s="1881"/>
      <c r="E9" s="3087" t="e">
        <f t="shared" ca="1" si="1"/>
        <v>#REF!</v>
      </c>
      <c r="F9" s="3087" t="e">
        <f t="shared" ca="1" si="2"/>
        <v>#REF!</v>
      </c>
    </row>
    <row r="10" spans="1:6" ht="14.25">
      <c r="A10" s="260"/>
      <c r="B10" s="3086" t="e">
        <f t="shared" ca="1" si="0"/>
        <v>#REF!</v>
      </c>
      <c r="C10" s="3082" t="s">
        <v>2943</v>
      </c>
      <c r="D10" s="1881"/>
      <c r="E10" s="3087" t="e">
        <f t="shared" ca="1" si="1"/>
        <v>#REF!</v>
      </c>
      <c r="F10" s="3087" t="e">
        <f t="shared" ca="1" si="2"/>
        <v>#REF!</v>
      </c>
    </row>
    <row r="11" spans="1:6" ht="14.25">
      <c r="A11" s="260"/>
      <c r="B11" s="3086" t="e">
        <f t="shared" ca="1" si="0"/>
        <v>#REF!</v>
      </c>
      <c r="C11" s="3082" t="s">
        <v>2943</v>
      </c>
      <c r="D11" s="1881"/>
      <c r="E11" s="3087" t="e">
        <f t="shared" ca="1" si="1"/>
        <v>#REF!</v>
      </c>
      <c r="F11" s="3087" t="e">
        <f t="shared" ca="1" si="2"/>
        <v>#REF!</v>
      </c>
    </row>
    <row r="12" spans="1:6" ht="14.25">
      <c r="A12" s="260"/>
      <c r="B12" s="3086" t="e">
        <f t="shared" ca="1" si="0"/>
        <v>#REF!</v>
      </c>
      <c r="C12" s="3082" t="s">
        <v>2943</v>
      </c>
      <c r="D12" s="1881"/>
      <c r="E12" s="3087" t="e">
        <f t="shared" ca="1" si="1"/>
        <v>#REF!</v>
      </c>
      <c r="F12" s="3087" t="e">
        <f t="shared" ca="1" si="2"/>
        <v>#REF!</v>
      </c>
    </row>
    <row r="13" spans="1:6" ht="14.25">
      <c r="A13" s="260"/>
      <c r="B13" s="3086" t="e">
        <f t="shared" ca="1" si="0"/>
        <v>#REF!</v>
      </c>
      <c r="C13" s="3082" t="s">
        <v>2943</v>
      </c>
      <c r="D13" s="1881"/>
      <c r="E13" s="3087" t="e">
        <f t="shared" ca="1" si="1"/>
        <v>#REF!</v>
      </c>
      <c r="F13" s="3087" t="e">
        <f t="shared" ca="1" si="2"/>
        <v>#REF!</v>
      </c>
    </row>
    <row r="14" spans="1:6" ht="14.25">
      <c r="A14" s="3080"/>
      <c r="B14" s="3086" t="e">
        <f t="shared" ca="1" si="0"/>
        <v>#REF!</v>
      </c>
      <c r="C14" s="3082" t="s">
        <v>2943</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78298.68平方米。根据《建设工程规划许可证》[]、《出让合同》[]，估价对象规划建筑面积为400500平方米。</v>
      </c>
    </row>
    <row r="7" spans="1:4" ht="56.25">
      <c r="A7" s="1795"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2027</v>
      </c>
    </row>
    <row r="11" spans="1:4" ht="18.75">
      <c r="A11" s="1780" t="str">
        <f>TEXT(项目基本情况!D3,"yyyy年m月d日;;")&amp;IF(项目基本情况!B3=项目基本情况!D3,"（评估专业人员勘察现场之日）","")</f>
        <v>2018年10月15日</v>
      </c>
    </row>
    <row r="12" spans="1:4" ht="18.75">
      <c r="A12" s="1797" t="s">
        <v>2026</v>
      </c>
    </row>
    <row r="13" spans="1:4" ht="18.75">
      <c r="A13" s="1791" t="s">
        <v>2939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根据《国有土地使用证》[]，估价对象（分摊）出让国有建设用地使用权面积为78298.68平方米。根据《建设工程规划许可证》[]、《出让合同》[]，估价对象规划建筑面积为400500平方米。</v>
      </c>
    </row>
    <row r="21" spans="1:1" ht="18.75">
      <c r="A21" s="1791" t="s">
        <v>2075</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1" t="str">
        <f>IF(项目基本情况!B16="出让","本次评估设定估价对象剩余土地使用年限为"&amp;项目基本情况!D20&amp;"。","")</f>
        <v/>
      </c>
    </row>
    <row r="24" spans="1:1" ht="18.75">
      <c r="A24" s="1791" t="s">
        <v>2076</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办公'!L4&amp;"、"&amp;'结果表-办公'!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69" t="s">
        <v>2464</v>
      </c>
      <c r="C8" s="1825">
        <f ca="1">ROUND(F8*F10*F9*(1-F11)/10000,0)</f>
        <v>0</v>
      </c>
      <c r="D8" s="1822" t="s">
        <v>2535</v>
      </c>
      <c r="E8" s="61" t="s">
        <v>637</v>
      </c>
      <c r="F8" s="785">
        <f ca="1">INDIRECT("'数据-取费表'!u"&amp;$G$1)</f>
        <v>0</v>
      </c>
      <c r="G8" s="1592"/>
      <c r="H8" s="2483" t="s">
        <v>1825</v>
      </c>
      <c r="I8" s="3469" t="s">
        <v>2464</v>
      </c>
      <c r="J8" s="783">
        <f ca="1">ROUND(M8*M10*M9*(1-M11)/10000,0)</f>
        <v>0</v>
      </c>
      <c r="K8" s="341" t="s">
        <v>2535</v>
      </c>
      <c r="L8" s="784" t="s">
        <v>1739</v>
      </c>
      <c r="M8" s="785">
        <f ca="1">INDIRECT("'数据-取费表'!z"&amp;$G$1)</f>
        <v>0</v>
      </c>
    </row>
    <row r="9" spans="1:25" ht="18" customHeight="1">
      <c r="A9" s="2479"/>
      <c r="B9" s="3470"/>
      <c r="C9" s="1826"/>
      <c r="D9" s="1823"/>
      <c r="E9" s="61" t="s">
        <v>638</v>
      </c>
      <c r="F9" s="785">
        <f ca="1">IF(INDIRECT("'数据-取费表'!ah"&amp;$G$1)="",INDIRECT("'数据-取费表'!k"&amp;$G$1),INDIRECT("'数据-取费表'!ah"&amp;$G$1))</f>
        <v>0</v>
      </c>
      <c r="G9" s="1592"/>
      <c r="H9" s="2468"/>
      <c r="I9" s="3470"/>
      <c r="J9" s="788"/>
      <c r="K9" s="789"/>
      <c r="L9" s="784" t="s">
        <v>1740</v>
      </c>
      <c r="M9" s="785">
        <f ca="1">F9</f>
        <v>0</v>
      </c>
    </row>
    <row r="10" spans="1:25" ht="18" customHeight="1">
      <c r="A10" s="2472"/>
      <c r="B10" s="3471"/>
      <c r="C10" s="1826"/>
      <c r="D10" s="1823"/>
      <c r="E10" s="61" t="s">
        <v>639</v>
      </c>
      <c r="F10" s="785">
        <f ca="1">INDIRECT("'数据-取费表'!ai"&amp;$G$1)</f>
        <v>0</v>
      </c>
      <c r="G10" s="1592"/>
      <c r="H10" s="2468"/>
      <c r="I10" s="3471"/>
      <c r="J10" s="788"/>
      <c r="K10" s="789"/>
      <c r="L10" s="784" t="s">
        <v>1741</v>
      </c>
      <c r="M10" s="785">
        <f ca="1">INDIRECT("'数据-取费表'!ai"&amp;$G$1)</f>
        <v>0</v>
      </c>
    </row>
    <row r="11" spans="1:25" ht="18" customHeight="1">
      <c r="A11" s="786"/>
      <c r="B11" s="3472"/>
      <c r="C11" s="1826"/>
      <c r="D11" s="1823"/>
      <c r="E11" s="61" t="s">
        <v>640</v>
      </c>
      <c r="F11" s="794">
        <f ca="1">INDIRECT("'数据-取费表'!w"&amp;$G$1)</f>
        <v>0</v>
      </c>
      <c r="G11" s="1592"/>
      <c r="H11" s="2484"/>
      <c r="I11" s="347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2972</v>
      </c>
      <c r="E12" s="2477" t="s">
        <v>2465</v>
      </c>
      <c r="F12" s="2600"/>
      <c r="G12" s="1592"/>
      <c r="H12" s="2540" t="s">
        <v>1826</v>
      </c>
      <c r="I12" s="2545" t="s">
        <v>2460</v>
      </c>
      <c r="J12" s="783">
        <f ca="1">ROUND(IF(M12="押一",J8/12*M13,IF(M12="押二",J8/12*2*M13,IF(M12="押三",J8/12*3*M13,J13*M13))),0)</f>
        <v>0</v>
      </c>
      <c r="K12" s="2480" t="s">
        <v>2972</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0.03</v>
      </c>
      <c r="G22" s="1593"/>
      <c r="H22" s="1832" t="s">
        <v>1851</v>
      </c>
      <c r="I22" s="1822" t="s">
        <v>668</v>
      </c>
      <c r="J22" s="54">
        <f ca="1">ROUND(M22*M23/10000,0)</f>
        <v>0</v>
      </c>
      <c r="K22" s="814" t="s">
        <v>669</v>
      </c>
      <c r="L22" s="784" t="s">
        <v>670</v>
      </c>
      <c r="M22" s="640">
        <f>'数据-取费表'!B52</f>
        <v>12</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7" t="s">
        <v>2822</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2823</v>
      </c>
      <c r="C31" s="2523">
        <f ca="1">ROUND((C21+C22+C25+C28)/(1-F23-C26-C29-C30),0)</f>
        <v>0</v>
      </c>
      <c r="D31" s="2524"/>
      <c r="E31" s="2525"/>
      <c r="F31" s="2526"/>
      <c r="G31" s="1593"/>
      <c r="H31" s="823" t="s">
        <v>1873</v>
      </c>
      <c r="I31" s="2988"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12</v>
      </c>
      <c r="G36" s="2062"/>
      <c r="H36" s="2065"/>
      <c r="I36" s="3535"/>
      <c r="J36" s="2079"/>
      <c r="K36" s="2080"/>
      <c r="L36" s="2079"/>
      <c r="M36" s="2079"/>
    </row>
    <row r="37" spans="1:18" ht="18" customHeight="1">
      <c r="A37" s="815"/>
      <c r="B37" s="793"/>
      <c r="C37" s="69"/>
      <c r="D37" s="816"/>
      <c r="E37" s="784" t="s">
        <v>674</v>
      </c>
      <c r="F37" s="785">
        <f ca="1">INDIRECT("'数据-取费表'!r"&amp;$G$1)</f>
        <v>0</v>
      </c>
      <c r="G37" s="2062"/>
      <c r="H37" s="2065"/>
      <c r="I37" s="3535"/>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2960</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6" t="str">
        <f ca="1">IF(M48="住宅",0,IF(L49&gt;J52,L61,J61))</f>
        <v>0</v>
      </c>
      <c r="O47" s="2373" t="s">
        <v>2411</v>
      </c>
      <c r="P47" s="1592"/>
      <c r="Q47" s="1604"/>
      <c r="R47" s="1592"/>
    </row>
    <row r="48" spans="1:18" s="2059" customFormat="1" ht="18" customHeight="1" thickBot="1">
      <c r="A48" s="2084"/>
      <c r="C48" s="2087"/>
      <c r="D48" s="2088"/>
      <c r="E48" s="2088"/>
      <c r="F48" s="2089"/>
      <c r="G48" s="2090"/>
      <c r="I48" s="3126" t="s">
        <v>2345</v>
      </c>
      <c r="J48" s="2360"/>
      <c r="K48" s="3133" t="s">
        <v>2350</v>
      </c>
      <c r="L48" s="3137">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4"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5"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30">
        <f>SUMPRODUCT((I64:I66=J48)*(J63:L63=J49)*(J64:L66))</f>
        <v>0</v>
      </c>
      <c r="K51" s="3135" t="s">
        <v>2354</v>
      </c>
      <c r="L51" s="2363"/>
      <c r="O51" s="2380" t="s">
        <v>2384</v>
      </c>
      <c r="P51" s="2378" t="s">
        <v>2408</v>
      </c>
      <c r="Q51" s="2379">
        <f ca="1">C31</f>
        <v>0</v>
      </c>
      <c r="R51" s="2378" t="s">
        <v>2381</v>
      </c>
    </row>
    <row r="52" spans="1:18" s="2059" customFormat="1" ht="18" customHeight="1" thickBot="1">
      <c r="A52" s="2096"/>
      <c r="F52" s="2085"/>
      <c r="I52" s="3127" t="s">
        <v>2349</v>
      </c>
      <c r="J52" s="3131">
        <f>IF(J50="",J51,J50+J51-YEAR('数据-取费表'!B3))</f>
        <v>0</v>
      </c>
      <c r="K52" s="3102" t="s">
        <v>2355</v>
      </c>
      <c r="L52" s="3138">
        <f ca="1">ROUND(-PV(INDIRECT("'数据-取费表'!h"&amp;$G$1),L49,(C40-C14*J36),0),0)</f>
        <v>0</v>
      </c>
      <c r="O52" s="2380" t="s">
        <v>2385</v>
      </c>
      <c r="P52" s="2378" t="s">
        <v>2386</v>
      </c>
      <c r="Q52" s="2381" t="e">
        <f ca="1">J59</f>
        <v>#VALUE!</v>
      </c>
      <c r="R52" s="2382"/>
    </row>
    <row r="53" spans="1:18" s="2059" customFormat="1" ht="18" customHeight="1" thickBot="1">
      <c r="A53" s="2096"/>
      <c r="F53" s="2085"/>
      <c r="I53" s="3128" t="s">
        <v>2422</v>
      </c>
      <c r="J53" s="2364"/>
      <c r="K53" s="3128" t="s">
        <v>2421</v>
      </c>
      <c r="L53" s="2364"/>
      <c r="O53" s="2380" t="s">
        <v>2387</v>
      </c>
      <c r="P53" s="2378" t="s">
        <v>2388</v>
      </c>
      <c r="Q53" s="2381">
        <f>J53</f>
        <v>0</v>
      </c>
      <c r="R53" s="2382"/>
    </row>
    <row r="54" spans="1:18" s="2059" customFormat="1" ht="29.25" thickBot="1">
      <c r="A54" s="2096"/>
      <c r="I54" s="3129" t="s">
        <v>2976</v>
      </c>
      <c r="J54" s="3132">
        <f ca="1">IF(M48="住宅",MAX(J52,L49-'数据-取费表'!B20),MIN(J52,L49-'数据-取费表'!B20))</f>
        <v>-2</v>
      </c>
      <c r="K54" s="3536"/>
      <c r="L54" s="3537"/>
      <c r="O54" s="2380" t="s">
        <v>2389</v>
      </c>
      <c r="P54" s="2378" t="s">
        <v>2390</v>
      </c>
      <c r="Q54" s="2379">
        <f ca="1">J54</f>
        <v>-2</v>
      </c>
      <c r="R54" s="2378" t="s">
        <v>2391</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7" t="s">
        <v>2392</v>
      </c>
      <c r="P55" s="2378" t="s">
        <v>2409</v>
      </c>
      <c r="Q55" s="2379">
        <f ca="1">Q49+Q50</f>
        <v>0</v>
      </c>
      <c r="R55" s="2382" t="s">
        <v>2393</v>
      </c>
    </row>
    <row r="56" spans="1:18" s="2059" customFormat="1" ht="16.5" thickBot="1">
      <c r="A56" s="2096"/>
      <c r="B56" s="2097"/>
      <c r="C56" s="2097"/>
      <c r="I56" s="3141" t="s">
        <v>2356</v>
      </c>
      <c r="J56" s="3077" t="e">
        <f ca="1">ROUND(IF(J48="钢混",J58/J51,1-(1-2%)*(J51-J58)/J51),3)</f>
        <v>#VALUE!</v>
      </c>
      <c r="K56" s="3142" t="s">
        <v>2357</v>
      </c>
      <c r="L56" s="2365"/>
      <c r="O56" s="2383" t="s">
        <v>2412</v>
      </c>
      <c r="P56" s="1592"/>
      <c r="Q56" s="1604"/>
      <c r="R56" s="1592"/>
    </row>
    <row r="57" spans="1:18" s="2059" customFormat="1" ht="43.5" thickBot="1">
      <c r="A57" s="2096"/>
      <c r="B57" s="2097"/>
      <c r="C57" s="2097"/>
      <c r="I57" s="3143" t="s">
        <v>2358</v>
      </c>
      <c r="J57" s="3153"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4" t="s">
        <v>2359</v>
      </c>
      <c r="J58" s="3145"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4"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4" t="s">
        <v>2361</v>
      </c>
      <c r="J60" s="3145"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6" t="s">
        <v>2362</v>
      </c>
      <c r="J61" s="3147" t="str">
        <f ca="1">IF(OR(M48="住宅",J52&lt;L49,J57="是"),"0",ROUND(J60/(1+J53)^J54,0))</f>
        <v>0</v>
      </c>
      <c r="K61" s="3148" t="s">
        <v>2367</v>
      </c>
      <c r="L61" s="3147"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9" t="s">
        <v>2368</v>
      </c>
      <c r="J63" s="3150" t="s">
        <v>2369</v>
      </c>
      <c r="K63" s="3150" t="s">
        <v>2370</v>
      </c>
      <c r="L63" s="3150" t="s">
        <v>2351</v>
      </c>
      <c r="M63" s="3151" t="s">
        <v>2940</v>
      </c>
      <c r="O63" s="2380" t="s">
        <v>2389</v>
      </c>
      <c r="P63" s="2378" t="s">
        <v>2397</v>
      </c>
      <c r="Q63" s="2379">
        <f ca="1">L60</f>
        <v>0</v>
      </c>
      <c r="R63" s="2382" t="s">
        <v>2398</v>
      </c>
    </row>
    <row r="64" spans="1:18" s="2059" customFormat="1" ht="15.75" thickBot="1">
      <c r="A64" s="2096"/>
      <c r="B64" s="2097"/>
      <c r="C64" s="2097"/>
      <c r="I64" s="3149" t="s">
        <v>2371</v>
      </c>
      <c r="J64" s="3150">
        <v>70</v>
      </c>
      <c r="K64" s="3150">
        <v>50</v>
      </c>
      <c r="L64" s="3150">
        <v>80</v>
      </c>
      <c r="M64" s="3152">
        <v>0.02</v>
      </c>
      <c r="O64" s="2377" t="s">
        <v>2392</v>
      </c>
      <c r="P64" s="2378" t="s">
        <v>2409</v>
      </c>
      <c r="Q64" s="2379" t="e">
        <f ca="1">Q58+Q59</f>
        <v>#DIV/0!</v>
      </c>
      <c r="R64" s="2382" t="s">
        <v>2393</v>
      </c>
    </row>
    <row r="65" spans="1:18" s="2059" customFormat="1" ht="16.5" thickBot="1">
      <c r="A65" s="2096"/>
      <c r="B65" s="2097"/>
      <c r="C65" s="2097"/>
      <c r="I65" s="3149" t="s">
        <v>2372</v>
      </c>
      <c r="J65" s="3150">
        <v>50</v>
      </c>
      <c r="K65" s="3150">
        <v>35</v>
      </c>
      <c r="L65" s="3150">
        <v>60</v>
      </c>
      <c r="M65" s="846">
        <v>0</v>
      </c>
      <c r="O65" s="2383" t="s">
        <v>2416</v>
      </c>
      <c r="P65" s="1592"/>
      <c r="Q65" s="1604"/>
      <c r="R65" s="1592"/>
    </row>
    <row r="66" spans="1:18" s="2059" customFormat="1" ht="15.75" thickBot="1">
      <c r="A66" s="2096"/>
      <c r="B66" s="2097"/>
      <c r="C66" s="2097"/>
      <c r="I66" s="3149" t="s">
        <v>2373</v>
      </c>
      <c r="J66" s="3150">
        <v>40</v>
      </c>
      <c r="K66" s="3150">
        <v>30</v>
      </c>
      <c r="L66" s="3150">
        <v>50</v>
      </c>
      <c r="M66" s="3152">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8" t="s">
        <v>2472</v>
      </c>
      <c r="B1" s="3539"/>
      <c r="C1" s="3540"/>
      <c r="D1" s="3541">
        <f>SUM(I10,I15,I20,I21,I23)</f>
        <v>0</v>
      </c>
      <c r="E1" s="3541"/>
      <c r="F1" s="3541"/>
      <c r="G1" s="3541"/>
      <c r="H1" s="3541"/>
      <c r="I1" s="3542"/>
    </row>
    <row r="2" spans="1:9">
      <c r="A2" s="3543" t="s">
        <v>2473</v>
      </c>
      <c r="B2" s="3544" t="s">
        <v>2474</v>
      </c>
      <c r="C2" s="3544"/>
      <c r="D2" s="2486" t="s">
        <v>2475</v>
      </c>
      <c r="E2" s="2486" t="s">
        <v>2476</v>
      </c>
      <c r="F2" s="2486" t="s">
        <v>2477</v>
      </c>
      <c r="G2" s="2486" t="s">
        <v>2478</v>
      </c>
      <c r="H2" s="2486" t="s">
        <v>2479</v>
      </c>
      <c r="I2" s="2487" t="s">
        <v>2480</v>
      </c>
    </row>
    <row r="3" spans="1:9">
      <c r="A3" s="3543"/>
      <c r="B3" s="3544" t="s">
        <v>2481</v>
      </c>
      <c r="C3" s="3544"/>
      <c r="D3" s="2488"/>
      <c r="E3" s="2486"/>
      <c r="F3" s="2489"/>
      <c r="G3" s="2489"/>
      <c r="H3" s="2490"/>
      <c r="I3" s="2491">
        <f>ROUND(D3*E3*F3*G3*H3/10000,0)</f>
        <v>0</v>
      </c>
    </row>
    <row r="4" spans="1:9">
      <c r="A4" s="3543"/>
      <c r="B4" s="3544" t="s">
        <v>2482</v>
      </c>
      <c r="C4" s="3544"/>
      <c r="D4" s="2488"/>
      <c r="E4" s="2486"/>
      <c r="F4" s="2489"/>
      <c r="G4" s="2489"/>
      <c r="H4" s="2490"/>
      <c r="I4" s="2491">
        <f t="shared" ref="I4:I9" si="0">ROUND(D4*E4*F4*G4*H4/10000,0)</f>
        <v>0</v>
      </c>
    </row>
    <row r="5" spans="1:9">
      <c r="A5" s="3543"/>
      <c r="B5" s="3544" t="s">
        <v>2483</v>
      </c>
      <c r="C5" s="3544"/>
      <c r="D5" s="2488"/>
      <c r="E5" s="2486"/>
      <c r="F5" s="2489"/>
      <c r="G5" s="2489"/>
      <c r="H5" s="2490"/>
      <c r="I5" s="2491">
        <f t="shared" si="0"/>
        <v>0</v>
      </c>
    </row>
    <row r="6" spans="1:9">
      <c r="A6" s="3543"/>
      <c r="B6" s="3544" t="s">
        <v>2484</v>
      </c>
      <c r="C6" s="3544"/>
      <c r="D6" s="2488"/>
      <c r="E6" s="2486"/>
      <c r="F6" s="2489"/>
      <c r="G6" s="2489"/>
      <c r="H6" s="2490"/>
      <c r="I6" s="2491">
        <f t="shared" si="0"/>
        <v>0</v>
      </c>
    </row>
    <row r="7" spans="1:9">
      <c r="A7" s="3543"/>
      <c r="B7" s="3544" t="s">
        <v>2485</v>
      </c>
      <c r="C7" s="3544"/>
      <c r="D7" s="2488"/>
      <c r="E7" s="2486"/>
      <c r="F7" s="2489"/>
      <c r="G7" s="2489"/>
      <c r="H7" s="2490"/>
      <c r="I7" s="2491">
        <f t="shared" si="0"/>
        <v>0</v>
      </c>
    </row>
    <row r="8" spans="1:9">
      <c r="A8" s="3543"/>
      <c r="B8" s="3544" t="s">
        <v>2486</v>
      </c>
      <c r="C8" s="3544"/>
      <c r="D8" s="2488"/>
      <c r="E8" s="2486"/>
      <c r="F8" s="2489"/>
      <c r="G8" s="2489"/>
      <c r="H8" s="2490"/>
      <c r="I8" s="2491">
        <f t="shared" si="0"/>
        <v>0</v>
      </c>
    </row>
    <row r="9" spans="1:9">
      <c r="A9" s="3543"/>
      <c r="B9" s="3544" t="s">
        <v>2487</v>
      </c>
      <c r="C9" s="3544"/>
      <c r="D9" s="2488"/>
      <c r="E9" s="2486"/>
      <c r="F9" s="2489"/>
      <c r="G9" s="2489"/>
      <c r="H9" s="2490"/>
      <c r="I9" s="2491">
        <f t="shared" si="0"/>
        <v>0</v>
      </c>
    </row>
    <row r="10" spans="1:9">
      <c r="A10" s="3543"/>
      <c r="B10" s="3545" t="s">
        <v>2488</v>
      </c>
      <c r="C10" s="3545"/>
      <c r="D10" s="2492">
        <v>527</v>
      </c>
      <c r="E10" s="2492" t="e">
        <f>ROUND(D1*10000/D10/H9,0)</f>
        <v>#DIV/0!</v>
      </c>
      <c r="F10" s="2493"/>
      <c r="G10" s="2493"/>
      <c r="H10" s="2494"/>
      <c r="I10" s="2495">
        <f>SUM(I3:I9)</f>
        <v>0</v>
      </c>
    </row>
    <row r="11" spans="1:9" ht="14.25">
      <c r="A11" s="3543" t="s">
        <v>2489</v>
      </c>
      <c r="B11" s="3544" t="s">
        <v>2490</v>
      </c>
      <c r="C11" s="3544"/>
      <c r="D11" s="2488" t="s">
        <v>2491</v>
      </c>
      <c r="E11" s="2488" t="s">
        <v>2492</v>
      </c>
      <c r="F11" s="2489" t="s">
        <v>2493</v>
      </c>
      <c r="G11" s="2489" t="s">
        <v>2494</v>
      </c>
      <c r="H11" s="2496" t="s">
        <v>2495</v>
      </c>
      <c r="I11" s="2487" t="s">
        <v>2496</v>
      </c>
    </row>
    <row r="12" spans="1:9">
      <c r="A12" s="3543"/>
      <c r="B12" s="3544" t="s">
        <v>2497</v>
      </c>
      <c r="C12" s="3544"/>
      <c r="D12" s="2488"/>
      <c r="E12" s="2488"/>
      <c r="F12" s="2489"/>
      <c r="G12" s="2490"/>
      <c r="H12" s="2497"/>
      <c r="I12" s="2487">
        <f>ROUND(D12*E12*F12*G12/10000,0)</f>
        <v>0</v>
      </c>
    </row>
    <row r="13" spans="1:9">
      <c r="A13" s="3543"/>
      <c r="B13" s="3544" t="s">
        <v>2498</v>
      </c>
      <c r="C13" s="3544"/>
      <c r="D13" s="2488"/>
      <c r="E13" s="2488"/>
      <c r="F13" s="2489"/>
      <c r="G13" s="2490"/>
      <c r="H13" s="2497"/>
      <c r="I13" s="2487">
        <f>ROUND(D13*E13*F13*G13/10000,0)</f>
        <v>0</v>
      </c>
    </row>
    <row r="14" spans="1:9">
      <c r="A14" s="3543"/>
      <c r="B14" s="3544" t="s">
        <v>2499</v>
      </c>
      <c r="C14" s="3544"/>
      <c r="D14" s="2488"/>
      <c r="E14" s="2488"/>
      <c r="F14" s="2489"/>
      <c r="G14" s="2490"/>
      <c r="H14" s="2497"/>
      <c r="I14" s="2487">
        <f>ROUND(D14*E14*F14*G14/10000,0)</f>
        <v>0</v>
      </c>
    </row>
    <row r="15" spans="1:9">
      <c r="A15" s="3543"/>
      <c r="B15" s="3545" t="s">
        <v>2488</v>
      </c>
      <c r="C15" s="3545"/>
      <c r="D15" s="2492"/>
      <c r="E15" s="2492">
        <f>SUM(E12:E14)</f>
        <v>0</v>
      </c>
      <c r="F15" s="2493"/>
      <c r="G15" s="2490"/>
      <c r="H15" s="2497"/>
      <c r="I15" s="2498">
        <f>SUM(I12:I14)</f>
        <v>0</v>
      </c>
    </row>
    <row r="16" spans="1:9" ht="24">
      <c r="A16" s="3543" t="s">
        <v>2500</v>
      </c>
      <c r="B16" s="3544" t="s">
        <v>2501</v>
      </c>
      <c r="C16" s="3544"/>
      <c r="D16" s="2488" t="s">
        <v>2502</v>
      </c>
      <c r="E16" s="2499" t="s">
        <v>2503</v>
      </c>
      <c r="F16" s="2489" t="s">
        <v>2504</v>
      </c>
      <c r="G16" s="2490" t="s">
        <v>2494</v>
      </c>
      <c r="H16" s="2496" t="s">
        <v>2495</v>
      </c>
      <c r="I16" s="2487" t="s">
        <v>2496</v>
      </c>
    </row>
    <row r="17" spans="1:9" ht="14.25">
      <c r="A17" s="3543"/>
      <c r="B17" s="3544" t="s">
        <v>2505</v>
      </c>
      <c r="C17" s="3544"/>
      <c r="D17" s="2488"/>
      <c r="E17" s="2488"/>
      <c r="F17" s="2489"/>
      <c r="G17" s="2490"/>
      <c r="H17" s="2500"/>
      <c r="I17" s="2501">
        <f>ROUND(D17*E17*F17*G17/10000,0)</f>
        <v>0</v>
      </c>
    </row>
    <row r="18" spans="1:9" ht="14.25">
      <c r="A18" s="3543"/>
      <c r="B18" s="3544" t="s">
        <v>2506</v>
      </c>
      <c r="C18" s="3544"/>
      <c r="D18" s="2488"/>
      <c r="E18" s="2488"/>
      <c r="F18" s="2489"/>
      <c r="G18" s="2490"/>
      <c r="H18" s="2500"/>
      <c r="I18" s="2501">
        <f>ROUND(D18*E18*F18*G18/10000,0)</f>
        <v>0</v>
      </c>
    </row>
    <row r="19" spans="1:9" ht="14.25">
      <c r="A19" s="3543"/>
      <c r="B19" s="3544" t="s">
        <v>2507</v>
      </c>
      <c r="C19" s="3544"/>
      <c r="D19" s="2488"/>
      <c r="E19" s="2488"/>
      <c r="F19" s="2489"/>
      <c r="G19" s="2490"/>
      <c r="H19" s="2500"/>
      <c r="I19" s="2501">
        <f>ROUND(D19*E19*F19*G19/10000,0)</f>
        <v>0</v>
      </c>
    </row>
    <row r="20" spans="1:9">
      <c r="A20" s="3543"/>
      <c r="B20" s="3545" t="s">
        <v>2488</v>
      </c>
      <c r="C20" s="3545"/>
      <c r="D20" s="2492">
        <f>SUM(D17:D19)</f>
        <v>0</v>
      </c>
      <c r="E20" s="2492"/>
      <c r="F20" s="2493"/>
      <c r="G20" s="2490"/>
      <c r="H20" s="2497"/>
      <c r="I20" s="2498">
        <f>SUM(I17:I19)</f>
        <v>0</v>
      </c>
    </row>
    <row r="21" spans="1:9">
      <c r="A21" s="3543" t="s">
        <v>2508</v>
      </c>
      <c r="B21" s="3547"/>
      <c r="C21" s="3547"/>
      <c r="D21" s="3547"/>
      <c r="E21" s="3547"/>
      <c r="F21" s="3547"/>
      <c r="G21" s="3547"/>
      <c r="H21" s="2502">
        <v>0.1</v>
      </c>
      <c r="I21" s="2495">
        <f>ROUND(I10*H21,0)</f>
        <v>0</v>
      </c>
    </row>
    <row r="22" spans="1:9" ht="14.25">
      <c r="A22" s="3548" t="s">
        <v>2509</v>
      </c>
      <c r="B22" s="3549"/>
      <c r="C22" s="3550"/>
      <c r="D22" s="2503" t="s">
        <v>2510</v>
      </c>
      <c r="E22" s="2503" t="s">
        <v>2511</v>
      </c>
      <c r="F22" s="2504" t="s">
        <v>2512</v>
      </c>
      <c r="G22" s="2504" t="s">
        <v>2513</v>
      </c>
      <c r="H22" s="2496" t="s">
        <v>2514</v>
      </c>
      <c r="I22" s="2487" t="s">
        <v>2515</v>
      </c>
    </row>
    <row r="23" spans="1:9" ht="14.25" thickBot="1">
      <c r="A23" s="3551"/>
      <c r="B23" s="3552"/>
      <c r="C23" s="3553"/>
      <c r="D23" s="2505"/>
      <c r="E23" s="2505"/>
      <c r="F23" s="2505"/>
      <c r="G23" s="2506"/>
      <c r="H23" s="2507"/>
      <c r="I23" s="2508">
        <f>ROUND(E23*D23*F23*(1-G23)/10000,0)</f>
        <v>0</v>
      </c>
    </row>
    <row r="26" spans="1:9">
      <c r="A26" s="2509" t="s">
        <v>2516</v>
      </c>
      <c r="B26" s="2509"/>
      <c r="C26" s="2509"/>
      <c r="D26" s="2509"/>
      <c r="E26" s="3554">
        <f>C27-C30-C31-C32</f>
        <v>0</v>
      </c>
      <c r="F26" s="3554"/>
      <c r="G26" s="3554"/>
      <c r="H26" s="3020" t="s">
        <v>2842</v>
      </c>
    </row>
    <row r="27" spans="1:9">
      <c r="A27" s="2510">
        <v>1</v>
      </c>
      <c r="B27" s="2511" t="s">
        <v>2517</v>
      </c>
      <c r="C27" s="2511"/>
      <c r="D27" s="2511"/>
      <c r="E27" s="3555"/>
      <c r="F27" s="3555"/>
      <c r="G27" s="3555"/>
    </row>
    <row r="28" spans="1:9">
      <c r="A28" s="2512" t="s">
        <v>2518</v>
      </c>
      <c r="B28" s="2511" t="s">
        <v>2519</v>
      </c>
      <c r="C28" s="2511"/>
      <c r="D28" s="2511"/>
      <c r="E28" s="3555"/>
      <c r="F28" s="3555"/>
      <c r="G28" s="355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546"/>
      <c r="F32" s="3546"/>
      <c r="G32" s="3546"/>
    </row>
    <row r="33" spans="1:7" hidden="1">
      <c r="A33" s="3556" t="s">
        <v>2527</v>
      </c>
      <c r="B33" s="3557"/>
      <c r="C33" s="3557"/>
      <c r="D33" s="3558"/>
      <c r="E33" s="3554"/>
      <c r="F33" s="3554"/>
      <c r="G33" s="3554"/>
    </row>
    <row r="34" spans="1:7" hidden="1">
      <c r="A34" s="2514">
        <v>1</v>
      </c>
      <c r="B34" s="2511" t="s">
        <v>2528</v>
      </c>
      <c r="C34" s="2511"/>
      <c r="D34" s="2511"/>
      <c r="E34" s="3555"/>
      <c r="F34" s="3555"/>
      <c r="G34" s="3555"/>
    </row>
    <row r="35" spans="1:7" hidden="1">
      <c r="A35" s="2514">
        <v>2</v>
      </c>
      <c r="B35" s="2511" t="s">
        <v>2529</v>
      </c>
      <c r="C35" s="2511"/>
      <c r="D35" s="2511"/>
      <c r="E35" s="3555"/>
      <c r="F35" s="3555"/>
      <c r="G35" s="3555"/>
    </row>
    <row r="36" spans="1:7" hidden="1">
      <c r="A36" s="2514">
        <v>3</v>
      </c>
      <c r="B36" s="2511" t="s">
        <v>2530</v>
      </c>
      <c r="C36" s="2511"/>
      <c r="D36" s="2511"/>
      <c r="E36" s="3555"/>
      <c r="F36" s="3555"/>
      <c r="G36" s="3555"/>
    </row>
    <row r="37" spans="1:7" hidden="1">
      <c r="A37" s="2514">
        <v>4</v>
      </c>
      <c r="B37" s="2511" t="s">
        <v>2531</v>
      </c>
      <c r="C37" s="2511"/>
      <c r="D37" s="2511"/>
      <c r="E37" s="3555"/>
      <c r="F37" s="3555"/>
      <c r="G37" s="3555"/>
    </row>
    <row r="38" spans="1:7" hidden="1">
      <c r="A38" s="3556" t="s">
        <v>2532</v>
      </c>
      <c r="B38" s="3557"/>
      <c r="C38" s="3557"/>
      <c r="D38" s="3558"/>
      <c r="E38" s="3554"/>
      <c r="F38" s="3554"/>
      <c r="G38" s="35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400500</v>
      </c>
      <c r="E10" s="749">
        <f>'数据-取费表'!B31</f>
        <v>140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0</v>
      </c>
      <c r="E12" s="757">
        <f>'数据-取费表'!B27</f>
        <v>160</v>
      </c>
      <c r="F12" s="755"/>
      <c r="G12" s="759"/>
    </row>
    <row r="13" spans="1:25" s="2183" customFormat="1" ht="13.5" customHeight="1">
      <c r="A13" s="2455" t="s">
        <v>2448</v>
      </c>
      <c r="B13" s="756" t="s">
        <v>612</v>
      </c>
      <c r="C13" s="757">
        <f>ROUND(D13*E13/10000,0)</f>
        <v>8010</v>
      </c>
      <c r="D13" s="758">
        <f>'数据-汇总表'!E6</f>
        <v>400500</v>
      </c>
      <c r="E13" s="757">
        <f>'数据-取费表'!B28</f>
        <v>200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0.84499999999999997</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c r="E1" s="2605"/>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86" t="s">
        <v>522</v>
      </c>
      <c r="D4" s="3487"/>
      <c r="E4" s="3488" t="s">
        <v>523</v>
      </c>
      <c r="F4" s="3489"/>
      <c r="G4" s="3486" t="s">
        <v>524</v>
      </c>
      <c r="H4" s="3487"/>
      <c r="I4" s="3486" t="s">
        <v>525</v>
      </c>
      <c r="J4" s="3487"/>
      <c r="K4" s="853"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483" t="s">
        <v>524</v>
      </c>
      <c r="AC4" s="3483" t="s">
        <v>525</v>
      </c>
    </row>
    <row r="5" spans="1:29" ht="15">
      <c r="A5" s="515"/>
      <c r="B5" s="516"/>
      <c r="C5" s="3510" t="s">
        <v>2926</v>
      </c>
      <c r="D5" s="3506"/>
      <c r="E5" s="3524" t="s">
        <v>2927</v>
      </c>
      <c r="F5" s="3514"/>
      <c r="G5" s="3510" t="s">
        <v>2928</v>
      </c>
      <c r="H5" s="3506"/>
      <c r="I5" s="3510" t="s">
        <v>2929</v>
      </c>
      <c r="J5" s="3506"/>
      <c r="K5" s="85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85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507" t="s">
        <v>530</v>
      </c>
      <c r="Q7" s="3509"/>
      <c r="R7" s="1568" t="s">
        <v>13</v>
      </c>
      <c r="S7" s="1569">
        <f t="shared" ref="S7:S15" si="0">F7</f>
        <v>0</v>
      </c>
      <c r="T7" s="1568" t="s">
        <v>13</v>
      </c>
      <c r="U7" s="1569">
        <f t="shared" ref="U7:U15" si="1">H7</f>
        <v>0</v>
      </c>
      <c r="V7" s="1568" t="s">
        <v>13</v>
      </c>
      <c r="W7" s="1569">
        <f t="shared" ref="W7:W15"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507" t="s">
        <v>533</v>
      </c>
      <c r="Q8" s="3508"/>
      <c r="R8" s="1568" t="s">
        <v>13</v>
      </c>
      <c r="S8" s="1569">
        <f t="shared" si="0"/>
        <v>0</v>
      </c>
      <c r="T8" s="1568" t="s">
        <v>13</v>
      </c>
      <c r="U8" s="1569">
        <f t="shared" si="1"/>
        <v>0</v>
      </c>
      <c r="V8" s="1568" t="s">
        <v>13</v>
      </c>
      <c r="W8" s="1569">
        <f t="shared" si="2"/>
        <v>0</v>
      </c>
      <c r="X8" s="1570"/>
      <c r="Y8" s="3507" t="s">
        <v>533</v>
      </c>
      <c r="Z8" s="3508"/>
      <c r="AA8" s="1571" t="e">
        <f t="shared" ref="AA8:AA46" si="3">D8/F8</f>
        <v>#DIV/0!</v>
      </c>
      <c r="AB8" s="1571" t="e">
        <f t="shared" ref="AB8:AB46" si="4">D8/H8</f>
        <v>#DIV/0!</v>
      </c>
      <c r="AC8" s="1571" t="e">
        <f t="shared" ref="AC8:AC46" si="5">D8/J8</f>
        <v>#DIV/0!</v>
      </c>
    </row>
    <row r="9" spans="1:29" s="1219"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73"/>
      <c r="Q11" s="1151" t="str">
        <f t="shared" si="6"/>
        <v>容积率</v>
      </c>
      <c r="R11" s="1568" t="s">
        <v>11</v>
      </c>
      <c r="S11" s="1569" t="e">
        <f t="shared" si="0"/>
        <v>#N/A</v>
      </c>
      <c r="T11" s="1568" t="s">
        <v>11</v>
      </c>
      <c r="U11" s="1569" t="e">
        <f t="shared" si="1"/>
        <v>#N/A</v>
      </c>
      <c r="V11" s="1568" t="s">
        <v>11</v>
      </c>
      <c r="W11" s="1569" t="e">
        <f t="shared" si="2"/>
        <v>#N/A</v>
      </c>
      <c r="X11" s="1570"/>
      <c r="Y11" s="3434"/>
      <c r="Z11" s="1150" t="str">
        <f t="shared" si="7"/>
        <v>容积率</v>
      </c>
      <c r="AA11" s="1571" t="e">
        <f t="shared" si="3"/>
        <v>#N/A</v>
      </c>
      <c r="AB11" s="1571" t="e">
        <f t="shared" si="4"/>
        <v>#N/A</v>
      </c>
      <c r="AC11" s="1571" t="e">
        <f t="shared" si="5"/>
        <v>#N/A</v>
      </c>
    </row>
    <row r="12" spans="1:29" s="1219"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73"/>
      <c r="Q12" s="1151">
        <f t="shared" si="6"/>
        <v>111</v>
      </c>
      <c r="R12" s="1568" t="s">
        <v>11</v>
      </c>
      <c r="S12" s="1569">
        <f t="shared" si="0"/>
        <v>100</v>
      </c>
      <c r="T12" s="1568" t="s">
        <v>11</v>
      </c>
      <c r="U12" s="1569">
        <f t="shared" si="1"/>
        <v>100</v>
      </c>
      <c r="V12" s="1568" t="s">
        <v>11</v>
      </c>
      <c r="W12" s="1569">
        <f t="shared" si="2"/>
        <v>100</v>
      </c>
      <c r="X12" s="1570"/>
      <c r="Y12" s="3434"/>
      <c r="Z12" s="1150">
        <f t="shared" si="7"/>
        <v>111</v>
      </c>
      <c r="AA12" s="1571">
        <f>D12/F12</f>
        <v>1</v>
      </c>
      <c r="AB12" s="1571">
        <f>D12/H12</f>
        <v>1</v>
      </c>
      <c r="AC12" s="1571">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73"/>
      <c r="Q13" s="1151">
        <f t="shared" si="6"/>
        <v>111</v>
      </c>
      <c r="R13" s="1568" t="s">
        <v>11</v>
      </c>
      <c r="S13" s="1569">
        <f t="shared" si="0"/>
        <v>100</v>
      </c>
      <c r="T13" s="1568" t="s">
        <v>11</v>
      </c>
      <c r="U13" s="1569">
        <f t="shared" si="1"/>
        <v>100</v>
      </c>
      <c r="V13" s="1568" t="s">
        <v>11</v>
      </c>
      <c r="W13" s="1569">
        <f t="shared" si="2"/>
        <v>100</v>
      </c>
      <c r="X13" s="1570"/>
      <c r="Y13" s="3434"/>
      <c r="Z13" s="1150">
        <f t="shared" si="7"/>
        <v>111</v>
      </c>
      <c r="AA13" s="1571">
        <f t="shared" si="3"/>
        <v>1</v>
      </c>
      <c r="AB13" s="1571">
        <f t="shared" si="4"/>
        <v>1</v>
      </c>
      <c r="AC13" s="1571">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73"/>
      <c r="Q14" s="1151">
        <f t="shared" si="6"/>
        <v>111</v>
      </c>
      <c r="R14" s="1568" t="s">
        <v>11</v>
      </c>
      <c r="S14" s="1569">
        <f t="shared" si="0"/>
        <v>100</v>
      </c>
      <c r="T14" s="1568" t="s">
        <v>11</v>
      </c>
      <c r="U14" s="1569">
        <f t="shared" si="1"/>
        <v>100</v>
      </c>
      <c r="V14" s="1568" t="s">
        <v>11</v>
      </c>
      <c r="W14" s="1569">
        <f t="shared" si="2"/>
        <v>100</v>
      </c>
      <c r="X14" s="1570"/>
      <c r="Y14" s="3434"/>
      <c r="Z14" s="1150">
        <f t="shared" si="7"/>
        <v>111</v>
      </c>
      <c r="AA14" s="1571">
        <f t="shared" si="3"/>
        <v>1</v>
      </c>
      <c r="AB14" s="1571">
        <f t="shared" si="4"/>
        <v>1</v>
      </c>
      <c r="AC14" s="1571">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78" t="s">
        <v>540</v>
      </c>
      <c r="Q15" s="1572" t="str">
        <f t="shared" si="6"/>
        <v>居住社区成熟度</v>
      </c>
      <c r="R15" s="1573" t="s">
        <v>11</v>
      </c>
      <c r="S15" s="1574">
        <f t="shared" si="0"/>
        <v>100</v>
      </c>
      <c r="T15" s="1573" t="s">
        <v>11</v>
      </c>
      <c r="U15" s="1574">
        <f t="shared" si="1"/>
        <v>100</v>
      </c>
      <c r="V15" s="1573" t="s">
        <v>11</v>
      </c>
      <c r="W15" s="1574">
        <f t="shared" si="2"/>
        <v>100</v>
      </c>
      <c r="X15" s="1567"/>
      <c r="Y15" s="3478"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79"/>
      <c r="Q16" s="1572"/>
      <c r="R16" s="1573"/>
      <c r="S16" s="1574"/>
      <c r="T16" s="1573"/>
      <c r="U16" s="1574"/>
      <c r="V16" s="1573"/>
      <c r="W16" s="1574"/>
      <c r="X16" s="1567"/>
      <c r="Y16" s="3479"/>
      <c r="Z16" s="1575"/>
      <c r="AA16" s="1576">
        <v>1</v>
      </c>
      <c r="AB16" s="1576">
        <v>1</v>
      </c>
      <c r="AC16" s="1576">
        <v>1</v>
      </c>
    </row>
    <row r="17" spans="1:29" ht="156.75">
      <c r="A17" s="532"/>
      <c r="B17" s="871" t="s">
        <v>296</v>
      </c>
      <c r="C17" s="872" t="str">
        <f>估价对象房地状况!C6</f>
        <v>估价对象周边有445路、516路、659路、983路等多条公交线路经过，距14号线地铁（将台站）约300米，道路状况较好、公共交通通达情况较好、综合评价交通便捷度较好。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79"/>
      <c r="Q17" s="1572" t="str">
        <f>B17</f>
        <v>交通便捷度</v>
      </c>
      <c r="R17" s="1573" t="s">
        <v>11</v>
      </c>
      <c r="S17" s="1574">
        <f>F17</f>
        <v>100</v>
      </c>
      <c r="T17" s="1573" t="s">
        <v>11</v>
      </c>
      <c r="U17" s="1574">
        <f>H17</f>
        <v>100</v>
      </c>
      <c r="V17" s="1573" t="s">
        <v>11</v>
      </c>
      <c r="W17" s="1574">
        <f>J17</f>
        <v>100</v>
      </c>
      <c r="X17" s="1567"/>
      <c r="Y17" s="34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79" t="s">
        <v>2547</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79"/>
      <c r="Q19" s="1572" t="str">
        <f>B19</f>
        <v>公共配套设施</v>
      </c>
      <c r="R19" s="1573" t="s">
        <v>11</v>
      </c>
      <c r="S19" s="1574">
        <f>F19</f>
        <v>100</v>
      </c>
      <c r="T19" s="1573" t="s">
        <v>11</v>
      </c>
      <c r="U19" s="1574">
        <f>H19</f>
        <v>100</v>
      </c>
      <c r="V19" s="1573" t="s">
        <v>11</v>
      </c>
      <c r="W19" s="1574">
        <f>J19</f>
        <v>100</v>
      </c>
      <c r="X19" s="1567"/>
      <c r="Y19" s="347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79"/>
      <c r="Q20" s="1572"/>
      <c r="R20" s="1573"/>
      <c r="S20" s="1574"/>
      <c r="T20" s="1573"/>
      <c r="U20" s="1574"/>
      <c r="V20" s="1573"/>
      <c r="W20" s="1574"/>
      <c r="X20" s="1567"/>
      <c r="Y20" s="3479"/>
      <c r="Z20" s="1575"/>
      <c r="AA20" s="1576">
        <v>1</v>
      </c>
      <c r="AB20" s="1576">
        <v>1</v>
      </c>
      <c r="AC20" s="1576">
        <v>1</v>
      </c>
    </row>
    <row r="21" spans="1:29" ht="42.75">
      <c r="A21" s="532"/>
      <c r="B21" s="2572" t="s">
        <v>2559</v>
      </c>
      <c r="C21" s="872" t="str">
        <f>估价对象房地状况!C8</f>
        <v>估价对象所在区域基础设施水平达到三通一平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79"/>
      <c r="Q21" s="2558" t="str">
        <f>B21</f>
        <v>基础设施水平</v>
      </c>
      <c r="R21" s="1573" t="s">
        <v>11</v>
      </c>
      <c r="S21" s="1574">
        <f>F21</f>
        <v>100</v>
      </c>
      <c r="T21" s="1573" t="s">
        <v>11</v>
      </c>
      <c r="U21" s="1574">
        <f>H21</f>
        <v>100</v>
      </c>
      <c r="V21" s="1573" t="s">
        <v>11</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479"/>
      <c r="Q22" s="2558"/>
      <c r="R22" s="1573"/>
      <c r="S22" s="1574"/>
      <c r="T22" s="1573"/>
      <c r="U22" s="1574"/>
      <c r="V22" s="1573"/>
      <c r="W22" s="1574"/>
      <c r="X22" s="2560"/>
      <c r="Y22" s="3479"/>
      <c r="Z22" s="2559"/>
      <c r="AA22" s="1576">
        <v>1</v>
      </c>
      <c r="AB22" s="1576">
        <v>1</v>
      </c>
      <c r="AC22" s="1576">
        <v>1</v>
      </c>
    </row>
    <row r="23" spans="1:29" ht="57">
      <c r="A23" s="532"/>
      <c r="B23" s="871" t="s">
        <v>297</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79"/>
      <c r="Q23" s="1572" t="str">
        <f>B23</f>
        <v>自然及人文环境</v>
      </c>
      <c r="R23" s="1573" t="s">
        <v>11</v>
      </c>
      <c r="S23" s="1574">
        <f>F23</f>
        <v>100</v>
      </c>
      <c r="T23" s="1573" t="s">
        <v>11</v>
      </c>
      <c r="U23" s="1574">
        <f>H23</f>
        <v>100</v>
      </c>
      <c r="V23" s="1573" t="s">
        <v>11</v>
      </c>
      <c r="W23" s="1574">
        <f>J23</f>
        <v>100</v>
      </c>
      <c r="X23" s="1567"/>
      <c r="Y23" s="347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79"/>
      <c r="Q25" s="1572" t="str">
        <f t="shared" ref="Q25:Q46" si="11">B25</f>
        <v>楼层-1</v>
      </c>
      <c r="R25" s="1573" t="s">
        <v>11</v>
      </c>
      <c r="S25" s="1574">
        <f>F25</f>
        <v>100</v>
      </c>
      <c r="T25" s="1573" t="s">
        <v>11</v>
      </c>
      <c r="U25" s="1574">
        <f>H25</f>
        <v>100</v>
      </c>
      <c r="V25" s="1573" t="s">
        <v>11</v>
      </c>
      <c r="W25" s="1574">
        <f>J25</f>
        <v>100</v>
      </c>
      <c r="X25" s="1567"/>
      <c r="Y25" s="347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79"/>
      <c r="Q26" s="1572" t="str">
        <f t="shared" si="11"/>
        <v>朝向</v>
      </c>
      <c r="R26" s="1573" t="s">
        <v>11</v>
      </c>
      <c r="S26" s="1574">
        <f>F26</f>
        <v>100</v>
      </c>
      <c r="T26" s="1573" t="s">
        <v>11</v>
      </c>
      <c r="U26" s="1574">
        <f>H26</f>
        <v>100</v>
      </c>
      <c r="V26" s="1573" t="s">
        <v>11</v>
      </c>
      <c r="W26" s="1574">
        <f>J26</f>
        <v>100</v>
      </c>
      <c r="X26" s="1567"/>
      <c r="Y26" s="3479"/>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79"/>
      <c r="Q27" s="1151" t="str">
        <f t="shared" si="11"/>
        <v>道路级别</v>
      </c>
      <c r="R27" s="1568" t="s">
        <v>11</v>
      </c>
      <c r="S27" s="1569">
        <f>F27</f>
        <v>100</v>
      </c>
      <c r="T27" s="1568" t="s">
        <v>11</v>
      </c>
      <c r="U27" s="1569">
        <f>H27</f>
        <v>100</v>
      </c>
      <c r="V27" s="1568" t="s">
        <v>11</v>
      </c>
      <c r="W27" s="1569">
        <f>J27</f>
        <v>100</v>
      </c>
      <c r="X27" s="1570"/>
      <c r="Y27" s="347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7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79"/>
      <c r="Q29" s="1572">
        <f t="shared" si="11"/>
        <v>111</v>
      </c>
      <c r="R29" s="1573" t="s">
        <v>11</v>
      </c>
      <c r="S29" s="1574">
        <f t="shared" si="12"/>
        <v>100</v>
      </c>
      <c r="T29" s="1573" t="s">
        <v>11</v>
      </c>
      <c r="U29" s="1574">
        <f t="shared" si="13"/>
        <v>100</v>
      </c>
      <c r="V29" s="1573" t="s">
        <v>11</v>
      </c>
      <c r="W29" s="1574">
        <f t="shared" si="14"/>
        <v>100</v>
      </c>
      <c r="X29" s="1567"/>
      <c r="Y29" s="347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79"/>
      <c r="Q30" s="1572">
        <f t="shared" si="11"/>
        <v>111</v>
      </c>
      <c r="R30" s="1573" t="s">
        <v>11</v>
      </c>
      <c r="S30" s="1574">
        <f t="shared" si="12"/>
        <v>100</v>
      </c>
      <c r="T30" s="1573" t="s">
        <v>11</v>
      </c>
      <c r="U30" s="1574">
        <f t="shared" si="13"/>
        <v>100</v>
      </c>
      <c r="V30" s="1573" t="s">
        <v>11</v>
      </c>
      <c r="W30" s="1574">
        <f t="shared" si="14"/>
        <v>100</v>
      </c>
      <c r="X30" s="1567"/>
      <c r="Y30" s="347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79"/>
      <c r="Q31" s="1572">
        <f t="shared" si="11"/>
        <v>111</v>
      </c>
      <c r="R31" s="1573" t="s">
        <v>11</v>
      </c>
      <c r="S31" s="1574">
        <f t="shared" si="12"/>
        <v>100</v>
      </c>
      <c r="T31" s="1573" t="s">
        <v>11</v>
      </c>
      <c r="U31" s="1574">
        <f t="shared" si="13"/>
        <v>100</v>
      </c>
      <c r="V31" s="1573" t="s">
        <v>11</v>
      </c>
      <c r="W31" s="1574">
        <f t="shared" si="14"/>
        <v>100</v>
      </c>
      <c r="X31" s="1567"/>
      <c r="Y31" s="3479"/>
      <c r="Z31" s="1575">
        <f t="shared" si="15"/>
        <v>111</v>
      </c>
      <c r="AA31" s="1576">
        <f t="shared" si="3"/>
        <v>1</v>
      </c>
      <c r="AB31" s="1576">
        <f t="shared" si="4"/>
        <v>1</v>
      </c>
      <c r="AC31" s="1576">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80" t="s">
        <v>550</v>
      </c>
      <c r="Q32" s="1572" t="str">
        <f t="shared" si="11"/>
        <v>建筑类型</v>
      </c>
      <c r="R32" s="1573" t="s">
        <v>11</v>
      </c>
      <c r="S32" s="1574">
        <f t="shared" si="12"/>
        <v>100</v>
      </c>
      <c r="T32" s="1573" t="s">
        <v>11</v>
      </c>
      <c r="U32" s="1574">
        <f t="shared" si="13"/>
        <v>100</v>
      </c>
      <c r="V32" s="1573" t="s">
        <v>11</v>
      </c>
      <c r="W32" s="1574">
        <f t="shared" si="14"/>
        <v>100</v>
      </c>
      <c r="X32" s="1567"/>
      <c r="Y32" s="3481" t="s">
        <v>550</v>
      </c>
      <c r="Z32" s="1575" t="str">
        <f t="shared" si="15"/>
        <v>建筑类型</v>
      </c>
      <c r="AA32" s="1576">
        <f t="shared" si="3"/>
        <v>1</v>
      </c>
      <c r="AB32" s="1576">
        <f t="shared" si="4"/>
        <v>1</v>
      </c>
      <c r="AC32" s="1576">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81"/>
      <c r="Q33" s="1605" t="str">
        <f t="shared" si="11"/>
        <v>项目建筑规模</v>
      </c>
      <c r="R33" s="1577" t="s">
        <v>11</v>
      </c>
      <c r="S33" s="1578" t="e">
        <f t="shared" si="12"/>
        <v>#N/A</v>
      </c>
      <c r="T33" s="1577" t="s">
        <v>11</v>
      </c>
      <c r="U33" s="1578" t="e">
        <f t="shared" si="13"/>
        <v>#N/A</v>
      </c>
      <c r="V33" s="1577" t="s">
        <v>11</v>
      </c>
      <c r="W33" s="1578" t="e">
        <f t="shared" si="14"/>
        <v>#N/A</v>
      </c>
      <c r="X33" s="1579"/>
      <c r="Y33" s="348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81"/>
      <c r="Q34" s="1572" t="str">
        <f t="shared" si="11"/>
        <v>建筑结构</v>
      </c>
      <c r="R34" s="1573" t="s">
        <v>11</v>
      </c>
      <c r="S34" s="1574">
        <f t="shared" si="12"/>
        <v>100</v>
      </c>
      <c r="T34" s="1573" t="s">
        <v>11</v>
      </c>
      <c r="U34" s="1574">
        <f t="shared" si="13"/>
        <v>100</v>
      </c>
      <c r="V34" s="1573" t="s">
        <v>11</v>
      </c>
      <c r="W34" s="1574">
        <f t="shared" si="14"/>
        <v>100</v>
      </c>
      <c r="X34" s="1567"/>
      <c r="Y34" s="3481"/>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81"/>
      <c r="Q35" s="1572" t="str">
        <f t="shared" si="11"/>
        <v>建筑品质</v>
      </c>
      <c r="R35" s="1573" t="s">
        <v>11</v>
      </c>
      <c r="S35" s="1574">
        <f t="shared" si="12"/>
        <v>100</v>
      </c>
      <c r="T35" s="1573" t="s">
        <v>11</v>
      </c>
      <c r="U35" s="1574">
        <f t="shared" si="13"/>
        <v>100</v>
      </c>
      <c r="V35" s="1573" t="s">
        <v>11</v>
      </c>
      <c r="W35" s="1574">
        <f t="shared" si="14"/>
        <v>100</v>
      </c>
      <c r="X35" s="1567"/>
      <c r="Y35" s="3481"/>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81"/>
      <c r="Q36" s="1572" t="str">
        <f t="shared" si="11"/>
        <v>公共部分装修</v>
      </c>
      <c r="R36" s="1573" t="s">
        <v>11</v>
      </c>
      <c r="S36" s="1574">
        <f t="shared" si="12"/>
        <v>100</v>
      </c>
      <c r="T36" s="1573" t="s">
        <v>11</v>
      </c>
      <c r="U36" s="1574">
        <f t="shared" si="13"/>
        <v>100</v>
      </c>
      <c r="V36" s="1573" t="s">
        <v>11</v>
      </c>
      <c r="W36" s="1574">
        <f t="shared" si="14"/>
        <v>100</v>
      </c>
      <c r="X36" s="1567"/>
      <c r="Y36" s="3481"/>
      <c r="Z36" s="1575" t="str">
        <f t="shared" si="15"/>
        <v>公共部分装修</v>
      </c>
      <c r="AA36" s="1576">
        <f t="shared" si="3"/>
        <v>1</v>
      </c>
      <c r="AB36" s="1576">
        <f t="shared" si="4"/>
        <v>1</v>
      </c>
      <c r="AC36" s="1576">
        <f t="shared" si="5"/>
        <v>1</v>
      </c>
    </row>
    <row r="37" spans="1:29" s="1219"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81"/>
      <c r="Q37" s="1151" t="str">
        <f t="shared" si="11"/>
        <v>成新度</v>
      </c>
      <c r="R37" s="1568" t="s">
        <v>11</v>
      </c>
      <c r="S37" s="1569" t="e">
        <f t="shared" si="12"/>
        <v>#N/A</v>
      </c>
      <c r="T37" s="1568" t="s">
        <v>11</v>
      </c>
      <c r="U37" s="1569" t="e">
        <f t="shared" si="13"/>
        <v>#N/A</v>
      </c>
      <c r="V37" s="1568" t="s">
        <v>11</v>
      </c>
      <c r="W37" s="1569" t="e">
        <f t="shared" si="14"/>
        <v>#N/A</v>
      </c>
      <c r="X37" s="1570"/>
      <c r="Y37" s="3481"/>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81" t="s">
        <v>550</v>
      </c>
      <c r="Q38" s="1572" t="str">
        <f t="shared" si="11"/>
        <v>物业管理</v>
      </c>
      <c r="R38" s="1573" t="s">
        <v>11</v>
      </c>
      <c r="S38" s="1574">
        <f t="shared" si="12"/>
        <v>100</v>
      </c>
      <c r="T38" s="1573" t="s">
        <v>11</v>
      </c>
      <c r="U38" s="1574">
        <f t="shared" si="13"/>
        <v>100</v>
      </c>
      <c r="V38" s="1573" t="s">
        <v>11</v>
      </c>
      <c r="W38" s="1574">
        <f t="shared" si="14"/>
        <v>100</v>
      </c>
      <c r="X38" s="1567"/>
      <c r="Y38" s="3481"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81"/>
      <c r="Q39" s="1572" t="str">
        <f t="shared" si="11"/>
        <v>市政基础设施</v>
      </c>
      <c r="R39" s="1573" t="s">
        <v>11</v>
      </c>
      <c r="S39" s="1574">
        <f t="shared" si="12"/>
        <v>100</v>
      </c>
      <c r="T39" s="1573" t="s">
        <v>11</v>
      </c>
      <c r="U39" s="1574">
        <f t="shared" si="13"/>
        <v>100</v>
      </c>
      <c r="V39" s="1573" t="s">
        <v>11</v>
      </c>
      <c r="W39" s="1574">
        <f t="shared" si="14"/>
        <v>100</v>
      </c>
      <c r="X39" s="1567"/>
      <c r="Y39" s="348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81"/>
      <c r="Q40" s="1572" t="str">
        <f t="shared" si="11"/>
        <v>房型</v>
      </c>
      <c r="R40" s="1573" t="s">
        <v>11</v>
      </c>
      <c r="S40" s="1574">
        <f t="shared" si="12"/>
        <v>100</v>
      </c>
      <c r="T40" s="1573" t="s">
        <v>11</v>
      </c>
      <c r="U40" s="1574">
        <f t="shared" si="13"/>
        <v>100</v>
      </c>
      <c r="V40" s="1573" t="s">
        <v>11</v>
      </c>
      <c r="W40" s="1574">
        <f t="shared" si="14"/>
        <v>100</v>
      </c>
      <c r="X40" s="1567"/>
      <c r="Y40" s="3481"/>
      <c r="Z40" s="1575" t="str">
        <f t="shared" si="15"/>
        <v>房型</v>
      </c>
      <c r="AA40" s="1576">
        <f t="shared" si="3"/>
        <v>1</v>
      </c>
      <c r="AB40" s="1576">
        <f t="shared" si="4"/>
        <v>1</v>
      </c>
      <c r="AC40" s="1576">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81"/>
      <c r="Q41" s="1605" t="str">
        <f t="shared" si="11"/>
        <v>单套/主力户型建筑面积</v>
      </c>
      <c r="R41" s="1577" t="s">
        <v>11</v>
      </c>
      <c r="S41" s="1578">
        <f t="shared" si="12"/>
        <v>100</v>
      </c>
      <c r="T41" s="1577" t="s">
        <v>11</v>
      </c>
      <c r="U41" s="1578">
        <f t="shared" si="13"/>
        <v>100</v>
      </c>
      <c r="V41" s="1577" t="s">
        <v>11</v>
      </c>
      <c r="W41" s="1578">
        <f t="shared" si="14"/>
        <v>100</v>
      </c>
      <c r="X41" s="1579"/>
      <c r="Y41" s="3481"/>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81"/>
      <c r="Q42" s="1572" t="str">
        <f t="shared" si="11"/>
        <v>内部装修</v>
      </c>
      <c r="R42" s="1573" t="s">
        <v>11</v>
      </c>
      <c r="S42" s="1574">
        <f t="shared" si="12"/>
        <v>100</v>
      </c>
      <c r="T42" s="1573" t="s">
        <v>11</v>
      </c>
      <c r="U42" s="1574">
        <f t="shared" si="13"/>
        <v>100</v>
      </c>
      <c r="V42" s="1573" t="s">
        <v>11</v>
      </c>
      <c r="W42" s="1574">
        <f t="shared" si="14"/>
        <v>100</v>
      </c>
      <c r="X42" s="1567"/>
      <c r="Y42" s="3481"/>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81"/>
      <c r="Q43" s="1572" t="str">
        <f t="shared" si="11"/>
        <v>内部装修维护情况</v>
      </c>
      <c r="R43" s="1573" t="s">
        <v>11</v>
      </c>
      <c r="S43" s="1574">
        <f t="shared" si="12"/>
        <v>100</v>
      </c>
      <c r="T43" s="1573" t="s">
        <v>11</v>
      </c>
      <c r="U43" s="1574">
        <f t="shared" si="13"/>
        <v>100</v>
      </c>
      <c r="V43" s="1573" t="s">
        <v>11</v>
      </c>
      <c r="W43" s="1574">
        <f t="shared" si="14"/>
        <v>100</v>
      </c>
      <c r="X43" s="1567"/>
      <c r="Y43" s="3481"/>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81"/>
      <c r="Q44" s="1151">
        <f t="shared" si="11"/>
        <v>111</v>
      </c>
      <c r="R44" s="1568" t="s">
        <v>11</v>
      </c>
      <c r="S44" s="1569">
        <f t="shared" si="12"/>
        <v>100</v>
      </c>
      <c r="T44" s="1568" t="s">
        <v>11</v>
      </c>
      <c r="U44" s="1569">
        <f t="shared" si="13"/>
        <v>100</v>
      </c>
      <c r="V44" s="1568" t="s">
        <v>11</v>
      </c>
      <c r="W44" s="1569">
        <f t="shared" si="14"/>
        <v>100</v>
      </c>
      <c r="X44" s="1570"/>
      <c r="Y44" s="348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1"/>
      <c r="Q45" s="1572">
        <f t="shared" si="11"/>
        <v>111</v>
      </c>
      <c r="R45" s="1573" t="s">
        <v>11</v>
      </c>
      <c r="S45" s="1574">
        <f t="shared" si="12"/>
        <v>100</v>
      </c>
      <c r="T45" s="1573" t="s">
        <v>11</v>
      </c>
      <c r="U45" s="1574">
        <f t="shared" si="13"/>
        <v>100</v>
      </c>
      <c r="V45" s="1573" t="s">
        <v>11</v>
      </c>
      <c r="W45" s="1574">
        <f t="shared" si="14"/>
        <v>100</v>
      </c>
      <c r="X45" s="1567"/>
      <c r="Y45" s="348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2"/>
      <c r="Q46" s="1572">
        <f t="shared" si="11"/>
        <v>111</v>
      </c>
      <c r="R46" s="1573" t="s">
        <v>10</v>
      </c>
      <c r="S46" s="1574">
        <f t="shared" si="12"/>
        <v>100</v>
      </c>
      <c r="T46" s="1573" t="s">
        <v>10</v>
      </c>
      <c r="U46" s="1574">
        <f t="shared" si="13"/>
        <v>100</v>
      </c>
      <c r="V46" s="1573" t="s">
        <v>10</v>
      </c>
      <c r="W46" s="1574">
        <f t="shared" si="14"/>
        <v>100</v>
      </c>
      <c r="X46" s="1567"/>
      <c r="Y46" s="3482"/>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473" t="str">
        <f>A47</f>
        <v>成交单价（元/平方米）</v>
      </c>
      <c r="Q47" s="3473"/>
      <c r="R47" s="3474">
        <f>E47</f>
        <v>0</v>
      </c>
      <c r="S47" s="3474"/>
      <c r="T47" s="3474">
        <f>G47</f>
        <v>0</v>
      </c>
      <c r="U47" s="3474"/>
      <c r="V47" s="3474">
        <f>I47</f>
        <v>0</v>
      </c>
      <c r="W47" s="3474"/>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473" t="str">
        <f>A48</f>
        <v>比较价格（元/平方米）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9"/>
      <c r="Y48" s="1559"/>
      <c r="Z48" s="1559"/>
      <c r="AA48" s="1559"/>
      <c r="AB48" s="1559"/>
      <c r="AC48" s="1559"/>
    </row>
    <row r="49" spans="1:29" ht="15.75" thickBot="1">
      <c r="A49" s="621" t="s">
        <v>2932</v>
      </c>
      <c r="B49" s="622"/>
      <c r="C49" s="2615" t="e">
        <f>R49</f>
        <v>#DIV/0!</v>
      </c>
      <c r="D49" s="2615"/>
      <c r="E49" s="2615"/>
      <c r="F49" s="2615"/>
      <c r="G49" s="2615"/>
      <c r="H49" s="2615"/>
      <c r="I49" s="2615"/>
      <c r="J49" s="2615"/>
      <c r="K49" s="1608"/>
      <c r="L49" s="2144"/>
      <c r="M49" s="2145"/>
      <c r="N49" s="2145"/>
      <c r="O49" s="2145"/>
      <c r="P49" s="3475" t="str">
        <f>A49</f>
        <v>估价对象XX用房的比较价格（楼面单价，元/平方米）</v>
      </c>
      <c r="Q49" s="3476"/>
      <c r="R49" s="3477" t="e">
        <f>IF(F1="售价",ROUND(AVERAGE(R48:V48),0),ROUND(AVERAGE(R48:V48),1))</f>
        <v>#DIV/0!</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3" t="str">
        <f>YEAR(C7)&amp;"-"&amp;MONTH(C7)</f>
        <v>2018-10</v>
      </c>
      <c r="D58" s="2783">
        <f>EDATE(C58,-1)</f>
        <v>43344</v>
      </c>
      <c r="E58" s="2783">
        <f t="shared" ref="E58:O58" si="16">EDATE(D58,-1)</f>
        <v>43313</v>
      </c>
      <c r="F58" s="2783">
        <f t="shared" si="16"/>
        <v>43282</v>
      </c>
      <c r="G58" s="2783">
        <f t="shared" si="16"/>
        <v>43252</v>
      </c>
      <c r="H58" s="2783">
        <f t="shared" si="16"/>
        <v>43221</v>
      </c>
      <c r="I58" s="2783">
        <f t="shared" si="16"/>
        <v>43191</v>
      </c>
      <c r="J58" s="2783">
        <f t="shared" si="16"/>
        <v>43160</v>
      </c>
      <c r="K58" s="2783">
        <f t="shared" si="16"/>
        <v>43132</v>
      </c>
      <c r="L58" s="2783">
        <f t="shared" si="16"/>
        <v>43101</v>
      </c>
      <c r="M58" s="2783">
        <f t="shared" si="16"/>
        <v>43070</v>
      </c>
      <c r="N58" s="2783">
        <f t="shared" si="16"/>
        <v>43040</v>
      </c>
      <c r="O58" s="2783">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3014</v>
      </c>
      <c r="E1" s="1804" t="s">
        <v>2058</v>
      </c>
      <c r="F1" s="1806" t="s">
        <v>3015</v>
      </c>
      <c r="G1" s="311"/>
      <c r="H1" s="311"/>
      <c r="I1" s="311"/>
      <c r="J1" s="2028"/>
      <c r="K1" s="2028"/>
      <c r="L1" s="2028"/>
      <c r="M1" s="2028"/>
      <c r="N1" s="2028"/>
      <c r="O1" s="2028"/>
      <c r="P1" s="2028"/>
      <c r="Q1" s="2028"/>
      <c r="R1" s="2028"/>
      <c r="S1" s="2028"/>
      <c r="T1" s="2028"/>
      <c r="U1" s="2028"/>
      <c r="V1" s="2028"/>
    </row>
    <row r="2" spans="1:22" ht="21.75" customHeight="1" thickBot="1">
      <c r="A2" s="3443" t="str">
        <f>项目基本情况!K2</f>
        <v>北京市国有建设用地使用权</v>
      </c>
      <c r="B2" s="3444"/>
      <c r="C2" s="3445"/>
      <c r="D2" s="3445"/>
      <c r="E2" s="3445"/>
      <c r="F2" s="3445"/>
      <c r="G2" s="3444"/>
      <c r="H2" s="3444"/>
      <c r="I2" s="3446"/>
      <c r="J2" s="2029"/>
      <c r="K2" s="2028"/>
      <c r="L2" s="2028"/>
      <c r="M2" s="2028"/>
      <c r="N2" s="2028"/>
      <c r="O2" s="2028"/>
      <c r="P2" s="2028"/>
      <c r="Q2" s="2028"/>
      <c r="R2" s="2028"/>
      <c r="S2" s="2028"/>
      <c r="T2" s="2028"/>
      <c r="U2" s="2028"/>
      <c r="V2" s="2028"/>
    </row>
    <row r="3" spans="1:22" ht="14.25">
      <c r="A3" s="3447" t="s">
        <v>298</v>
      </c>
      <c r="B3" s="3448"/>
      <c r="C3" s="3448"/>
      <c r="D3" s="3448"/>
      <c r="E3" s="3448"/>
      <c r="F3" s="3448"/>
      <c r="G3" s="3448"/>
      <c r="H3" s="3448"/>
      <c r="I3" s="3448"/>
      <c r="J3" s="2029"/>
      <c r="K3" s="2028"/>
      <c r="L3" s="2028"/>
      <c r="M3" s="2028"/>
      <c r="N3" s="2028"/>
      <c r="O3" s="2028"/>
      <c r="P3" s="2028"/>
      <c r="Q3" s="2028"/>
      <c r="R3" s="2028"/>
      <c r="S3" s="2028"/>
      <c r="T3" s="2028"/>
      <c r="U3" s="2028"/>
      <c r="V3" s="2028"/>
    </row>
    <row r="4" spans="1:22" ht="14.25">
      <c r="A4" s="258" t="s">
        <v>299</v>
      </c>
      <c r="B4" s="259" t="s">
        <v>300</v>
      </c>
      <c r="C4" s="260" t="s">
        <v>3018</v>
      </c>
      <c r="D4" s="260" t="s">
        <v>3019</v>
      </c>
      <c r="E4" s="3397" t="s">
        <v>301</v>
      </c>
      <c r="F4" s="3399"/>
      <c r="G4" s="3399"/>
      <c r="H4" s="3399"/>
      <c r="I4" s="339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3" t="s">
        <v>302</v>
      </c>
      <c r="B5" s="3434">
        <v>25</v>
      </c>
      <c r="C5" s="3435">
        <f>'结果表-商业'!C5:C7</f>
        <v>6</v>
      </c>
      <c r="D5" s="3437">
        <f>10-C5</f>
        <v>4</v>
      </c>
      <c r="E5" s="261" t="s">
        <v>303</v>
      </c>
      <c r="F5" s="262"/>
      <c r="G5" s="262"/>
      <c r="H5" s="262"/>
      <c r="I5" s="263"/>
      <c r="J5" s="2029"/>
      <c r="K5" s="2028"/>
      <c r="L5" s="2028"/>
      <c r="M5" s="2028"/>
      <c r="N5" s="2028"/>
      <c r="O5" s="2028"/>
      <c r="P5" s="2028"/>
      <c r="Q5" s="2028"/>
      <c r="R5" s="2028"/>
      <c r="S5" s="2028"/>
      <c r="T5" s="2028"/>
      <c r="U5" s="2028"/>
      <c r="V5" s="2028"/>
    </row>
    <row r="6" spans="1:22" ht="14.25">
      <c r="A6" s="3433"/>
      <c r="B6" s="3434"/>
      <c r="C6" s="3438"/>
      <c r="D6" s="3437"/>
      <c r="E6" s="261" t="s">
        <v>304</v>
      </c>
      <c r="F6" s="262"/>
      <c r="G6" s="262"/>
      <c r="H6" s="262"/>
      <c r="I6" s="263"/>
      <c r="J6" s="2029"/>
      <c r="K6" s="2028"/>
      <c r="L6" s="2028"/>
      <c r="M6" s="2028"/>
      <c r="N6" s="2028"/>
      <c r="O6" s="2028"/>
      <c r="P6" s="2028"/>
      <c r="Q6" s="2028"/>
      <c r="R6" s="2028"/>
      <c r="S6" s="2028"/>
      <c r="T6" s="2028"/>
      <c r="U6" s="2028"/>
      <c r="V6" s="2028"/>
    </row>
    <row r="7" spans="1:22" ht="14.25">
      <c r="A7" s="3433"/>
      <c r="B7" s="3434"/>
      <c r="C7" s="3436"/>
      <c r="D7" s="3437"/>
      <c r="E7" s="261" t="s">
        <v>305</v>
      </c>
      <c r="F7" s="262"/>
      <c r="G7" s="262"/>
      <c r="H7" s="262"/>
      <c r="I7" s="263"/>
      <c r="J7" s="2029"/>
      <c r="K7" s="2028"/>
      <c r="L7" s="2028"/>
      <c r="M7" s="2028"/>
      <c r="N7" s="2028"/>
      <c r="O7" s="2028"/>
      <c r="P7" s="2028"/>
      <c r="Q7" s="2028"/>
      <c r="R7" s="2028"/>
      <c r="S7" s="2028"/>
      <c r="T7" s="2028"/>
      <c r="U7" s="2028"/>
      <c r="V7" s="2028"/>
    </row>
    <row r="8" spans="1:22" ht="14.25">
      <c r="A8" s="3433" t="s">
        <v>306</v>
      </c>
      <c r="B8" s="3434">
        <v>15</v>
      </c>
      <c r="C8" s="3435"/>
      <c r="D8" s="3437"/>
      <c r="E8" s="261" t="s">
        <v>307</v>
      </c>
      <c r="F8" s="262"/>
      <c r="G8" s="262"/>
      <c r="H8" s="262"/>
      <c r="I8" s="263"/>
      <c r="J8" s="2029"/>
      <c r="K8" s="2028"/>
      <c r="L8" s="2028"/>
      <c r="M8" s="2028"/>
      <c r="N8" s="2028"/>
      <c r="O8" s="2028"/>
      <c r="P8" s="2028"/>
      <c r="Q8" s="2028"/>
      <c r="R8" s="2028"/>
      <c r="S8" s="2028"/>
      <c r="T8" s="2028"/>
      <c r="U8" s="2028"/>
      <c r="V8" s="2028"/>
    </row>
    <row r="9" spans="1:22" ht="14.25">
      <c r="A9" s="3433"/>
      <c r="B9" s="3434"/>
      <c r="C9" s="3436"/>
      <c r="D9" s="3437"/>
      <c r="E9" s="261" t="s">
        <v>308</v>
      </c>
      <c r="F9" s="262"/>
      <c r="G9" s="262"/>
      <c r="H9" s="262"/>
      <c r="I9" s="263"/>
      <c r="J9" s="2029"/>
      <c r="K9" s="2028"/>
      <c r="L9" s="2028"/>
      <c r="M9" s="2028"/>
      <c r="N9" s="2028"/>
      <c r="O9" s="2028"/>
      <c r="P9" s="2028"/>
      <c r="Q9" s="2028"/>
      <c r="R9" s="2028"/>
      <c r="S9" s="2028"/>
      <c r="T9" s="2028"/>
      <c r="U9" s="2028"/>
      <c r="V9" s="2028"/>
    </row>
    <row r="10" spans="1:22" ht="14.25">
      <c r="A10" s="3433" t="s">
        <v>309</v>
      </c>
      <c r="B10" s="3434">
        <v>15</v>
      </c>
      <c r="C10" s="3435"/>
      <c r="D10" s="3437"/>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3"/>
      <c r="B11" s="3434"/>
      <c r="C11" s="3436"/>
      <c r="D11" s="3437"/>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3" t="s">
        <v>312</v>
      </c>
      <c r="B12" s="3434">
        <v>15</v>
      </c>
      <c r="C12" s="3435"/>
      <c r="D12" s="3437"/>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3"/>
      <c r="B13" s="3434"/>
      <c r="C13" s="3436"/>
      <c r="D13" s="3437"/>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3" t="s">
        <v>315</v>
      </c>
      <c r="B14" s="3434">
        <v>30</v>
      </c>
      <c r="C14" s="3435"/>
      <c r="D14" s="3437"/>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3"/>
      <c r="B15" s="3434"/>
      <c r="C15" s="3438"/>
      <c r="D15" s="3437"/>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3"/>
      <c r="B16" s="3434"/>
      <c r="C16" s="3436"/>
      <c r="D16" s="343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SUMIF(INDIRECT("'"&amp;C4&amp;"'"&amp;"!A:A"),'结果表-办公'!B19,INDIRECT("'"&amp;C4&amp;"'"&amp;"!B:B"))</f>
        <v>716812</v>
      </c>
      <c r="D19" s="271">
        <f ca="1">SUMIF(INDIRECT("'"&amp;D4&amp;"'"&amp;"!A:A"),'结果表-办公'!B19,INDIRECT("'"&amp;D4&amp;"'"&amp;"!B:B"))</f>
        <v>524865</v>
      </c>
      <c r="E19" s="268" t="s">
        <v>323</v>
      </c>
      <c r="F19" s="269" t="s">
        <v>322</v>
      </c>
      <c r="G19" s="272">
        <f ca="1">ROUND(C19*$C$18+D19*$D$18,0)</f>
        <v>640033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SUMIF(INDIRECT("'"&amp;C4&amp;"'"&amp;"!A:A"),'结果表-办公'!B20,INDIRECT("'"&amp;C4&amp;"'"&amp;"!B:B"))</f>
        <v>22753</v>
      </c>
      <c r="D20" s="277">
        <f ca="1">SUMIF(INDIRECT("'"&amp;D4&amp;"'"&amp;"!A:A"),'结果表-办公'!B20,INDIRECT("'"&amp;D4&amp;"'"&amp;"!B:B"))</f>
        <v>16660</v>
      </c>
      <c r="E20" s="274"/>
      <c r="F20" s="275" t="s">
        <v>325</v>
      </c>
      <c r="G20" s="278">
        <f ca="1">ROUND(C20*$C$18+D20*$D$18,0)</f>
        <v>20316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SUMIF(INDIRECT("'"&amp;C4&amp;"'"&amp;"!A:A"),'结果表-办公'!B21,INDIRECT("'"&amp;C4&amp;"'"&amp;"!B:B"))</f>
        <v>116381</v>
      </c>
      <c r="D21" s="151">
        <f ca="1">SUMIF(INDIRECT("'"&amp;D4&amp;"'"&amp;"!A:A"),'结果表-办公'!B21,INDIRECT("'"&amp;D4&amp;"'"&amp;"!B:B"))</f>
        <v>85216</v>
      </c>
      <c r="E21" s="274"/>
      <c r="F21" s="280" t="s">
        <v>327</v>
      </c>
      <c r="G21" s="282">
        <f ca="1">ROUND(C21*$C$18+D21*$D$18,0)</f>
        <v>103915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0.36570737237194328</v>
      </c>
      <c r="E22" s="284"/>
      <c r="F22" s="285"/>
      <c r="G22" s="286">
        <f ca="1">ROUND(G19/('数据-汇总表'!D3/666.67),0)</f>
        <v>5450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3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0"/>
      <c r="B25" s="1320" t="s">
        <v>331</v>
      </c>
      <c r="C25" s="290">
        <f>IF(B30=0,0,C30)</f>
        <v>0</v>
      </c>
      <c r="D25" s="291"/>
      <c r="E25" s="311"/>
      <c r="F25" s="311"/>
      <c r="G25" s="311"/>
      <c r="H25" s="311"/>
      <c r="I25" s="311"/>
      <c r="J25" s="2028"/>
      <c r="K25" s="1254" t="str">
        <f ca="1">项目基本情况!B16&amp;"国有建设用地使用权价格："&amp;O38&amp;"万元"</f>
        <v>国有建设用地使用权价格：640033万元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大写金额：人民币陆拾肆亿零叁拾叁万元整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单位面积地价：81743元/平方米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楼面地价：15981元/平方米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2966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640033</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15981</v>
      </c>
      <c r="D33" s="1385" t="s">
        <v>1692</v>
      </c>
      <c r="E33" s="3439"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81743</v>
      </c>
      <c r="D34" s="1387" t="s">
        <v>1692</v>
      </c>
      <c r="E34" s="3441"/>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5450</v>
      </c>
      <c r="D35" s="1390" t="s">
        <v>1694</v>
      </c>
      <c r="E35" s="3442"/>
      <c r="F35" s="301" t="s">
        <v>342</v>
      </c>
      <c r="G35" s="982"/>
      <c r="H35" s="981" t="s">
        <v>343</v>
      </c>
      <c r="I35" s="311"/>
      <c r="J35" s="2028"/>
      <c r="K35" s="3430" t="s">
        <v>350</v>
      </c>
      <c r="L35" s="3430" t="s">
        <v>351</v>
      </c>
      <c r="M35" s="1263" t="s">
        <v>352</v>
      </c>
      <c r="N35" s="3430" t="s">
        <v>353</v>
      </c>
      <c r="O35" s="3430" t="s">
        <v>354</v>
      </c>
      <c r="P35" s="2028"/>
      <c r="V35" s="2028"/>
    </row>
    <row r="36" spans="1:26" ht="16.5" customHeight="1">
      <c r="A36" s="303" t="s">
        <v>344</v>
      </c>
      <c r="B36" s="304" t="s">
        <v>333</v>
      </c>
      <c r="C36" s="305" t="s">
        <v>345</v>
      </c>
      <c r="D36" s="305" t="s">
        <v>346</v>
      </c>
      <c r="E36" s="306" t="s">
        <v>347</v>
      </c>
      <c r="F36" s="311"/>
      <c r="G36" s="311"/>
      <c r="H36" s="311"/>
      <c r="I36" s="311"/>
      <c r="J36" s="2030"/>
      <c r="K36" s="3431"/>
      <c r="L36" s="3431"/>
      <c r="M36" s="1265" t="s">
        <v>355</v>
      </c>
      <c r="N36" s="3431"/>
      <c r="O36" s="3431"/>
      <c r="P36" s="2028"/>
      <c r="V36" s="2028"/>
    </row>
    <row r="37" spans="1:26" ht="16.5" customHeight="1" thickBot="1">
      <c r="A37" s="1259" t="s">
        <v>348</v>
      </c>
      <c r="B37" s="307"/>
      <c r="C37" s="294"/>
      <c r="D37" s="294"/>
      <c r="E37" s="295"/>
      <c r="F37" s="311"/>
      <c r="G37" s="311"/>
      <c r="H37" s="311"/>
      <c r="I37" s="311"/>
      <c r="J37" s="2030"/>
      <c r="K37" s="3432"/>
      <c r="L37" s="3432"/>
      <c r="M37" s="1266"/>
      <c r="N37" s="3432"/>
      <c r="O37" s="3432"/>
      <c r="P37" s="2028"/>
      <c r="V37" s="2028"/>
    </row>
    <row r="38" spans="1:26" ht="16.5" customHeight="1" thickBot="1">
      <c r="A38" s="1259" t="s">
        <v>349</v>
      </c>
      <c r="B38" s="307"/>
      <c r="C38" s="294"/>
      <c r="D38" s="294"/>
      <c r="E38" s="295"/>
      <c r="F38" s="311"/>
      <c r="G38" s="311"/>
      <c r="H38" s="311"/>
      <c r="I38" s="311"/>
      <c r="J38" s="2030"/>
      <c r="K38" s="1267">
        <f>'数据-汇总表'!D3</f>
        <v>78298.679999999993</v>
      </c>
      <c r="L38" s="1268">
        <f>'数据-汇总表'!E3</f>
        <v>400500</v>
      </c>
      <c r="M38" s="1268">
        <f ca="1">C34</f>
        <v>81743</v>
      </c>
      <c r="N38" s="1268">
        <f ca="1">C33</f>
        <v>15981</v>
      </c>
      <c r="O38" s="1269">
        <f ca="1">C32</f>
        <v>640033</v>
      </c>
      <c r="P38" s="2028"/>
      <c r="V38" s="2028"/>
    </row>
    <row r="39" spans="1:26" ht="16.5" customHeight="1" thickBot="1">
      <c r="A39" s="1264"/>
      <c r="B39" s="308"/>
      <c r="C39" s="309"/>
      <c r="D39" s="309"/>
      <c r="E39" s="310"/>
      <c r="F39" s="311"/>
      <c r="G39" s="311"/>
      <c r="H39" s="311"/>
      <c r="I39" s="311"/>
      <c r="J39" s="2030"/>
      <c r="K39" s="3412" t="str">
        <f>MID(A44,3,LEN(A44)-2)</f>
        <v/>
      </c>
      <c r="L39" s="3413"/>
      <c r="M39" s="3413"/>
      <c r="N39" s="3414"/>
      <c r="O39" s="1392" t="str">
        <f>C44</f>
        <v>——</v>
      </c>
      <c r="P39" s="2028"/>
      <c r="V39" s="2028"/>
    </row>
    <row r="40" spans="1:26" ht="19.5" thickBot="1">
      <c r="A40" s="104" t="s">
        <v>873</v>
      </c>
      <c r="B40" s="311"/>
      <c r="C40" s="311"/>
      <c r="D40" s="311"/>
      <c r="E40" s="311"/>
      <c r="F40" s="311"/>
      <c r="G40" s="311"/>
      <c r="H40" s="311"/>
      <c r="I40" s="311"/>
      <c r="J40" s="2030"/>
      <c r="K40" s="3412" t="str">
        <f t="shared" ref="K40:K41" si="0">MID(A45,3,LEN(A45)-2)</f>
        <v/>
      </c>
      <c r="L40" s="3413"/>
      <c r="M40" s="3413"/>
      <c r="N40" s="3414"/>
      <c r="O40" s="1392" t="str">
        <f>C45</f>
        <v>——</v>
      </c>
      <c r="P40" s="2028"/>
      <c r="V40" s="2028"/>
    </row>
    <row r="41" spans="1:26" ht="16.5" thickBot="1">
      <c r="A41" s="312" t="s">
        <v>356</v>
      </c>
      <c r="B41" s="313"/>
      <c r="C41" s="314" t="s">
        <v>357</v>
      </c>
      <c r="D41" s="315" t="s">
        <v>358</v>
      </c>
      <c r="E41" s="315" t="s">
        <v>359</v>
      </c>
      <c r="F41" s="316" t="s">
        <v>360</v>
      </c>
      <c r="G41" s="311"/>
      <c r="H41" s="311"/>
      <c r="I41" s="311"/>
      <c r="J41" s="2030"/>
      <c r="K41" s="3412" t="str">
        <f t="shared" si="0"/>
        <v/>
      </c>
      <c r="L41" s="3413"/>
      <c r="M41" s="3413"/>
      <c r="N41" s="3414"/>
      <c r="O41" s="1392" t="str">
        <f>C46</f>
        <v>——</v>
      </c>
      <c r="P41" s="2028"/>
      <c r="V41" s="2028"/>
    </row>
    <row r="42" spans="1:26" ht="29.25">
      <c r="A42" s="3415" t="s">
        <v>2068</v>
      </c>
      <c r="B42" s="3416"/>
      <c r="C42" s="264">
        <f ca="1">C32</f>
        <v>640033</v>
      </c>
      <c r="D42" s="317">
        <f ca="1">C33</f>
        <v>15981</v>
      </c>
      <c r="E42" s="317">
        <f ca="1">C34</f>
        <v>81743</v>
      </c>
      <c r="F42" s="318">
        <f ca="1">C35</f>
        <v>5450</v>
      </c>
      <c r="G42" s="311"/>
      <c r="H42" s="311"/>
      <c r="I42" s="319"/>
      <c r="J42" s="2030"/>
      <c r="K42" s="1270" t="s">
        <v>361</v>
      </c>
      <c r="L42" s="2047" t="s">
        <v>362</v>
      </c>
      <c r="M42" s="1271" t="s">
        <v>363</v>
      </c>
      <c r="N42" s="2048" t="s">
        <v>364</v>
      </c>
      <c r="O42" s="2049" t="s">
        <v>365</v>
      </c>
      <c r="P42" s="2028"/>
      <c r="V42" s="2028"/>
    </row>
    <row r="43" spans="1:26" ht="18">
      <c r="A43" s="3417" t="s">
        <v>2731</v>
      </c>
      <c r="B43" s="3418"/>
      <c r="C43" s="264">
        <f>IF(H33="正常操作",G33+G34+G35,G34+G35)</f>
        <v>0</v>
      </c>
      <c r="D43" s="317" t="s">
        <v>43</v>
      </c>
      <c r="E43" s="317" t="s">
        <v>44</v>
      </c>
      <c r="F43" s="318" t="s">
        <v>44</v>
      </c>
      <c r="G43" s="2845" t="s">
        <v>952</v>
      </c>
      <c r="H43" s="311"/>
      <c r="I43" s="319"/>
      <c r="J43" s="2030"/>
      <c r="K43" s="1272" t="str">
        <f>C4</f>
        <v>剩余法-办公</v>
      </c>
      <c r="L43" s="1273">
        <f ca="1">IF(L42="估价结果/万元",C19,C20)</f>
        <v>716812</v>
      </c>
      <c r="M43" s="1274">
        <f>C18</f>
        <v>0.6</v>
      </c>
      <c r="N43" s="1275">
        <f ca="1">IF(N42="测算结果/万元",G19,G20)</f>
        <v>640033</v>
      </c>
      <c r="O43" s="1276">
        <f ca="1">IF(O42="最终结果/万元",C32,C33)</f>
        <v>640033</v>
      </c>
      <c r="P43" s="2028"/>
      <c r="V43" s="2028"/>
    </row>
    <row r="44" spans="1:26" ht="30.75" thickBot="1">
      <c r="A44" s="3415" t="str">
        <f>IF(OR(项目基本情况!E8="抵押价格",项目基本情况!E8="已注销及未注销"),"3.抵押价格","——")</f>
        <v>——</v>
      </c>
      <c r="B44" s="3416"/>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基准地价-办公</v>
      </c>
      <c r="L44" s="1278">
        <f ca="1">IF(L42="估价结果/万元",D19,D20)</f>
        <v>524865</v>
      </c>
      <c r="M44" s="1279">
        <f>D18</f>
        <v>0.4</v>
      </c>
      <c r="N44" s="1280"/>
      <c r="O44" s="1281"/>
      <c r="P44" s="2028"/>
      <c r="V44" s="2028"/>
    </row>
    <row r="45" spans="1:26" ht="15">
      <c r="A45" s="3419" t="str">
        <f>IF(项目基本情况!E8="已注销及未注销","4.抵押担保权已注销时的抵押价格",IF(项目基本情况!E8="已注销","3.抵押担保权已注销时的抵押价格","——"))</f>
        <v>——</v>
      </c>
      <c r="B45" s="34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21" t="str">
        <f>IF(项目基本情况!E9="抵押净值",IF(A45="——","4.抵押净值","5.抵押净值"),"——")</f>
        <v>——</v>
      </c>
      <c r="B46" s="342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23" t="s">
        <v>374</v>
      </c>
      <c r="B63" s="3424"/>
      <c r="C63" s="3425"/>
      <c r="D63" s="341">
        <f ca="1">ROUND(C42*F63,0)</f>
        <v>384020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426" t="s">
        <v>378</v>
      </c>
      <c r="B64" s="3427"/>
      <c r="C64" s="3427"/>
      <c r="D64" s="3427"/>
      <c r="E64" s="3427"/>
      <c r="F64" s="3427"/>
      <c r="G64" s="3428"/>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429" t="s">
        <v>386</v>
      </c>
      <c r="B66" s="3396"/>
      <c r="C66" s="3396"/>
      <c r="D66" s="261">
        <f ca="1">IF(H66="情况1",0,IF(H66="情况2",D70,IF(H66="情况3",D71,IF(H66="情况4",D72))))</f>
        <v>20481</v>
      </c>
      <c r="E66" s="993" t="str">
        <f>IF(H66="情况4","(销售额-原购置价)×税（费）率","销售额×税（费）率")</f>
        <v>销售额×税（费）率</v>
      </c>
      <c r="F66" s="350">
        <f>IF(H66="情况1","免征",'数据-取费表'!B41)</f>
        <v>5.6000000000000001E-2</v>
      </c>
      <c r="G66" s="351" t="s">
        <v>387</v>
      </c>
      <c r="H66" s="191" t="s">
        <v>388</v>
      </c>
      <c r="I66" s="1287"/>
      <c r="J66" s="2034"/>
      <c r="K66" s="1290">
        <v>1</v>
      </c>
      <c r="L66" s="3410" t="s">
        <v>385</v>
      </c>
      <c r="M66" s="3411"/>
      <c r="N66" s="2437"/>
      <c r="O66" s="2438"/>
      <c r="P66" s="2439"/>
      <c r="Q66" s="2028"/>
      <c r="R66" s="2028"/>
      <c r="S66" s="2028"/>
      <c r="T66" s="2028"/>
      <c r="U66" s="2028"/>
      <c r="V66" s="2028"/>
    </row>
    <row r="67" spans="1:22" ht="25.5" customHeight="1">
      <c r="A67" s="352" t="s">
        <v>390</v>
      </c>
      <c r="B67" s="3383" t="s">
        <v>391</v>
      </c>
      <c r="C67" s="3383"/>
      <c r="D67" s="353">
        <v>0</v>
      </c>
      <c r="E67" s="41" t="s">
        <v>392</v>
      </c>
      <c r="F67" s="62" t="s">
        <v>21</v>
      </c>
      <c r="G67" s="3402"/>
      <c r="H67" s="311"/>
      <c r="I67" s="1291"/>
      <c r="J67" s="2035"/>
      <c r="K67" s="1976">
        <v>2</v>
      </c>
      <c r="L67" s="3405" t="s">
        <v>389</v>
      </c>
      <c r="M67" s="3405"/>
      <c r="N67" s="1324">
        <f>'数据-取费表'!B2</f>
        <v>43388</v>
      </c>
      <c r="O67" s="1324"/>
      <c r="P67" s="1324"/>
      <c r="Q67" s="2028"/>
      <c r="R67" s="2028"/>
      <c r="S67" s="2028"/>
      <c r="T67" s="2028"/>
      <c r="U67" s="2028"/>
      <c r="V67" s="2028"/>
    </row>
    <row r="68" spans="1:22" ht="25.5" customHeight="1">
      <c r="A68" s="354"/>
      <c r="B68" s="3383" t="s">
        <v>394</v>
      </c>
      <c r="C68" s="3383"/>
      <c r="D68" s="355"/>
      <c r="E68" s="77"/>
      <c r="F68" s="356"/>
      <c r="G68" s="3403"/>
      <c r="H68" s="311"/>
      <c r="I68" s="1291"/>
      <c r="J68" s="2035"/>
      <c r="K68" s="1976">
        <v>3</v>
      </c>
      <c r="L68" s="3405" t="s">
        <v>393</v>
      </c>
      <c r="M68" s="3405"/>
      <c r="N68" s="1292">
        <f ca="1">C42</f>
        <v>640033</v>
      </c>
      <c r="O68" s="1292"/>
      <c r="P68" s="1292"/>
      <c r="Q68" s="2028"/>
      <c r="R68" s="2028"/>
      <c r="S68" s="2028"/>
      <c r="T68" s="2028"/>
      <c r="U68" s="2028"/>
      <c r="V68" s="2028"/>
    </row>
    <row r="69" spans="1:22" ht="12" customHeight="1">
      <c r="A69" s="357"/>
      <c r="B69" s="3383" t="s">
        <v>395</v>
      </c>
      <c r="C69" s="3383"/>
      <c r="D69" s="358"/>
      <c r="E69" s="73"/>
      <c r="F69" s="356"/>
      <c r="G69" s="3404"/>
      <c r="H69" s="311"/>
      <c r="I69" s="1291"/>
      <c r="J69" s="2035"/>
      <c r="K69" s="1293">
        <v>4</v>
      </c>
      <c r="L69" s="3406" t="s">
        <v>2882</v>
      </c>
      <c r="M69" s="3407"/>
      <c r="N69" s="1294" t="str">
        <f>C44</f>
        <v>——</v>
      </c>
      <c r="O69" s="1294"/>
      <c r="P69" s="1294"/>
      <c r="Q69" s="2028"/>
      <c r="R69" s="2028"/>
      <c r="S69" s="2028"/>
      <c r="T69" s="2028"/>
      <c r="U69" s="2028"/>
      <c r="V69" s="2028"/>
    </row>
    <row r="70" spans="1:22" ht="24" customHeight="1">
      <c r="A70" s="359" t="s">
        <v>396</v>
      </c>
      <c r="B70" s="3383" t="s">
        <v>397</v>
      </c>
      <c r="C70" s="3383"/>
      <c r="D70" s="358">
        <f ca="1">ROUND(D63*'数据-取费表'!B41/(1+'数据-取费表'!C42),0)</f>
        <v>20481</v>
      </c>
      <c r="E70" s="17" t="s">
        <v>398</v>
      </c>
      <c r="F70" s="360">
        <f>'数据-取费表'!B41</f>
        <v>5.6000000000000001E-2</v>
      </c>
      <c r="G70" s="361"/>
      <c r="H70" s="311"/>
      <c r="I70" s="1291"/>
      <c r="J70" s="2035"/>
      <c r="K70" s="3038"/>
      <c r="L70" s="3039"/>
      <c r="M70" s="3039"/>
      <c r="N70" s="3040" t="s">
        <v>2887</v>
      </c>
      <c r="O70" s="3039"/>
      <c r="P70" s="3041"/>
      <c r="Q70" s="2028"/>
      <c r="R70" s="2028"/>
      <c r="S70" s="2028"/>
      <c r="T70" s="2028"/>
      <c r="U70" s="2028"/>
      <c r="V70" s="2028"/>
    </row>
    <row r="71" spans="1:22" ht="12" customHeight="1">
      <c r="A71" s="359" t="s">
        <v>404</v>
      </c>
      <c r="B71" s="3382" t="s">
        <v>405</v>
      </c>
      <c r="C71" s="3408"/>
      <c r="D71" s="358">
        <f ca="1">ROUND(D63*'数据-取费表'!B41/(1+'数据-取费表'!C42),0)</f>
        <v>20481</v>
      </c>
      <c r="E71" s="17" t="s">
        <v>398</v>
      </c>
      <c r="F71" s="360">
        <f>'数据-取费表'!B41</f>
        <v>5.6000000000000001E-2</v>
      </c>
      <c r="G71" s="361"/>
      <c r="H71" s="311"/>
      <c r="I71" s="1291"/>
      <c r="J71" s="2035"/>
      <c r="K71" s="3037" t="s">
        <v>399</v>
      </c>
      <c r="L71" s="3409" t="s">
        <v>400</v>
      </c>
      <c r="M71" s="3409"/>
      <c r="N71" s="3037" t="s">
        <v>401</v>
      </c>
      <c r="O71" s="3037" t="s">
        <v>402</v>
      </c>
      <c r="P71" s="3037" t="s">
        <v>403</v>
      </c>
      <c r="Q71" s="2028"/>
      <c r="R71" s="2028"/>
      <c r="S71" s="2028"/>
      <c r="T71" s="2028"/>
      <c r="U71" s="2028"/>
      <c r="V71" s="2028"/>
    </row>
    <row r="72" spans="1:22" ht="12" customHeight="1">
      <c r="A72" s="359" t="s">
        <v>407</v>
      </c>
      <c r="B72" s="3382" t="s">
        <v>408</v>
      </c>
      <c r="C72" s="3408"/>
      <c r="D72" s="358">
        <f ca="1">C86</f>
        <v>20369</v>
      </c>
      <c r="E72" s="73" t="s">
        <v>409</v>
      </c>
      <c r="F72" s="360">
        <f>'数据-取费表'!B41</f>
        <v>5.6000000000000001E-2</v>
      </c>
      <c r="G72" s="361"/>
      <c r="H72" s="1297"/>
      <c r="I72" s="1291"/>
      <c r="J72" s="2035"/>
      <c r="K72" s="1976">
        <v>1</v>
      </c>
      <c r="L72" s="3391" t="s">
        <v>406</v>
      </c>
      <c r="M72" s="3391"/>
      <c r="N72" s="1295">
        <f ca="1">D66</f>
        <v>20481</v>
      </c>
      <c r="O72" s="1859" t="str">
        <f>E66</f>
        <v>销售额×税（费）率</v>
      </c>
      <c r="P72" s="1296">
        <f>F66</f>
        <v>5.6000000000000001E-2</v>
      </c>
      <c r="Q72" s="2028"/>
      <c r="R72" s="2028"/>
      <c r="S72" s="2028"/>
      <c r="T72" s="2028"/>
      <c r="U72" s="2028"/>
      <c r="V72" s="2028"/>
    </row>
    <row r="73" spans="1:22" ht="24" customHeight="1">
      <c r="A73" s="3395" t="s">
        <v>411</v>
      </c>
      <c r="B73" s="3396"/>
      <c r="C73" s="3396"/>
      <c r="D73" s="362">
        <f>IF(H73="个人住宅",0,ROUND(D63*I73,0))</f>
        <v>0</v>
      </c>
      <c r="E73" s="17" t="s">
        <v>412</v>
      </c>
      <c r="F73" s="360" t="str">
        <f>IF(H73="正常",I73,"免征")</f>
        <v>免征</v>
      </c>
      <c r="G73" s="361"/>
      <c r="H73" s="191" t="s">
        <v>2456</v>
      </c>
      <c r="I73" s="360">
        <f>'数据-取费表'!B49</f>
        <v>5.0000000000000001E-4</v>
      </c>
      <c r="J73" s="2035"/>
      <c r="K73" s="1976">
        <v>2</v>
      </c>
      <c r="L73" s="3391" t="s">
        <v>410</v>
      </c>
      <c r="M73" s="3391"/>
      <c r="N73" s="1295">
        <f t="shared" ref="N73:P74" si="1">D73</f>
        <v>0</v>
      </c>
      <c r="O73" s="1859" t="str">
        <f t="shared" si="1"/>
        <v>销售额×税（费）率</v>
      </c>
      <c r="P73" s="1296" t="str">
        <f t="shared" si="1"/>
        <v>免征</v>
      </c>
      <c r="Q73" s="2028"/>
      <c r="R73" s="2028"/>
      <c r="S73" s="2028"/>
      <c r="T73" s="2028"/>
      <c r="U73" s="2028"/>
      <c r="V73" s="2028"/>
    </row>
    <row r="74" spans="1:22" ht="24.75">
      <c r="A74" s="3395" t="s">
        <v>415</v>
      </c>
      <c r="B74" s="3396"/>
      <c r="C74" s="3396"/>
      <c r="D74" s="362">
        <f ca="1">IF(H74="个人住宅",D75,D76)</f>
        <v>216700</v>
      </c>
      <c r="E74" s="17" t="s">
        <v>416</v>
      </c>
      <c r="F74" s="360" t="str">
        <f>IF(H74="正常",F76,"免征")</f>
        <v>——</v>
      </c>
      <c r="G74" s="983" t="s">
        <v>417</v>
      </c>
      <c r="H74" s="363" t="s">
        <v>413</v>
      </c>
      <c r="I74" s="42"/>
      <c r="J74" s="2035"/>
      <c r="K74" s="1976">
        <v>3</v>
      </c>
      <c r="L74" s="3391" t="s">
        <v>414</v>
      </c>
      <c r="M74" s="3391"/>
      <c r="N74" s="1295">
        <f t="shared" ca="1" si="1"/>
        <v>216700</v>
      </c>
      <c r="O74" s="1859" t="str">
        <f t="shared" si="1"/>
        <v>增值额×税（费）率</v>
      </c>
      <c r="P74" s="1298" t="str">
        <f t="shared" si="1"/>
        <v>——</v>
      </c>
      <c r="Q74" s="2028"/>
      <c r="R74" s="2028"/>
      <c r="S74" s="2028"/>
      <c r="T74" s="2028"/>
      <c r="U74" s="2028"/>
      <c r="V74" s="2028"/>
    </row>
    <row r="75" spans="1:22" ht="24">
      <c r="A75" s="359" t="s">
        <v>418</v>
      </c>
      <c r="B75" s="3397" t="s">
        <v>419</v>
      </c>
      <c r="C75" s="3398"/>
      <c r="D75" s="364">
        <v>0</v>
      </c>
      <c r="E75" s="41" t="s">
        <v>420</v>
      </c>
      <c r="F75" s="365"/>
      <c r="G75" s="361"/>
      <c r="H75" s="42"/>
      <c r="I75" s="42"/>
      <c r="J75" s="2035"/>
      <c r="K75" s="3030">
        <f>IF(H77="非个人房产","",4)</f>
        <v>4</v>
      </c>
      <c r="L75" s="3391" t="str">
        <f>IF(H77="非个人房产","——","个人所得税")</f>
        <v>个人所得税</v>
      </c>
      <c r="M75" s="3391"/>
      <c r="N75" s="1299">
        <f ca="1">D77</f>
        <v>3840</v>
      </c>
      <c r="O75" s="1872" t="str">
        <f>E77</f>
        <v>销售额×税（费）率</v>
      </c>
      <c r="P75" s="1300">
        <f>F77</f>
        <v>0.01</v>
      </c>
      <c r="Q75" s="2028"/>
      <c r="R75" s="2028"/>
      <c r="S75" s="2028"/>
      <c r="T75" s="2028"/>
      <c r="U75" s="2028"/>
      <c r="V75" s="2028"/>
    </row>
    <row r="76" spans="1:22" ht="24.75">
      <c r="A76" s="359" t="s">
        <v>396</v>
      </c>
      <c r="B76" s="3397" t="s">
        <v>422</v>
      </c>
      <c r="C76" s="3399"/>
      <c r="D76" s="362">
        <f ca="1">IF(H76="转让取得",C99,C115)</f>
        <v>216700</v>
      </c>
      <c r="E76" s="17" t="s">
        <v>423</v>
      </c>
      <c r="F76" s="53" t="s">
        <v>21</v>
      </c>
      <c r="G76" s="361"/>
      <c r="H76" s="363" t="s">
        <v>424</v>
      </c>
      <c r="I76" s="42"/>
      <c r="J76" s="2035"/>
      <c r="K76" s="3030" t="str">
        <f>IF(项目基本情况!K6="上海银行",IF(K75="",4,K75+1),"")</f>
        <v/>
      </c>
      <c r="L76" s="3400" t="str">
        <f>IF(项目基本情况!K6="上海银行","其他处置费用","")</f>
        <v/>
      </c>
      <c r="M76" s="3401"/>
      <c r="N76" s="1295"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6.25" thickBot="1">
      <c r="A77" s="3388" t="s">
        <v>426</v>
      </c>
      <c r="B77" s="3389"/>
      <c r="C77" s="3389"/>
      <c r="D77" s="366">
        <f ca="1">IF(H77="非个人房产","——",IF(H77="个人住宅",0,ROUND(D63*I77,0)))</f>
        <v>3840</v>
      </c>
      <c r="E77" s="367" t="str">
        <f>IF(H77="非个人房产","——","销售额×税（费）率")</f>
        <v>销售额×税（费）率</v>
      </c>
      <c r="F77" s="368">
        <f>IF(H77="非个人房产","——",IF(H77="个人住宅","免征",I77))</f>
        <v>0.01</v>
      </c>
      <c r="G77" s="984" t="s">
        <v>417</v>
      </c>
      <c r="H77" s="363" t="s">
        <v>2883</v>
      </c>
      <c r="I77" s="369">
        <v>0.01</v>
      </c>
      <c r="J77" s="2035"/>
      <c r="K77" s="3390">
        <f>IF(AND(K75="",K76=""),4,IF(项目基本情况!K6="上海银行",K76+1,K75+1))</f>
        <v>5</v>
      </c>
      <c r="L77" s="3391" t="s">
        <v>2884</v>
      </c>
      <c r="M77" s="3036" t="s">
        <v>421</v>
      </c>
      <c r="N77" s="1301"/>
      <c r="O77" s="1302">
        <f ca="1">SUMIF(N72:N76,"&lt;9e307")</f>
        <v>241021</v>
      </c>
      <c r="P77" s="1303"/>
      <c r="Q77" s="3034" t="e">
        <f ca="1">O77/N69</f>
        <v>#VALUE!</v>
      </c>
      <c r="R77" s="2028"/>
      <c r="S77" s="2028"/>
      <c r="T77" s="2028"/>
      <c r="U77" s="2028"/>
      <c r="V77" s="2028"/>
    </row>
    <row r="78" spans="1:22" ht="12" customHeight="1">
      <c r="A78" s="1304"/>
      <c r="B78" s="311"/>
      <c r="C78" s="311"/>
      <c r="D78" s="311"/>
      <c r="E78" s="42"/>
      <c r="F78" s="42"/>
      <c r="G78" s="42"/>
      <c r="H78" s="1003"/>
      <c r="I78" s="311"/>
      <c r="J78" s="2035"/>
      <c r="K78" s="3390"/>
      <c r="L78" s="3391"/>
      <c r="M78" s="3036" t="s">
        <v>425</v>
      </c>
      <c r="N78" s="1301"/>
      <c r="O78" s="1302" t="str">
        <f ca="1">NUMBERSTRING(INT(O77*10000),2)&amp;"元整"</f>
        <v>贰拾肆亿壹仟零贰拾壹万元整</v>
      </c>
      <c r="P78" s="1303"/>
      <c r="Q78" s="2028"/>
      <c r="R78" s="2028"/>
      <c r="S78" s="2028"/>
      <c r="T78" s="2028"/>
      <c r="U78" s="2028"/>
      <c r="V78" s="2028"/>
    </row>
    <row r="79" spans="1:22" ht="13.5" thickBot="1">
      <c r="A79" s="3392" t="s">
        <v>427</v>
      </c>
      <c r="B79" s="3392"/>
      <c r="C79" s="3392"/>
      <c r="D79" s="3392"/>
      <c r="E79" s="3392"/>
      <c r="F79" s="42"/>
      <c r="G79" s="42"/>
      <c r="H79" s="1003"/>
      <c r="I79" s="311"/>
      <c r="J79" s="2035"/>
      <c r="K79" s="3393">
        <f>K77+1</f>
        <v>6</v>
      </c>
      <c r="L79" s="3391" t="s">
        <v>2885</v>
      </c>
      <c r="M79" s="3036" t="s">
        <v>421</v>
      </c>
      <c r="N79" s="1301"/>
      <c r="O79" s="1302" t="e">
        <f ca="1">N69-O77</f>
        <v>#VALUE!</v>
      </c>
      <c r="P79" s="1303"/>
      <c r="Q79" s="2028"/>
      <c r="R79" s="2028"/>
      <c r="S79" s="2028"/>
      <c r="T79" s="2028"/>
      <c r="U79" s="2028"/>
      <c r="V79" s="2028"/>
    </row>
    <row r="80" spans="1:22" ht="12.75">
      <c r="A80" s="3380" t="s">
        <v>428</v>
      </c>
      <c r="B80" s="3381"/>
      <c r="C80" s="994"/>
      <c r="D80" s="994" t="s">
        <v>429</v>
      </c>
      <c r="E80" s="370" t="s">
        <v>430</v>
      </c>
      <c r="F80" s="42"/>
      <c r="G80" s="42"/>
      <c r="H80" s="1003"/>
      <c r="I80" s="311"/>
      <c r="J80" s="2028"/>
      <c r="K80" s="3394"/>
      <c r="L80" s="3391"/>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365733</v>
      </c>
      <c r="D81" s="373"/>
      <c r="E81" s="374"/>
      <c r="F81" s="42"/>
      <c r="G81" s="42"/>
      <c r="H81" s="1003"/>
      <c r="I81" s="311"/>
      <c r="J81" s="2028"/>
      <c r="K81" s="3030">
        <f>K79+1</f>
        <v>7</v>
      </c>
      <c r="L81" s="3375" t="s">
        <v>2886</v>
      </c>
      <c r="M81" s="3376"/>
      <c r="N81" s="1305"/>
      <c r="O81" s="1306" t="e">
        <f ca="1">ROUND(O79*10000/'数据-汇总表'!E3,0)</f>
        <v>#VALUE!</v>
      </c>
      <c r="P81" s="1307"/>
      <c r="Q81" s="2028"/>
      <c r="R81" s="2028"/>
      <c r="S81" s="2028"/>
      <c r="T81" s="2028"/>
      <c r="U81" s="2028"/>
      <c r="V81" s="2028"/>
    </row>
    <row r="82" spans="1:26" ht="13.5" thickTop="1">
      <c r="A82" s="375" t="s">
        <v>1825</v>
      </c>
      <c r="B82" s="376" t="s">
        <v>432</v>
      </c>
      <c r="C82" s="377">
        <f ca="1">D63</f>
        <v>384020</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77" t="s">
        <v>2873</v>
      </c>
      <c r="L83" s="3042" t="s">
        <v>2874</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2938</v>
      </c>
      <c r="F84" s="42"/>
      <c r="G84" s="42"/>
      <c r="H84" s="1003"/>
      <c r="I84" s="311"/>
      <c r="J84" s="2028"/>
      <c r="K84" s="3377"/>
      <c r="L84" s="3042" t="s">
        <v>2875</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2876</v>
      </c>
      <c r="P84" s="2028"/>
      <c r="Q84" s="2028"/>
      <c r="R84" s="2028"/>
      <c r="S84" s="2028"/>
      <c r="T84" s="2028"/>
      <c r="U84" s="2028"/>
      <c r="V84" s="2028"/>
    </row>
    <row r="85" spans="1:26" ht="12.75">
      <c r="A85" s="381" t="s">
        <v>1828</v>
      </c>
      <c r="B85" s="382" t="s">
        <v>435</v>
      </c>
      <c r="C85" s="385">
        <f ca="1">C81-C84</f>
        <v>363733</v>
      </c>
      <c r="D85" s="378" t="s">
        <v>19</v>
      </c>
      <c r="E85" s="379"/>
      <c r="F85" s="42"/>
      <c r="G85" s="42"/>
      <c r="H85" s="1003"/>
      <c r="I85" s="311"/>
      <c r="J85" s="2028"/>
      <c r="K85" s="3377"/>
      <c r="L85" s="3042" t="s">
        <v>2877</v>
      </c>
      <c r="M85" s="3032" t="e">
        <f>IF(N69&gt;1000,N69*0.1%,IF(AND(N69&gt;500,N69&lt;=1000),N69*0.5%,IF(AND(N69&gt;50,N69&lt;=500),N69*1%,IF(AND(N69&gt;1,N69&lt;=50),N69*1.5%))))</f>
        <v>#VALUE!</v>
      </c>
      <c r="N85" s="53" t="e">
        <f t="shared" si="2"/>
        <v>#VALUE!</v>
      </c>
      <c r="O85" s="2028" t="s">
        <v>2876</v>
      </c>
      <c r="P85" s="2028"/>
      <c r="Q85" s="2028"/>
      <c r="R85" s="2028"/>
      <c r="S85" s="2028"/>
      <c r="T85" s="2028"/>
      <c r="U85" s="2028"/>
      <c r="V85" s="2028"/>
    </row>
    <row r="86" spans="1:26" ht="13.5" thickBot="1">
      <c r="A86" s="386" t="s">
        <v>1829</v>
      </c>
      <c r="B86" s="387" t="s">
        <v>436</v>
      </c>
      <c r="C86" s="388">
        <f ca="1">IF(C85&lt;=0,0,ROUND(C85*D86,0))</f>
        <v>20369</v>
      </c>
      <c r="D86" s="389">
        <f>'数据-取费表'!B41</f>
        <v>5.6000000000000001E-2</v>
      </c>
      <c r="E86" s="390"/>
      <c r="F86" s="42"/>
      <c r="G86" s="42"/>
      <c r="H86" s="1003"/>
      <c r="I86" s="311"/>
      <c r="J86" s="2028"/>
      <c r="K86" s="3377"/>
      <c r="L86" s="3042" t="s">
        <v>2878</v>
      </c>
      <c r="M86" s="3032"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77"/>
      <c r="L87" s="3042" t="s">
        <v>2880</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78" t="s">
        <v>437</v>
      </c>
      <c r="B88" s="3379"/>
      <c r="C88" s="3379"/>
      <c r="D88" s="3379"/>
      <c r="E88" s="3379"/>
      <c r="F88" s="3379"/>
      <c r="G88" s="3379"/>
      <c r="H88" s="3379"/>
      <c r="I88" s="1314"/>
      <c r="J88" s="2036"/>
      <c r="K88" s="3377"/>
      <c r="L88" s="3042" t="s">
        <v>2881</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80" t="s">
        <v>428</v>
      </c>
      <c r="B89" s="3381"/>
      <c r="C89" s="994"/>
      <c r="D89" s="994" t="s">
        <v>429</v>
      </c>
      <c r="E89" s="391" t="s">
        <v>438</v>
      </c>
      <c r="F89" s="392"/>
      <c r="G89" s="392"/>
      <c r="H89" s="393"/>
      <c r="I89" s="1315"/>
      <c r="J89" s="2038"/>
      <c r="K89" s="3377"/>
      <c r="L89" s="3042"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365733</v>
      </c>
      <c r="D90" s="378" t="s">
        <v>19</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4755</v>
      </c>
      <c r="D91" s="378" t="s">
        <v>19</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82" t="s">
        <v>447</v>
      </c>
      <c r="F94" s="3383"/>
      <c r="G94" s="3383"/>
      <c r="H94" s="338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2194</v>
      </c>
      <c r="D96" s="406">
        <f>'数据-取费表'!B43</f>
        <v>6.000000000000001E-3</v>
      </c>
      <c r="E96" s="3385" t="s">
        <v>2429</v>
      </c>
      <c r="F96" s="3373"/>
      <c r="G96" s="3373"/>
      <c r="H96" s="337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360978</v>
      </c>
      <c r="D97" s="378" t="s">
        <v>19</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75.915457413249214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214923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8" t="s">
        <v>454</v>
      </c>
      <c r="B101" s="3379"/>
      <c r="C101" s="3379"/>
      <c r="D101" s="3379"/>
      <c r="E101" s="3379"/>
      <c r="F101" s="3379"/>
      <c r="G101" s="3379"/>
      <c r="H101" s="337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0" t="s">
        <v>428</v>
      </c>
      <c r="B102" s="338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365733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2884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IF(H109="——",IF(F1="现房",'剩余法-现房'!C18,'剩余法-商业'!C18),I109)</f>
        <v>55</v>
      </c>
      <c r="D109" s="406"/>
      <c r="E109" s="3372" t="s">
        <v>462</v>
      </c>
      <c r="F109" s="3373"/>
      <c r="G109" s="337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72" t="s">
        <v>464</v>
      </c>
      <c r="F110" s="3373"/>
      <c r="G110" s="3373"/>
      <c r="H110" s="337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2194</v>
      </c>
      <c r="D111" s="406">
        <f>'数据-取费表'!B43</f>
        <v>6.000000000000001E-3</v>
      </c>
      <c r="E111" s="3385" t="s">
        <v>2429</v>
      </c>
      <c r="F111" s="3373"/>
      <c r="G111" s="3373"/>
      <c r="H111" s="337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72" t="s">
        <v>2454</v>
      </c>
      <c r="F112" s="3373"/>
      <c r="G112" s="3373"/>
      <c r="H112" s="337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362849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125.81449375866852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216700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75" priority="21" stopIfTrue="1" operator="equal">
      <formula>25</formula>
    </cfRule>
  </conditionalFormatting>
  <conditionalFormatting sqref="C8:C9">
    <cfRule type="cellIs" dxfId="74" priority="19" stopIfTrue="1" operator="equal">
      <formula>15</formula>
    </cfRule>
  </conditionalFormatting>
  <conditionalFormatting sqref="C14:C16">
    <cfRule type="cellIs" dxfId="73" priority="13" stopIfTrue="1" operator="equal">
      <formula>30</formula>
    </cfRule>
  </conditionalFormatting>
  <conditionalFormatting sqref="D5:D7">
    <cfRule type="cellIs" dxfId="72" priority="10" stopIfTrue="1" operator="equal">
      <formula>25</formula>
    </cfRule>
  </conditionalFormatting>
  <conditionalFormatting sqref="D8:D9">
    <cfRule type="cellIs" dxfId="71" priority="9" stopIfTrue="1" operator="equal">
      <formula>15</formula>
    </cfRule>
  </conditionalFormatting>
  <conditionalFormatting sqref="C10:D13">
    <cfRule type="cellIs" dxfId="70" priority="8" stopIfTrue="1" operator="equal">
      <formula>15</formula>
    </cfRule>
  </conditionalFormatting>
  <conditionalFormatting sqref="D14:D16">
    <cfRule type="cellIs" dxfId="69" priority="6" stopIfTrue="1" operator="equal">
      <formula>30</formula>
    </cfRule>
  </conditionalFormatting>
  <conditionalFormatting sqref="C108">
    <cfRule type="expression" dxfId="68" priority="3" stopIfTrue="1">
      <formula>$H$106&lt;&gt;"仅含出让金"</formula>
    </cfRule>
  </conditionalFormatting>
  <conditionalFormatting sqref="C109">
    <cfRule type="expression" dxfId="67" priority="2" stopIfTrue="1">
      <formula>$H$109="由企业提供"</formula>
    </cfRule>
  </conditionalFormatting>
  <conditionalFormatting sqref="I33">
    <cfRule type="expression" dxfId="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zoomScaleNormal="100" workbookViewId="0">
      <selection activeCell="D66" sqref="C58:D6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315045</v>
      </c>
      <c r="E1" s="1406" t="s">
        <v>2428</v>
      </c>
      <c r="F1" s="2431">
        <f>'数据-汇总表'!D20</f>
        <v>61592.03</v>
      </c>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2762</v>
      </c>
      <c r="S1" s="2915" t="s">
        <v>1636</v>
      </c>
      <c r="T1" s="2915" t="s">
        <v>2784</v>
      </c>
      <c r="U1" s="2915" t="s">
        <v>2785</v>
      </c>
      <c r="V1" s="2915" t="s">
        <v>2786</v>
      </c>
      <c r="W1" s="2189"/>
      <c r="X1" s="2189"/>
      <c r="Y1" s="2189"/>
      <c r="Z1" s="2189"/>
      <c r="AA1" s="2189"/>
      <c r="AB1" s="2189"/>
      <c r="AC1" s="2190"/>
    </row>
    <row r="2" spans="1:39" ht="15.75">
      <c r="A2" s="1406" t="s">
        <v>920</v>
      </c>
      <c r="B2" s="1038">
        <f ca="1">C26</f>
        <v>524865</v>
      </c>
      <c r="C2" s="1407" t="s">
        <v>921</v>
      </c>
      <c r="D2" s="1408" t="s">
        <v>922</v>
      </c>
      <c r="E2" s="1409" t="s">
        <v>1678</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Ⅳ-17</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1.8629</v>
      </c>
      <c r="T2" s="2916">
        <f ca="1">ROUND($C$5*$C$18*$C$19*$C$20*S2*$C$24,0)</f>
        <v>38024</v>
      </c>
      <c r="U2" s="2905"/>
      <c r="V2" s="2916">
        <f ca="1">ROUND(T2*U2/10000,0)</f>
        <v>0</v>
      </c>
      <c r="W2" s="2189"/>
      <c r="X2" s="2189"/>
      <c r="Y2" s="2189"/>
      <c r="Z2" s="2189"/>
      <c r="AA2" s="2189"/>
      <c r="AB2" s="2189"/>
      <c r="AC2" s="2190"/>
    </row>
    <row r="3" spans="1:39" ht="24">
      <c r="A3" s="1411" t="s">
        <v>1688</v>
      </c>
      <c r="B3" s="1038">
        <f ca="1">ROUND(B2*10000/D1,0)</f>
        <v>16660</v>
      </c>
      <c r="C3" s="1407" t="s">
        <v>927</v>
      </c>
      <c r="D3" s="1408" t="s">
        <v>928</v>
      </c>
      <c r="E3" s="1412" t="s">
        <v>3012</v>
      </c>
      <c r="F3" s="1413" t="s">
        <v>2933</v>
      </c>
      <c r="G3" s="1039">
        <f>IF(F3="宗地容积率",'数据-汇总表'!I4,IF(F3="估价对象容积率",'数据-汇总表'!I6,'数据-汇总表'!I7))</f>
        <v>5.12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1.3371999999999999</v>
      </c>
      <c r="T3" s="2916">
        <f t="shared" ref="T3:T16" ca="1" si="0">ROUND($C$5*$C$18*$C$19*$C$20*S3*$C$24,0)</f>
        <v>27294</v>
      </c>
      <c r="U3" s="2905"/>
      <c r="V3" s="2916">
        <f t="shared" ref="V3:V16" ca="1" si="1">ROUND(T3*U3/10000,0)</f>
        <v>0</v>
      </c>
      <c r="W3" s="2189"/>
      <c r="X3" s="2189"/>
      <c r="Y3" s="2189"/>
      <c r="Z3" s="2189"/>
      <c r="AA3" s="2189"/>
      <c r="AB3" s="2189"/>
      <c r="AC3" s="2190"/>
    </row>
    <row r="4" spans="1:39" ht="28.5">
      <c r="A4" s="1891" t="s">
        <v>2281</v>
      </c>
      <c r="B4" s="2432">
        <f ca="1">ROUND(B2*10000/F1,0)</f>
        <v>85216</v>
      </c>
      <c r="C4" s="1894" t="s">
        <v>2255</v>
      </c>
      <c r="D4" s="1894">
        <f ca="1">ROUND(B2/(F1/666.67),0)</f>
        <v>5681</v>
      </c>
      <c r="E4" s="1894" t="s">
        <v>2256</v>
      </c>
      <c r="F4" s="1892"/>
      <c r="G4" s="1892"/>
      <c r="H4" s="1892"/>
      <c r="I4" s="1892"/>
      <c r="J4" s="1893"/>
      <c r="K4" s="1401"/>
      <c r="L4" s="1885" t="s">
        <v>2242</v>
      </c>
      <c r="M4" s="1886">
        <f>SUMPRODUCT((区片价!B49:B75=I2)*(区片价!C3:F3=E2)*(区片价!C49:F75))</f>
        <v>14660</v>
      </c>
      <c r="N4" s="1887">
        <f>SUMPRODUCT((因素修正幅度!B49:B75=I2)*(因素修正幅度!C3:F3=E2)*(因素修正幅度!C49:F75))</f>
        <v>9.6000000000000002E-2</v>
      </c>
      <c r="O4" s="2189"/>
      <c r="P4" s="2189"/>
      <c r="Q4" s="2189"/>
      <c r="R4" s="2916">
        <v>3</v>
      </c>
      <c r="S4" s="2916">
        <f>ROUND(IF(G3&gt;1,IF(R4&lt;7,SUMPRODUCT((B93:B98=R4)*(C92:N92=G2)*(C93:N98)),SUMIF(C92:N92,G2,C100:N100)),IF(R4&lt;7,SUMPRODUCT((B102:B107=R4)*(C92:N92=G2)*(C102:N107)),SUMIF(C92:N92,G2,C109:N109))),4)</f>
        <v>1.0788</v>
      </c>
      <c r="T4" s="2916">
        <f t="shared" ca="1" si="0"/>
        <v>22020</v>
      </c>
      <c r="U4" s="2905"/>
      <c r="V4" s="2916">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14604</v>
      </c>
      <c r="D5" s="3096">
        <f>ROUND(IF(F16="增加",C6+C16,C6-C16),0)</f>
        <v>14604</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0.86560000000000004</v>
      </c>
      <c r="T5" s="2916">
        <f t="shared" ca="1" si="0"/>
        <v>17668</v>
      </c>
      <c r="U5" s="2905"/>
      <c r="V5" s="2916">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SUMIF(L1:L12,'基准地价-办公'!G2,M1:M12)</f>
        <v>14660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0.73709999999999998</v>
      </c>
      <c r="T6" s="2916">
        <f t="shared" ca="1" si="0"/>
        <v>15045</v>
      </c>
      <c r="U6" s="2905"/>
      <c r="V6" s="2916">
        <f t="shared" ca="1" si="1"/>
        <v>0</v>
      </c>
      <c r="W6" s="2189"/>
      <c r="X6" s="2189"/>
      <c r="Y6" s="2189"/>
      <c r="Z6" s="2189"/>
      <c r="AA6" s="2189"/>
      <c r="AB6" s="2189"/>
      <c r="AC6" s="2191"/>
      <c r="AD6" s="1419"/>
      <c r="AE6" s="1419"/>
      <c r="AF6" s="1419"/>
      <c r="AG6" s="1419"/>
      <c r="AH6" s="1419"/>
      <c r="AI6" s="1419"/>
      <c r="AJ6" s="1420"/>
    </row>
    <row r="7" spans="1:39" ht="24">
      <c r="A7" s="3458" t="str">
        <f>IF(E2="商业",IF(C8="不临58条商业街","",2),"")</f>
        <v/>
      </c>
      <c r="B7" s="1427" t="s">
        <v>932</v>
      </c>
      <c r="C7" s="1043" t="e">
        <f>IF(C8="不临58条商业街",1,ROUND(1+(1.6*E8+1.2*E9+0.8*E10+0.4*E11)*C9,4))</f>
        <v>#DIV/0!</v>
      </c>
      <c r="D7" s="1428" t="s">
        <v>933</v>
      </c>
      <c r="E7" s="1044"/>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0.6482</v>
      </c>
      <c r="T7" s="2916">
        <f t="shared" ca="1" si="0"/>
        <v>13231</v>
      </c>
      <c r="U7" s="2905"/>
      <c r="V7" s="2916">
        <f t="shared" ca="1" si="1"/>
        <v>0</v>
      </c>
      <c r="W7" s="3194" t="s">
        <v>2765</v>
      </c>
      <c r="X7" s="2906" t="str">
        <f>G2</f>
        <v>四级</v>
      </c>
      <c r="Y7" s="2906" t="s">
        <v>2766</v>
      </c>
      <c r="Z7" s="2907">
        <f>G3</f>
        <v>5.12</v>
      </c>
      <c r="AA7" s="2192"/>
      <c r="AB7" s="2192"/>
      <c r="AC7" s="2193"/>
      <c r="AD7" s="2908"/>
      <c r="AE7" s="2908"/>
      <c r="AF7" s="2908"/>
      <c r="AG7" s="2908"/>
      <c r="AH7" s="2908"/>
      <c r="AI7" s="2908"/>
      <c r="AJ7" s="2909"/>
    </row>
    <row r="8" spans="1:39" ht="15">
      <c r="A8" s="3459"/>
      <c r="B8" s="1414" t="s">
        <v>934</v>
      </c>
      <c r="C8" s="1529"/>
      <c r="D8" s="1045" t="s">
        <v>935</v>
      </c>
      <c r="E8" s="1046"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f t="shared" ca="1" si="0"/>
        <v>0</v>
      </c>
      <c r="U8" s="2905"/>
      <c r="V8" s="2916">
        <f t="shared" ca="1" si="1"/>
        <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4" t="s">
        <v>937</v>
      </c>
      <c r="C9" s="1047">
        <f>SUMIF(修正!C59:C119,C8,修正!E59:E119)</f>
        <v>0</v>
      </c>
      <c r="D9" s="1048" t="s">
        <v>938</v>
      </c>
      <c r="E9" s="1048"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f t="shared" ca="1" si="0"/>
        <v>0</v>
      </c>
      <c r="U9" s="2905"/>
      <c r="V9" s="2916">
        <f t="shared" ca="1" si="1"/>
        <v>0</v>
      </c>
      <c r="W9" s="3449" t="s">
        <v>2779</v>
      </c>
      <c r="X9" s="2910" t="s">
        <v>2780</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59"/>
      <c r="B10" s="1414" t="s">
        <v>940</v>
      </c>
      <c r="C10" s="1048">
        <f>SUMIF(修正!C59:C119,C8,修正!F59:F119)</f>
        <v>0</v>
      </c>
      <c r="D10" s="1048" t="s">
        <v>941</v>
      </c>
      <c r="E10" s="1048"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f t="shared" ca="1" si="0"/>
        <v>0</v>
      </c>
      <c r="U10" s="2905"/>
      <c r="V10" s="2916">
        <f t="shared" ca="1" si="1"/>
        <v>0</v>
      </c>
      <c r="W10" s="344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59"/>
      <c r="B11" s="1435" t="s">
        <v>943</v>
      </c>
      <c r="C11" s="1049">
        <f>C10/4</f>
        <v>0</v>
      </c>
      <c r="D11" s="1049" t="s">
        <v>944</v>
      </c>
      <c r="E11" s="1049"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f t="shared" ca="1" si="0"/>
        <v>0</v>
      </c>
      <c r="U11" s="2905"/>
      <c r="V11" s="2916">
        <f t="shared" ca="1" si="1"/>
        <v>0</v>
      </c>
      <c r="W11" s="3449" t="s">
        <v>2781</v>
      </c>
      <c r="X11" s="1048" t="s">
        <v>2766</v>
      </c>
      <c r="Y11" s="1653">
        <f>$G$3</f>
        <v>5.12</v>
      </c>
      <c r="Z11" s="1653">
        <f t="shared" ref="Z11:AJ11" si="3">$G$3</f>
        <v>5.12</v>
      </c>
      <c r="AA11" s="1653">
        <f t="shared" si="3"/>
        <v>5.12</v>
      </c>
      <c r="AB11" s="1653">
        <f t="shared" si="3"/>
        <v>5.12</v>
      </c>
      <c r="AC11" s="1653">
        <f t="shared" si="3"/>
        <v>5.12</v>
      </c>
      <c r="AD11" s="1653">
        <f t="shared" si="3"/>
        <v>5.12</v>
      </c>
      <c r="AE11" s="1653">
        <f t="shared" si="3"/>
        <v>5.12</v>
      </c>
      <c r="AF11" s="1653">
        <f t="shared" si="3"/>
        <v>5.12</v>
      </c>
      <c r="AG11" s="1653">
        <f t="shared" si="3"/>
        <v>5.12</v>
      </c>
      <c r="AH11" s="1653">
        <f t="shared" si="3"/>
        <v>5.12</v>
      </c>
      <c r="AI11" s="1653">
        <f t="shared" si="3"/>
        <v>5.12</v>
      </c>
      <c r="AJ11" s="1653">
        <f t="shared" si="3"/>
        <v>5.12</v>
      </c>
    </row>
    <row r="12" spans="1:39" ht="25.5" thickBot="1">
      <c r="A12" s="3458"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f t="shared" ca="1" si="0"/>
        <v>0</v>
      </c>
      <c r="U12" s="2905"/>
      <c r="V12" s="2916">
        <f t="shared" ca="1" si="1"/>
        <v>0</v>
      </c>
      <c r="W12" s="344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60"/>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6">
        <v>12</v>
      </c>
      <c r="S13" s="2905"/>
      <c r="T13" s="2916">
        <f t="shared" ca="1" si="0"/>
        <v>0</v>
      </c>
      <c r="U13" s="2905"/>
      <c r="V13" s="2916">
        <f t="shared" ca="1" si="1"/>
        <v>0</v>
      </c>
      <c r="W13" s="3449"/>
      <c r="X13" s="2913"/>
      <c r="Y13" s="2912">
        <f>(-0.163*(Y12^2)-0.59*Y12+7617)*(10^(-4))/Y11</f>
        <v>0.14876953125</v>
      </c>
      <c r="Z13" s="2912">
        <f t="shared" ref="Z13:AJ13" si="5">(-0.163*(Z12^2)-0.59*Z12+7617)*(10^(-4))/Z11</f>
        <v>0.14876953125</v>
      </c>
      <c r="AA13" s="2912">
        <f t="shared" si="5"/>
        <v>0.14876953125</v>
      </c>
      <c r="AB13" s="2912">
        <f t="shared" si="5"/>
        <v>0.14876953125</v>
      </c>
      <c r="AC13" s="2912">
        <f t="shared" si="5"/>
        <v>0.14876953125</v>
      </c>
      <c r="AD13" s="2912">
        <f t="shared" si="5"/>
        <v>0.14876953125</v>
      </c>
      <c r="AE13" s="2912">
        <f t="shared" si="5"/>
        <v>0.14876953125</v>
      </c>
      <c r="AF13" s="2912">
        <f t="shared" si="5"/>
        <v>0.14876953125</v>
      </c>
      <c r="AG13" s="2912">
        <f t="shared" si="5"/>
        <v>0.14876953125</v>
      </c>
      <c r="AH13" s="2912">
        <f t="shared" si="5"/>
        <v>0.14876953125</v>
      </c>
      <c r="AI13" s="2912">
        <f t="shared" si="5"/>
        <v>0.14876953125</v>
      </c>
      <c r="AJ13" s="2912">
        <f t="shared" si="5"/>
        <v>0.14876953125</v>
      </c>
    </row>
    <row r="14" spans="1:39" ht="12.75" customHeight="1" thickBot="1">
      <c r="A14" s="3460"/>
      <c r="B14" s="1451"/>
      <c r="C14" s="1452"/>
      <c r="D14" s="1453"/>
      <c r="E14" s="1453"/>
      <c r="F14" s="1454"/>
      <c r="G14" s="1455" t="s">
        <v>949</v>
      </c>
      <c r="H14" s="1456"/>
      <c r="I14" s="1457"/>
      <c r="J14" s="1458"/>
      <c r="K14" s="1401"/>
      <c r="L14" s="2189"/>
      <c r="M14" s="2189"/>
      <c r="N14" s="2189"/>
      <c r="O14" s="2189"/>
      <c r="P14" s="2189"/>
      <c r="Q14" s="2189"/>
      <c r="R14" s="2916">
        <v>13</v>
      </c>
      <c r="S14" s="2905"/>
      <c r="T14" s="2916">
        <f t="shared" ca="1" si="0"/>
        <v>0</v>
      </c>
      <c r="U14" s="2905"/>
      <c r="V14" s="2916">
        <f t="shared" ca="1" si="1"/>
        <v>0</v>
      </c>
      <c r="W14" s="2189"/>
      <c r="X14" s="2189"/>
      <c r="Y14" s="2189"/>
      <c r="Z14" s="2189"/>
      <c r="AA14" s="2189"/>
      <c r="AB14" s="2189"/>
      <c r="AC14" s="2190"/>
    </row>
    <row r="15" spans="1:39" ht="13.5" customHeight="1" thickBot="1">
      <c r="A15" s="346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6">
        <v>14</v>
      </c>
      <c r="S15" s="2905"/>
      <c r="T15" s="2916">
        <f t="shared" ca="1" si="0"/>
        <v>0</v>
      </c>
      <c r="U15" s="2905"/>
      <c r="V15" s="2916">
        <f t="shared" ca="1" si="1"/>
        <v>0</v>
      </c>
      <c r="W15" s="2189"/>
      <c r="X15" s="2189"/>
      <c r="Y15" s="2189"/>
      <c r="Z15" s="2189"/>
      <c r="AA15" s="2189"/>
      <c r="AB15" s="2189"/>
      <c r="AC15" s="2190"/>
    </row>
    <row r="16" spans="1:39" ht="24">
      <c r="A16" s="3458" t="s">
        <v>1839</v>
      </c>
      <c r="B16" s="1427" t="s">
        <v>950</v>
      </c>
      <c r="C16" s="1054">
        <f>ROUND(SUM(G17:J17)/C17,0)</f>
        <v>56</v>
      </c>
      <c r="D16" s="1460" t="s">
        <v>951</v>
      </c>
      <c r="E16" s="1461" t="s">
        <v>3005</v>
      </c>
      <c r="F16" s="1462" t="s">
        <v>3013</v>
      </c>
      <c r="G16" s="1463" t="s">
        <v>3006</v>
      </c>
      <c r="H16" s="1463" t="s">
        <v>3007</v>
      </c>
      <c r="I16" s="1463" t="s">
        <v>3008</v>
      </c>
      <c r="J16" s="1463" t="s">
        <v>3009</v>
      </c>
      <c r="K16" s="1401"/>
      <c r="L16" s="1464" t="s">
        <v>988</v>
      </c>
      <c r="M16" s="1047">
        <v>0.25</v>
      </c>
      <c r="N16" s="1047">
        <v>0.2</v>
      </c>
      <c r="O16" s="1047">
        <v>0.15</v>
      </c>
      <c r="P16" s="1539">
        <v>0.1</v>
      </c>
      <c r="Q16" s="2192"/>
      <c r="R16" s="2916">
        <v>15</v>
      </c>
      <c r="S16" s="2905"/>
      <c r="T16" s="2916">
        <f t="shared" ca="1" si="0"/>
        <v>0</v>
      </c>
      <c r="U16" s="2905"/>
      <c r="V16" s="2916">
        <f t="shared" ca="1" si="1"/>
        <v>0</v>
      </c>
      <c r="W16" s="2192"/>
      <c r="X16" s="2192"/>
      <c r="Y16" s="2192"/>
      <c r="Z16" s="2192"/>
      <c r="AA16" s="2192"/>
      <c r="AB16" s="2192"/>
      <c r="AC16" s="2193"/>
    </row>
    <row r="17" spans="1:40" ht="13.5" thickBot="1">
      <c r="A17" s="345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1827</v>
      </c>
      <c r="B18" s="2751" t="s">
        <v>956</v>
      </c>
      <c r="C18" s="2752">
        <f>SUMIF(修正!C18:C39,E3,修正!E18:E39)</f>
        <v>1</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1828</v>
      </c>
      <c r="B19" s="1470" t="s">
        <v>957</v>
      </c>
      <c r="C19" s="1057">
        <f>ROUND(IF(H19="按公示增长率计算",SUMPRODUCT((地价!A3:A24=YEAR(G19)&amp;"-"&amp;ROUNDUP(MONTH(G19)/3,0))*(地价!X2:AB2=E2)*(地价!X3:AB24)),IF(H19="地价指数",M20/M19,(1+I19)^O19)),4)</f>
        <v>1.3547</v>
      </c>
      <c r="D19" s="1474" t="s">
        <v>958</v>
      </c>
      <c r="E19" s="1058">
        <v>41640</v>
      </c>
      <c r="F19" s="1474" t="s">
        <v>959</v>
      </c>
      <c r="G19" s="1059">
        <f>'数据-取费表'!B2</f>
        <v>43388</v>
      </c>
      <c r="H19" s="1475" t="s">
        <v>3010</v>
      </c>
      <c r="I19" s="2763" t="str">
        <f>IF(H19="季度增幅（自定义）",SUMIF(N21:N24,E2,O21:O24),"")</f>
        <v/>
      </c>
      <c r="J19" s="1471"/>
      <c r="K19" s="1481"/>
      <c r="L19" s="3016" t="s">
        <v>2840</v>
      </c>
      <c r="M19" s="3017">
        <f>ROUND(SUMIF(地价!B2:F2,E2,地价!B24:F24),0)</f>
        <v>258</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1829</v>
      </c>
      <c r="B20" s="2758" t="s">
        <v>972</v>
      </c>
      <c r="C20" s="2759">
        <f ca="1">ROUND(POWER(1+G20,J20-I20)*(POWER(1+G20,I20)-1)/(POWER(1+G20,J20)-1),4)</f>
        <v>1</v>
      </c>
      <c r="D20" s="2760" t="s">
        <v>973</v>
      </c>
      <c r="E20" s="3071">
        <f ca="1">存贷款利率!I4/100</f>
        <v>4.3499999999999997E-2</v>
      </c>
      <c r="F20" s="2760" t="s">
        <v>974</v>
      </c>
      <c r="G20" s="2761">
        <f ca="1">SUMIF(M15:P15,E2,M17:P17)</f>
        <v>5.1999999999999998E-2</v>
      </c>
      <c r="H20" s="2760" t="s">
        <v>975</v>
      </c>
      <c r="I20" s="2750">
        <f>SUMIF('数据-取费表'!C6:C15,E2,'数据-取费表'!F6:F15)/COUNTIF('数据-取费表'!C6:C15,E2)</f>
        <v>50</v>
      </c>
      <c r="J20" s="2762">
        <f>IF(E2="住宅",70,IF(E2="商业",40,50))</f>
        <v>50</v>
      </c>
      <c r="K20" s="1481"/>
      <c r="L20" s="3018" t="s">
        <v>2841</v>
      </c>
      <c r="M20" s="3019">
        <f>ROUND(SUMPRODUCT((地价!A4:A24=YEAR(G19)&amp;"-"&amp;ROUNDUP(MONTH(G19)/3,0))*(地价!B2:F2=E2)*(地价!B4:F24)),0)</f>
        <v>341</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3011</v>
      </c>
      <c r="C21" s="1158">
        <f>IF(B21="容积率修正",IF(G3&lt;=10,D22,J22),C23)</f>
        <v>0.81620000000000004</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0.81620000000000004</v>
      </c>
      <c r="E22" s="1039">
        <f>ROUNDDOWN(G3,1)</f>
        <v>5.0999999999999996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1039">
        <f>ROUNDUP(G3,1)</f>
        <v>5.1999999999999993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0.81359999999999999</v>
      </c>
      <c r="I22" s="1060" t="s">
        <v>978</v>
      </c>
      <c r="J22" s="1060"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2">
        <f>SUMIF(A44:A87,E2,B44:B87)</f>
        <v>1.0317000000000001</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3">
        <f ca="1">E29+SUM(E33:E39)</f>
        <v>524865</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3">
        <f ca="1">ROUND(C5*C18*C19*C20*C21*C24,0)</f>
        <v>16660</v>
      </c>
      <c r="D29" s="1504">
        <f>'数据-基础表'!K14</f>
        <v>315045</v>
      </c>
      <c r="E29" s="1849">
        <f ca="1">ROUND(C29*D29/10000,0)</f>
        <v>524865</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4165</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64" t="s">
        <v>2959</v>
      </c>
      <c r="B33" s="1524" t="s">
        <v>1000</v>
      </c>
      <c r="C33" s="1063">
        <f ca="1">ROUND(D5*C19*C20*C24*F33,0)</f>
        <v>14288</v>
      </c>
      <c r="D33" s="1537"/>
      <c r="E33" s="1048">
        <f ca="1">ROUND(C33*D33/10000,0)</f>
        <v>0</v>
      </c>
      <c r="F33" s="1048">
        <f>SUMIF(修正!A45:A56,G2,修正!B45:B56)</f>
        <v>0.7</v>
      </c>
      <c r="G33" s="1048">
        <f t="shared" ref="G33" ca="1" si="6">ROUND(IF(E2="工业",C33*$M$39,C33*$M$38),0)</f>
        <v>3572</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5" t="s">
        <v>1001</v>
      </c>
      <c r="C34" s="1063">
        <f ca="1">ROUND(D5*C19*C20*C24*F34,0)</f>
        <v>8164</v>
      </c>
      <c r="D34" s="1537"/>
      <c r="E34" s="1048">
        <f t="shared" ref="E34:E39" ca="1" si="7">ROUND(C34*D34/10000,0)</f>
        <v>0</v>
      </c>
      <c r="F34" s="1048">
        <f>SUMIF(修正!A45:A56,G2,修正!C45:C56)</f>
        <v>0.4</v>
      </c>
      <c r="G34" s="1048">
        <f ca="1">ROUND(IF(E2="工业",C34*$M$39,C34*$M$38),0)</f>
        <v>2041</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5" t="s">
        <v>1002</v>
      </c>
      <c r="C35" s="1063">
        <f ca="1">ROUND(D5*C19*C20*C24*F35,0)</f>
        <v>5715</v>
      </c>
      <c r="D35" s="1537"/>
      <c r="E35" s="1048">
        <f t="shared" ca="1" si="7"/>
        <v>0</v>
      </c>
      <c r="F35" s="1048">
        <f>SUMIF(修正!A45:A56,G2,修正!D45:D56)</f>
        <v>0.28000000000000003</v>
      </c>
      <c r="G35" s="1048">
        <f ca="1">ROUND(IF(E2="工业",C35*$M$39,C35*$M$38),0)</f>
        <v>1429</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5" t="s">
        <v>1003</v>
      </c>
      <c r="C36" s="1063">
        <f ca="1">ROUND(D5*C19*C20*C24*F36,0)</f>
        <v>5103</v>
      </c>
      <c r="D36" s="1537"/>
      <c r="E36" s="1048">
        <f t="shared" ca="1" si="7"/>
        <v>0</v>
      </c>
      <c r="F36" s="1048">
        <f>SUMIF(修正!A45:A56,G2,修正!E45:E56)</f>
        <v>0.25</v>
      </c>
      <c r="G36" s="1048">
        <f ca="1">ROUND(IF(E2="工业",C36*$M$39,C36*$M$38),0)</f>
        <v>1276</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5103</v>
      </c>
      <c r="D37" s="1537"/>
      <c r="E37" s="1048">
        <f t="shared" ca="1" si="7"/>
        <v>0</v>
      </c>
      <c r="F37" s="1063">
        <f>SUMIF(修正!A45:A56,G2,修正!F45:F56)</f>
        <v>0.25</v>
      </c>
      <c r="G37" s="1048">
        <f ca="1">ROUND(IF(E2="工业",C37*$M$39,C37*$M$38),0)</f>
        <v>1276</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0.25</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0.2</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2987</v>
      </c>
      <c r="C41" s="839">
        <f ca="1">ROUND(POWER(1+E41,H41-G41)*(POWER(1+E41,G41)-1)/(POWER(1+E41,H41)-1),4)</f>
        <v>0</v>
      </c>
      <c r="D41" s="378" t="s">
        <v>2985</v>
      </c>
      <c r="E41" s="3176">
        <f ca="1">G20</f>
        <v>5.1999999999999998E-2</v>
      </c>
      <c r="F41" s="378" t="s">
        <v>2986</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hidden="1">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hidden="1">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hidden="1">
      <c r="A47" s="1067" t="s">
        <v>1021</v>
      </c>
      <c r="B47" s="2390" t="str">
        <f>估价对象房地状况!C16</f>
        <v>估价对象位于酒仙桥商圈，周边商业氛围较成熟，人流量较大，商业繁华度较好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96" hidden="1">
      <c r="A48" s="1067" t="s">
        <v>1022</v>
      </c>
      <c r="B48" s="2387" t="str">
        <f>估价对象房地状况!C18</f>
        <v>估价对象周边有445路、516路、659路、983路等多条公交线路经过，距14号线地铁（将台站）约300米，道路状况较好、公共交通通达情况较好、综合评价交通便捷度较好。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hidden="1">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hidden="1">
      <c r="A50" s="1067" t="s">
        <v>1024</v>
      </c>
      <c r="B50" s="3073" t="s">
        <v>2935</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hidden="1">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hidden="1">
      <c r="A52" s="1067" t="s">
        <v>1026</v>
      </c>
      <c r="B52" s="3072" t="s">
        <v>2934</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hidden="1">
      <c r="A53" s="2419" t="s">
        <v>1027</v>
      </c>
      <c r="B53" s="2388" t="str">
        <f>估价对象房地状况!C21</f>
        <v>估价对象所在区域公共配套设施齐备度较好</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hidden="1">
      <c r="A54" s="2419" t="s">
        <v>1028</v>
      </c>
      <c r="B54" s="2387" t="str">
        <f>估价对象房地状况!C22</f>
        <v>估价对象所在区域基础设施水平达到三通一平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hidden="1" thickBot="1">
      <c r="A55" s="2420" t="s">
        <v>1029</v>
      </c>
      <c r="B55" s="2391" t="str">
        <f>估价对象房地状况!C20</f>
        <v>区域自然环境：；人文环境；综合评价环境状况较好</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1.0317000000000001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2251</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7" t="s">
        <v>1031</v>
      </c>
      <c r="B58" s="2390" t="str">
        <f>估价对象房地状况!C17</f>
        <v>估价对象位于酒仙桥商圈，周边办公楼项目较多，入驻率高，办公集聚程度较好</v>
      </c>
      <c r="C58" s="1050" t="s">
        <v>3025</v>
      </c>
      <c r="D58" s="2396">
        <f t="shared" ref="D58:D66" si="15">SUMIF($J$57:$N$57,C58,J58:N58)</f>
        <v>1.15E-2</v>
      </c>
      <c r="E58" s="2415">
        <f>ROUND(SUM(D58:D66),4)</f>
        <v>3.1699999999999999E-2</v>
      </c>
      <c r="F58" s="2416">
        <f>IF(E2="办公",SUMIF(L1:L12,G2,N1:N12),"——")</f>
        <v>9.6000000000000002E-2</v>
      </c>
      <c r="G58" s="2394">
        <v>1.15E-2</v>
      </c>
      <c r="H58" s="2440">
        <f>IFERROR(ROUNDDOWN($F$58*I58/2,4),"——")</f>
        <v>1.15E-2</v>
      </c>
      <c r="I58" s="2414">
        <v>0.24</v>
      </c>
      <c r="J58" s="2417">
        <f t="shared" ref="J58:J66" si="16">K58+$G58</f>
        <v>2.3E-2</v>
      </c>
      <c r="K58" s="2417">
        <f t="shared" ref="K58:K66" si="17">$L58+$G58</f>
        <v>1.15E-2</v>
      </c>
      <c r="L58" s="2417">
        <v>0</v>
      </c>
      <c r="M58" s="2417">
        <f t="shared" ref="M58:N66" si="18">L58-$G58</f>
        <v>-1.15E-2</v>
      </c>
      <c r="N58" s="2417">
        <f t="shared" si="18"/>
        <v>-2.3E-2</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96">
      <c r="A59" s="1067" t="s">
        <v>1022</v>
      </c>
      <c r="B59" s="2387" t="str">
        <f>估价对象房地状况!C18</f>
        <v>估价对象周边有445路、516路、659路、983路等多条公交线路经过，距14号线地铁（将台站）约300米，道路状况较好、公共交通通达情况较好、综合评价交通便捷度较好。</v>
      </c>
      <c r="C59" s="1050" t="s">
        <v>3025</v>
      </c>
      <c r="D59" s="2396">
        <f t="shared" si="15"/>
        <v>1.44E-2</v>
      </c>
      <c r="E59" s="2418"/>
      <c r="F59" s="2416"/>
      <c r="G59" s="2394">
        <v>1.44E-2</v>
      </c>
      <c r="H59" s="2395">
        <f t="shared" ref="H59:H66" si="19">IFERROR($F$58*I59/2,"——")</f>
        <v>1.44E-2</v>
      </c>
      <c r="I59" s="2414">
        <v>0.3</v>
      </c>
      <c r="J59" s="2417">
        <f t="shared" si="16"/>
        <v>2.8799999999999999E-2</v>
      </c>
      <c r="K59" s="2417">
        <f t="shared" si="17"/>
        <v>1.44E-2</v>
      </c>
      <c r="L59" s="2417">
        <v>0</v>
      </c>
      <c r="M59" s="2417">
        <f t="shared" si="18"/>
        <v>-1.44E-2</v>
      </c>
      <c r="N59" s="2417">
        <f t="shared" si="18"/>
        <v>-2.8799999999999999E-2</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t="s">
        <v>3025</v>
      </c>
      <c r="D60" s="2396">
        <f t="shared" si="15"/>
        <v>3.8400000000000001E-3</v>
      </c>
      <c r="E60" s="2418"/>
      <c r="F60" s="2416"/>
      <c r="G60" s="2394">
        <v>3.8400000000000001E-3</v>
      </c>
      <c r="H60" s="2395">
        <f t="shared" si="19"/>
        <v>3.8400000000000001E-3</v>
      </c>
      <c r="I60" s="2414">
        <v>0.08</v>
      </c>
      <c r="J60" s="2417">
        <f t="shared" si="16"/>
        <v>7.6800000000000002E-3</v>
      </c>
      <c r="K60" s="2417">
        <f t="shared" si="17"/>
        <v>3.8400000000000001E-3</v>
      </c>
      <c r="L60" s="2417">
        <v>0</v>
      </c>
      <c r="M60" s="2417">
        <f t="shared" si="18"/>
        <v>-3.8400000000000001E-3</v>
      </c>
      <c r="N60" s="2417">
        <f t="shared" si="18"/>
        <v>-7.6800000000000002E-3</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3" t="s">
        <v>2935</v>
      </c>
      <c r="C61" s="1050" t="s">
        <v>3025</v>
      </c>
      <c r="D61" s="2396">
        <f t="shared" si="15"/>
        <v>1.92E-3</v>
      </c>
      <c r="E61" s="2418"/>
      <c r="F61" s="2416"/>
      <c r="G61" s="2394">
        <v>1.92E-3</v>
      </c>
      <c r="H61" s="2395">
        <f t="shared" si="19"/>
        <v>1.92E-3</v>
      </c>
      <c r="I61" s="2414">
        <v>0.04</v>
      </c>
      <c r="J61" s="2417">
        <f t="shared" si="16"/>
        <v>3.8400000000000001E-3</v>
      </c>
      <c r="K61" s="2417">
        <f t="shared" si="17"/>
        <v>1.92E-3</v>
      </c>
      <c r="L61" s="2417">
        <v>0</v>
      </c>
      <c r="M61" s="2417">
        <f t="shared" si="18"/>
        <v>-1.92E-3</v>
      </c>
      <c r="N61" s="2417">
        <f t="shared" si="18"/>
        <v>-3.8400000000000001E-3</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t="s">
        <v>3026</v>
      </c>
      <c r="D62" s="2396">
        <f t="shared" si="15"/>
        <v>-2.3999999999999998E-3</v>
      </c>
      <c r="E62" s="2418"/>
      <c r="F62" s="2416"/>
      <c r="G62" s="2394">
        <v>2.3999999999999998E-3</v>
      </c>
      <c r="H62" s="2395">
        <f t="shared" si="19"/>
        <v>2.4000000000000002E-3</v>
      </c>
      <c r="I62" s="2414">
        <v>0.05</v>
      </c>
      <c r="J62" s="2417">
        <f t="shared" si="16"/>
        <v>4.7999999999999996E-3</v>
      </c>
      <c r="K62" s="2417">
        <f t="shared" si="17"/>
        <v>2.3999999999999998E-3</v>
      </c>
      <c r="L62" s="2417">
        <v>0</v>
      </c>
      <c r="M62" s="2417">
        <f t="shared" si="18"/>
        <v>-2.3999999999999998E-3</v>
      </c>
      <c r="N62" s="2417">
        <f t="shared" si="18"/>
        <v>-4.7999999999999996E-3</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2" t="s">
        <v>2934</v>
      </c>
      <c r="C63" s="1050" t="s">
        <v>3025</v>
      </c>
      <c r="D63" s="2396">
        <f t="shared" si="15"/>
        <v>2.3999999999999998E-3</v>
      </c>
      <c r="E63" s="2418"/>
      <c r="F63" s="2416"/>
      <c r="G63" s="2394">
        <v>2.3999999999999998E-3</v>
      </c>
      <c r="H63" s="2395">
        <f t="shared" si="19"/>
        <v>2.4000000000000002E-3</v>
      </c>
      <c r="I63" s="2414">
        <v>0.05</v>
      </c>
      <c r="J63" s="2417">
        <f t="shared" si="16"/>
        <v>4.7999999999999996E-3</v>
      </c>
      <c r="K63" s="2417">
        <f t="shared" si="17"/>
        <v>2.3999999999999998E-3</v>
      </c>
      <c r="L63" s="2417">
        <v>0</v>
      </c>
      <c r="M63" s="2417">
        <f t="shared" si="18"/>
        <v>-2.3999999999999998E-3</v>
      </c>
      <c r="N63" s="2417">
        <f t="shared" si="18"/>
        <v>-4.7999999999999996E-3</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估价对象所在区域公共配套设施齐备度较好</v>
      </c>
      <c r="C64" s="1050" t="s">
        <v>3025</v>
      </c>
      <c r="D64" s="2396">
        <f t="shared" si="15"/>
        <v>2.8800000000000002E-3</v>
      </c>
      <c r="E64" s="2418"/>
      <c r="F64" s="2416"/>
      <c r="G64" s="2394">
        <v>2.8800000000000002E-3</v>
      </c>
      <c r="H64" s="2395">
        <f t="shared" si="19"/>
        <v>2.8799999999999997E-3</v>
      </c>
      <c r="I64" s="2414">
        <v>0.06</v>
      </c>
      <c r="J64" s="2417">
        <f t="shared" si="16"/>
        <v>5.7600000000000004E-3</v>
      </c>
      <c r="K64" s="2417">
        <f t="shared" si="17"/>
        <v>2.8800000000000002E-3</v>
      </c>
      <c r="L64" s="2417">
        <v>0</v>
      </c>
      <c r="M64" s="2417">
        <f t="shared" si="18"/>
        <v>-2.8800000000000002E-3</v>
      </c>
      <c r="N64" s="2417">
        <f t="shared" si="18"/>
        <v>-5.7600000000000004E-3</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估价对象所在区域基础设施水平达到三通一平</v>
      </c>
      <c r="C65" s="1050" t="s">
        <v>3026</v>
      </c>
      <c r="D65" s="2396">
        <f t="shared" si="15"/>
        <v>-5.7600000000000004E-3</v>
      </c>
      <c r="E65" s="2418"/>
      <c r="F65" s="2416"/>
      <c r="G65" s="2394">
        <v>5.7600000000000004E-3</v>
      </c>
      <c r="H65" s="2395">
        <f t="shared" si="19"/>
        <v>5.7599999999999995E-3</v>
      </c>
      <c r="I65" s="2414">
        <v>0.12</v>
      </c>
      <c r="J65" s="2417">
        <f t="shared" si="16"/>
        <v>1.1520000000000001E-2</v>
      </c>
      <c r="K65" s="2417">
        <f t="shared" si="17"/>
        <v>5.7600000000000004E-3</v>
      </c>
      <c r="L65" s="2417">
        <v>0</v>
      </c>
      <c r="M65" s="2417">
        <f t="shared" si="18"/>
        <v>-5.7600000000000004E-3</v>
      </c>
      <c r="N65" s="2417">
        <f t="shared" si="18"/>
        <v>-1.1520000000000001E-2</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区域自然环境：；人文环境；综合评价环境状况较好</v>
      </c>
      <c r="C66" s="1050" t="s">
        <v>3025</v>
      </c>
      <c r="D66" s="2396">
        <f t="shared" si="15"/>
        <v>2.8800000000000002E-3</v>
      </c>
      <c r="E66" s="2422"/>
      <c r="F66" s="2416"/>
      <c r="G66" s="2394">
        <v>2.8800000000000002E-3</v>
      </c>
      <c r="H66" s="2395">
        <f t="shared" si="19"/>
        <v>2.8799999999999997E-3</v>
      </c>
      <c r="I66" s="2421">
        <v>0.06</v>
      </c>
      <c r="J66" s="2417">
        <f t="shared" si="16"/>
        <v>5.7600000000000004E-3</v>
      </c>
      <c r="K66" s="2417">
        <f t="shared" si="17"/>
        <v>2.8800000000000002E-3</v>
      </c>
      <c r="L66" s="2417">
        <v>0</v>
      </c>
      <c r="M66" s="2417">
        <f t="shared" si="18"/>
        <v>-2.8800000000000002E-3</v>
      </c>
      <c r="N66" s="2417">
        <f t="shared" si="18"/>
        <v>-5.7600000000000004E-3</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7" t="s">
        <v>1009</v>
      </c>
      <c r="B68" s="2387"/>
      <c r="C68" s="2409" t="s">
        <v>1011</v>
      </c>
      <c r="D68" s="2410" t="s">
        <v>1012</v>
      </c>
      <c r="E68" s="2411" t="s">
        <v>1014</v>
      </c>
      <c r="F68" s="2412" t="s">
        <v>2251</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96" hidden="1">
      <c r="A70" s="1067" t="s">
        <v>1022</v>
      </c>
      <c r="B70" s="2387" t="str">
        <f>估价对象房地状况!C18</f>
        <v>估价对象周边有445路、516路、659路、983路等多条公交线路经过，距14号线地铁（将台站）约300米，道路状况较好、公共交通通达情况较好、综合评价交通便捷度较好。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7" t="s">
        <v>1027</v>
      </c>
      <c r="B73" s="2388" t="str">
        <f>估价对象房地状况!C21</f>
        <v>估价对象所在区域公共配套设施齐备度较好</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7" t="s">
        <v>1028</v>
      </c>
      <c r="B74" s="2388" t="str">
        <f>估价对象房地状况!C22</f>
        <v>估价对象所在区域基础设施水平达到三通一平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7" t="s">
        <v>1026</v>
      </c>
      <c r="B75" s="3072" t="s">
        <v>2934</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7" t="s">
        <v>1029</v>
      </c>
      <c r="B76" s="2390" t="str">
        <f>估价对象房地状况!C20</f>
        <v>区域自然环境：；人文环境；综合评价环境状况较好</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hidden="1">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hidden="1">
      <c r="A79" s="1067" t="s">
        <v>1009</v>
      </c>
      <c r="B79" s="2387"/>
      <c r="C79" s="2409" t="s">
        <v>1011</v>
      </c>
      <c r="D79" s="2410" t="s">
        <v>1012</v>
      </c>
      <c r="E79" s="2411" t="s">
        <v>1014</v>
      </c>
      <c r="F79" s="2412" t="s">
        <v>2251</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hidden="1">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hidden="1">
      <c r="A81" s="1067" t="s">
        <v>1022</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hidden="1">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hidden="1">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hidden="1">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hidden="1">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hidden="1">
      <c r="A86" s="1067" t="s">
        <v>1026</v>
      </c>
      <c r="B86" s="3072" t="s">
        <v>2934</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hidden="1"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62" t="s">
        <v>1634</v>
      </c>
      <c r="B90" s="3462"/>
      <c r="C90" s="3462"/>
      <c r="D90" s="3462"/>
      <c r="E90" s="3462"/>
      <c r="F90" s="3462"/>
      <c r="G90" s="3462"/>
      <c r="H90" s="3462"/>
      <c r="I90" s="3462"/>
      <c r="J90" s="3462"/>
      <c r="K90" s="3196"/>
      <c r="L90" s="3196"/>
      <c r="M90" s="3196"/>
      <c r="N90" s="3196"/>
    </row>
    <row r="91" spans="1:40">
      <c r="A91" s="3463" t="s">
        <v>1444</v>
      </c>
      <c r="B91" s="3463" t="s">
        <v>1635</v>
      </c>
      <c r="C91" s="1140" t="s">
        <v>1636</v>
      </c>
      <c r="D91" s="1141"/>
      <c r="E91" s="1141"/>
      <c r="F91" s="1141"/>
      <c r="G91" s="1141"/>
      <c r="H91" s="1141"/>
      <c r="I91" s="1141"/>
      <c r="J91" s="1142"/>
      <c r="K91" s="1134"/>
      <c r="L91" s="1134"/>
      <c r="M91" s="1134"/>
      <c r="N91" s="1134"/>
    </row>
    <row r="92" spans="1:40">
      <c r="A92" s="3463"/>
      <c r="B92" s="3463"/>
      <c r="C92" s="3197" t="s">
        <v>907</v>
      </c>
      <c r="D92" s="3197" t="s">
        <v>885</v>
      </c>
      <c r="E92" s="3197" t="s">
        <v>886</v>
      </c>
      <c r="F92" s="3197" t="s">
        <v>910</v>
      </c>
      <c r="G92" s="3197" t="s">
        <v>888</v>
      </c>
      <c r="H92" s="3197" t="s">
        <v>889</v>
      </c>
      <c r="I92" s="3197" t="s">
        <v>890</v>
      </c>
      <c r="J92" s="3197" t="s">
        <v>891</v>
      </c>
      <c r="K92" s="3197" t="s">
        <v>915</v>
      </c>
      <c r="L92" s="3197" t="s">
        <v>893</v>
      </c>
      <c r="M92" s="3197" t="s">
        <v>894</v>
      </c>
      <c r="N92" s="3197" t="s">
        <v>918</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1638</v>
      </c>
      <c r="B101" s="1147" t="s">
        <v>906</v>
      </c>
      <c r="C101" s="1148">
        <f>$G$3</f>
        <v>5.12</v>
      </c>
      <c r="D101" s="1148">
        <f t="shared" ref="D101:N101" si="31">$G$3</f>
        <v>5.12</v>
      </c>
      <c r="E101" s="1148">
        <f t="shared" si="31"/>
        <v>5.12</v>
      </c>
      <c r="F101" s="1148">
        <f t="shared" si="31"/>
        <v>5.12</v>
      </c>
      <c r="G101" s="1148">
        <f t="shared" si="31"/>
        <v>5.12</v>
      </c>
      <c r="H101" s="1148">
        <f t="shared" si="31"/>
        <v>5.12</v>
      </c>
      <c r="I101" s="1148">
        <f t="shared" si="31"/>
        <v>5.12</v>
      </c>
      <c r="J101" s="1148">
        <f t="shared" si="31"/>
        <v>5.12</v>
      </c>
      <c r="K101" s="1148">
        <f t="shared" si="31"/>
        <v>5.12</v>
      </c>
      <c r="L101" s="1148">
        <f t="shared" si="31"/>
        <v>5.12</v>
      </c>
      <c r="M101" s="1148">
        <f t="shared" si="31"/>
        <v>5.12</v>
      </c>
      <c r="N101" s="1148">
        <f t="shared" si="31"/>
        <v>5.12</v>
      </c>
    </row>
    <row r="102" spans="1:14">
      <c r="A102" s="3453"/>
      <c r="B102" s="1143">
        <v>1</v>
      </c>
      <c r="C102" s="1144">
        <f>1.9362/C101</f>
        <v>0.37816406249999995</v>
      </c>
      <c r="D102" s="1144">
        <f>1.9362/D101</f>
        <v>0.37816406249999995</v>
      </c>
      <c r="E102" s="1144">
        <f>1.8629/E101</f>
        <v>0.36384765624999998</v>
      </c>
      <c r="F102" s="1144">
        <f>1.8629/F101</f>
        <v>0.36384765624999998</v>
      </c>
      <c r="G102" s="1144">
        <f>1.8629/G101</f>
        <v>0.36384765624999998</v>
      </c>
      <c r="H102" s="1144">
        <f>1.8629/H101</f>
        <v>0.36384765624999998</v>
      </c>
      <c r="I102" s="1144">
        <f>1.8629/I101</f>
        <v>0.36384765624999998</v>
      </c>
      <c r="J102" s="1144">
        <f>1.942/J101</f>
        <v>0.37929687499999998</v>
      </c>
      <c r="K102" s="1144">
        <f>1.942/K101</f>
        <v>0.37929687499999998</v>
      </c>
      <c r="L102" s="1144">
        <f>1.942/L101</f>
        <v>0.37929687499999998</v>
      </c>
      <c r="M102" s="1144">
        <f>1.942/M101</f>
        <v>0.37929687499999998</v>
      </c>
      <c r="N102" s="1144">
        <f>1.942/N101</f>
        <v>0.37929687499999998</v>
      </c>
    </row>
    <row r="103" spans="1:14">
      <c r="A103" s="3453"/>
      <c r="B103" s="1143">
        <v>2</v>
      </c>
      <c r="C103" s="1144">
        <f>1.4198/C101</f>
        <v>0.27730468749999998</v>
      </c>
      <c r="D103" s="1144">
        <f>1.4198/D101</f>
        <v>0.27730468749999998</v>
      </c>
      <c r="E103" s="1144">
        <f>1.3372/E101</f>
        <v>0.261171875</v>
      </c>
      <c r="F103" s="1144">
        <f>1.3372/F101</f>
        <v>0.261171875</v>
      </c>
      <c r="G103" s="1144">
        <f>1.3372/G101</f>
        <v>0.261171875</v>
      </c>
      <c r="H103" s="1144">
        <f>1.3372/H101</f>
        <v>0.261171875</v>
      </c>
      <c r="I103" s="1144">
        <f>1.3372/I101</f>
        <v>0.261171875</v>
      </c>
      <c r="J103" s="1144">
        <f>1.2799/J101</f>
        <v>0.24998046874999999</v>
      </c>
      <c r="K103" s="1144">
        <f>1.2799/K101</f>
        <v>0.24998046874999999</v>
      </c>
      <c r="L103" s="1144">
        <f>1.2799/L101</f>
        <v>0.24998046874999999</v>
      </c>
      <c r="M103" s="1144">
        <f>1.2799/M101</f>
        <v>0.24998046874999999</v>
      </c>
      <c r="N103" s="1144">
        <f>1.2799/N101</f>
        <v>0.24998046874999999</v>
      </c>
    </row>
    <row r="104" spans="1:14">
      <c r="A104" s="3453"/>
      <c r="B104" s="1143">
        <v>3</v>
      </c>
      <c r="C104" s="1144">
        <f>1.1594/C101</f>
        <v>0.2264453125</v>
      </c>
      <c r="D104" s="1144">
        <f>1.1594/D101</f>
        <v>0.2264453125</v>
      </c>
      <c r="E104" s="1144">
        <f>1.0788/E101</f>
        <v>0.21070312499999999</v>
      </c>
      <c r="F104" s="1144">
        <f>1.0788/F101</f>
        <v>0.21070312499999999</v>
      </c>
      <c r="G104" s="1144">
        <f>1.0788/G101</f>
        <v>0.21070312499999999</v>
      </c>
      <c r="H104" s="1144">
        <f>1.0788/H101</f>
        <v>0.21070312499999999</v>
      </c>
      <c r="I104" s="1144">
        <f>1.0788/I101</f>
        <v>0.21070312499999999</v>
      </c>
      <c r="J104" s="1144">
        <f>1.0072/J101</f>
        <v>0.19671875000000003</v>
      </c>
      <c r="K104" s="1144">
        <f>1.0072/K101</f>
        <v>0.19671875000000003</v>
      </c>
      <c r="L104" s="1144">
        <f>1.0072/L101</f>
        <v>0.19671875000000003</v>
      </c>
      <c r="M104" s="1144">
        <f>1.0072/M101</f>
        <v>0.19671875000000003</v>
      </c>
      <c r="N104" s="1144">
        <f>1.0072/N101</f>
        <v>0.19671875000000003</v>
      </c>
    </row>
    <row r="105" spans="1:14">
      <c r="A105" s="3453"/>
      <c r="B105" s="1143">
        <v>4</v>
      </c>
      <c r="C105" s="1144">
        <f>0.9622/C101</f>
        <v>0.1879296875</v>
      </c>
      <c r="D105" s="1144">
        <f>0.9622/D101</f>
        <v>0.1879296875</v>
      </c>
      <c r="E105" s="1144">
        <f>0.8656/E101</f>
        <v>0.1690625</v>
      </c>
      <c r="F105" s="1144">
        <f>0.8656/F101</f>
        <v>0.1690625</v>
      </c>
      <c r="G105" s="1144">
        <f>0.8656/G101</f>
        <v>0.1690625</v>
      </c>
      <c r="H105" s="1144">
        <f>0.8656/H101</f>
        <v>0.1690625</v>
      </c>
      <c r="I105" s="1144">
        <f>0.8656/I101</f>
        <v>0.1690625</v>
      </c>
      <c r="J105" s="1144">
        <f>0.7525/J101</f>
        <v>0.14697265625</v>
      </c>
      <c r="K105" s="1144">
        <f>0.7525/K101</f>
        <v>0.14697265625</v>
      </c>
      <c r="L105" s="1144">
        <f>0.7525/L101</f>
        <v>0.14697265625</v>
      </c>
      <c r="M105" s="1144">
        <f>0.7525/M101</f>
        <v>0.14697265625</v>
      </c>
      <c r="N105" s="1144">
        <f>0.7525/N101</f>
        <v>0.14697265625</v>
      </c>
    </row>
    <row r="106" spans="1:14">
      <c r="A106" s="3453"/>
      <c r="B106" s="1143">
        <v>5</v>
      </c>
      <c r="C106" s="1144">
        <f>0.8417/C101</f>
        <v>0.16439453125</v>
      </c>
      <c r="D106" s="1144">
        <f>0.8417/D101</f>
        <v>0.16439453125</v>
      </c>
      <c r="E106" s="1144">
        <f>0.7371/E101</f>
        <v>0.14396484374999999</v>
      </c>
      <c r="F106" s="1144">
        <f>0.7371/F101</f>
        <v>0.14396484374999999</v>
      </c>
      <c r="G106" s="1144">
        <f>0.7371/G101</f>
        <v>0.14396484374999999</v>
      </c>
      <c r="H106" s="1144">
        <f>0.7371/H101</f>
        <v>0.14396484374999999</v>
      </c>
      <c r="I106" s="1144">
        <f>0.7371/I101</f>
        <v>0.14396484374999999</v>
      </c>
      <c r="J106" s="1144">
        <f>0.5659/J101</f>
        <v>0.11052734374999999</v>
      </c>
      <c r="K106" s="1144">
        <f>0.5659/K101</f>
        <v>0.11052734374999999</v>
      </c>
      <c r="L106" s="1144">
        <f>0.5659/L101</f>
        <v>0.11052734374999999</v>
      </c>
      <c r="M106" s="1144">
        <f>0.5659/M101</f>
        <v>0.11052734374999999</v>
      </c>
      <c r="N106" s="1144">
        <f>0.5659/N101</f>
        <v>0.11052734374999999</v>
      </c>
    </row>
    <row r="107" spans="1:14">
      <c r="A107" s="3453"/>
      <c r="B107" s="1143">
        <v>6</v>
      </c>
      <c r="C107" s="1144">
        <f>0.7608/C101</f>
        <v>0.14859375</v>
      </c>
      <c r="D107" s="1144">
        <f>0.7608/D101</f>
        <v>0.14859375</v>
      </c>
      <c r="E107" s="1144">
        <f>0.6482/E101</f>
        <v>0.12660156249999999</v>
      </c>
      <c r="F107" s="1144">
        <f>0.6482/F101</f>
        <v>0.12660156249999999</v>
      </c>
      <c r="G107" s="1144">
        <f>0.6482/G101</f>
        <v>0.12660156249999999</v>
      </c>
      <c r="H107" s="1144">
        <f>0.6482/H101</f>
        <v>0.12660156249999999</v>
      </c>
      <c r="I107" s="1144">
        <f>0.6482/I101</f>
        <v>0.12660156249999999</v>
      </c>
      <c r="J107" s="1144">
        <f>0.4525/J101</f>
        <v>8.837890625E-2</v>
      </c>
      <c r="K107" s="1144">
        <f>0.4525/K101</f>
        <v>8.837890625E-2</v>
      </c>
      <c r="L107" s="1144">
        <f>0.4525/L101</f>
        <v>8.837890625E-2</v>
      </c>
      <c r="M107" s="1144">
        <f>0.4525/M101</f>
        <v>8.837890625E-2</v>
      </c>
      <c r="N107" s="1144">
        <f>0.4525/N101</f>
        <v>8.837890625E-2</v>
      </c>
    </row>
    <row r="108" spans="1:14">
      <c r="A108" s="3453"/>
      <c r="B108" s="345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0.14847359374999999</v>
      </c>
      <c r="D109" s="1146">
        <f>(-0.163*(D108^2)-0.59*D108+7617)*(10^(-4))/D101</f>
        <v>0.14847359374999999</v>
      </c>
      <c r="E109" s="1146">
        <f>(-0.161*(E108^2)-7.509*E108+6533)*(10^(-4))/E101</f>
        <v>0.12622312499999999</v>
      </c>
      <c r="F109" s="1146">
        <f>(-0.161*(F108^2)-7.509*F108+6533)*(10^(-4))/F101</f>
        <v>0.12622312499999999</v>
      </c>
      <c r="G109" s="1146">
        <f>(-0.161*(G108^2)-7.509*G108+6533)*(10^(-4))/G101</f>
        <v>0.12622312499999999</v>
      </c>
      <c r="H109" s="1146">
        <f>(-0.161*(H108^2)-7.509*H108+6533)*(10^(-4))/H101</f>
        <v>0.12622312499999999</v>
      </c>
      <c r="I109" s="1146">
        <f>(-0.161*(I108^2)-7.509*I108+6533)*(10^(-4))/I101</f>
        <v>0.12622312499999999</v>
      </c>
      <c r="J109" s="1146">
        <f>(-0.214*(J108^2)-21.991*J108+4665)*(10^(-4))/J101</f>
        <v>8.74096875E-2</v>
      </c>
      <c r="K109" s="1146">
        <f>(-0.214*(K108^2)-21.991*K108+4665)*(10^(-4))/K101</f>
        <v>8.74096875E-2</v>
      </c>
      <c r="L109" s="1146">
        <f>(-0.214*(L108^2)-21.991*L108+4665)*(10^(-4))/L101</f>
        <v>8.74096875E-2</v>
      </c>
      <c r="M109" s="1146">
        <f>(-0.214*(M108^2)-21.991*M108+4665)*(10^(-4))/M101</f>
        <v>8.74096875E-2</v>
      </c>
      <c r="N109" s="1146">
        <f>(-0.214*(N108^2)-21.991*N108+4665)*(10^(-4))/N101</f>
        <v>8.74096875E-2</v>
      </c>
    </row>
    <row r="110" spans="1:14">
      <c r="A110" s="3457" t="s">
        <v>1640</v>
      </c>
      <c r="B110" s="3457"/>
      <c r="C110" s="3457"/>
      <c r="D110" s="3457"/>
      <c r="E110" s="3457"/>
      <c r="F110" s="3457"/>
      <c r="G110" s="3457"/>
      <c r="H110" s="3457"/>
      <c r="I110" s="3457"/>
      <c r="J110" s="3457"/>
      <c r="K110" s="3195"/>
      <c r="L110" s="3195"/>
      <c r="M110" s="3195"/>
      <c r="N110" s="3195"/>
    </row>
    <row r="112" spans="1:14" ht="12.75" thickBot="1"/>
    <row r="113" spans="1:13" ht="25.5" thickBot="1">
      <c r="A113" s="1016" t="s">
        <v>896</v>
      </c>
      <c r="B113" s="2430">
        <f>G3</f>
        <v>5.12</v>
      </c>
      <c r="C113" s="1017" t="s">
        <v>897</v>
      </c>
      <c r="D113" s="1018">
        <f>SUMPRODUCT((A115:A118=F113)*(B114:M114=H113)*B115:M118)</f>
        <v>0.79010000000000002</v>
      </c>
      <c r="E113" s="1019" t="s">
        <v>898</v>
      </c>
      <c r="F113" s="1020" t="str">
        <f>E2</f>
        <v>办公</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0.88539999999999996</v>
      </c>
      <c r="C115" s="1030">
        <f>B115</f>
        <v>0.88539999999999996</v>
      </c>
      <c r="D115" s="1030">
        <f>ROUND(0.8331-0.0109*B113,4)</f>
        <v>0.77729999999999999</v>
      </c>
      <c r="E115" s="1030">
        <f>D115</f>
        <v>0.77729999999999999</v>
      </c>
      <c r="F115" s="1030">
        <f>E115</f>
        <v>0.77729999999999999</v>
      </c>
      <c r="G115" s="1030">
        <f>F115</f>
        <v>0.77729999999999999</v>
      </c>
      <c r="H115" s="1030">
        <f>G115</f>
        <v>0.77729999999999999</v>
      </c>
      <c r="I115" s="1030">
        <f>ROUND(0.689-0.0155*B113,4)</f>
        <v>0.60960000000000003</v>
      </c>
      <c r="J115" s="1030">
        <f t="shared" ref="J115:M118" si="33">I115</f>
        <v>0.60960000000000003</v>
      </c>
      <c r="K115" s="1030">
        <f t="shared" si="33"/>
        <v>0.60960000000000003</v>
      </c>
      <c r="L115" s="1030">
        <f t="shared" si="33"/>
        <v>0.60960000000000003</v>
      </c>
      <c r="M115" s="1031">
        <f t="shared" si="33"/>
        <v>0.60960000000000003</v>
      </c>
    </row>
    <row r="116" spans="1:13" ht="12.75">
      <c r="A116" s="1029" t="s">
        <v>901</v>
      </c>
      <c r="B116" s="1030">
        <f>ROUND(0.949-0.012*B113,4)</f>
        <v>0.88759999999999994</v>
      </c>
      <c r="C116" s="1030">
        <f>B116</f>
        <v>0.88759999999999994</v>
      </c>
      <c r="D116" s="1030">
        <f>ROUND(0.8567-0.013*B113,4)</f>
        <v>0.79010000000000002</v>
      </c>
      <c r="E116" s="1030">
        <f t="shared" ref="E116:H117" si="34">D116</f>
        <v>0.79010000000000002</v>
      </c>
      <c r="F116" s="1030">
        <f t="shared" si="34"/>
        <v>0.79010000000000002</v>
      </c>
      <c r="G116" s="1030">
        <f t="shared" si="34"/>
        <v>0.79010000000000002</v>
      </c>
      <c r="H116" s="1030">
        <f t="shared" si="34"/>
        <v>0.79010000000000002</v>
      </c>
      <c r="I116" s="1030">
        <f>ROUND(0.7694-0.014*B113,4)</f>
        <v>0.69769999999999999</v>
      </c>
      <c r="J116" s="1030">
        <f t="shared" si="33"/>
        <v>0.69769999999999999</v>
      </c>
      <c r="K116" s="1030">
        <f t="shared" si="33"/>
        <v>0.69769999999999999</v>
      </c>
      <c r="L116" s="1030">
        <f t="shared" si="33"/>
        <v>0.69769999999999999</v>
      </c>
      <c r="M116" s="1031">
        <f t="shared" si="33"/>
        <v>0.69769999999999999</v>
      </c>
    </row>
    <row r="117" spans="1:13" ht="12.75">
      <c r="A117" s="1032" t="s">
        <v>902</v>
      </c>
      <c r="B117" s="1030">
        <f>ROUND(0.8808-0.006*B113,4)</f>
        <v>0.85009999999999997</v>
      </c>
      <c r="C117" s="1030">
        <f>B117</f>
        <v>0.85009999999999997</v>
      </c>
      <c r="D117" s="1030">
        <f>ROUND(0.8748-0.008*B113,4)</f>
        <v>0.83379999999999999</v>
      </c>
      <c r="E117" s="1030">
        <f t="shared" si="34"/>
        <v>0.83379999999999999</v>
      </c>
      <c r="F117" s="1030">
        <f t="shared" si="34"/>
        <v>0.83379999999999999</v>
      </c>
      <c r="G117" s="1030">
        <f t="shared" si="34"/>
        <v>0.83379999999999999</v>
      </c>
      <c r="H117" s="1030">
        <f t="shared" si="34"/>
        <v>0.83379999999999999</v>
      </c>
      <c r="I117" s="1030">
        <f>ROUND(0.7412-0.0095*B113,4)</f>
        <v>0.69259999999999999</v>
      </c>
      <c r="J117" s="1030">
        <f t="shared" si="33"/>
        <v>0.69259999999999999</v>
      </c>
      <c r="K117" s="1030">
        <f t="shared" si="33"/>
        <v>0.69259999999999999</v>
      </c>
      <c r="L117" s="1030">
        <f t="shared" si="33"/>
        <v>0.69259999999999999</v>
      </c>
      <c r="M117" s="1031">
        <f t="shared" si="33"/>
        <v>0.69259999999999999</v>
      </c>
    </row>
    <row r="118" spans="1:13" ht="13.5" thickBot="1">
      <c r="A118" s="1033" t="s">
        <v>903</v>
      </c>
      <c r="B118" s="1034">
        <f>ROUND(0.7275-0.01*B113,4)</f>
        <v>0.67630000000000001</v>
      </c>
      <c r="C118" s="1034">
        <f>B118</f>
        <v>0.67630000000000001</v>
      </c>
      <c r="D118" s="1034">
        <f>ROUND(0.7043-0.012*B113,4)</f>
        <v>0.64290000000000003</v>
      </c>
      <c r="E118" s="1034">
        <f>D118</f>
        <v>0.64290000000000003</v>
      </c>
      <c r="F118" s="1034">
        <f>E118</f>
        <v>0.64290000000000003</v>
      </c>
      <c r="G118" s="1034">
        <f>ROUND(0.6299-0.0122*B113,4)</f>
        <v>0.56740000000000002</v>
      </c>
      <c r="H118" s="1034">
        <f>G118</f>
        <v>0.56740000000000002</v>
      </c>
      <c r="I118" s="1034">
        <f>ROUND(0.5667-0.0136*B113,4)</f>
        <v>0.49709999999999999</v>
      </c>
      <c r="J118" s="1034">
        <f t="shared" si="33"/>
        <v>0.49709999999999999</v>
      </c>
      <c r="K118" s="1034">
        <f t="shared" si="33"/>
        <v>0.49709999999999999</v>
      </c>
      <c r="L118" s="1034">
        <f t="shared" si="33"/>
        <v>0.49709999999999999</v>
      </c>
      <c r="M118" s="1035">
        <f t="shared" si="33"/>
        <v>0.49709999999999999</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8" type="noConversion"/>
  <conditionalFormatting sqref="F47">
    <cfRule type="cellIs" dxfId="65" priority="5" stopIfTrue="1" operator="notEqual">
      <formula>"——"</formula>
    </cfRule>
  </conditionalFormatting>
  <conditionalFormatting sqref="F58">
    <cfRule type="cellIs" dxfId="64" priority="4" stopIfTrue="1" operator="notEqual">
      <formula>"——"</formula>
    </cfRule>
  </conditionalFormatting>
  <conditionalFormatting sqref="F69">
    <cfRule type="cellIs" dxfId="63" priority="3" stopIfTrue="1" operator="notEqual">
      <formula>"——"</formula>
    </cfRule>
  </conditionalFormatting>
  <conditionalFormatting sqref="F80">
    <cfRule type="cellIs" dxfId="62" priority="2" stopIfTrue="1" operator="notEqual">
      <formula>"——"</formula>
    </cfRule>
  </conditionalFormatting>
  <conditionalFormatting sqref="H58:H66 H47:H55 H69:H77 H80:H87">
    <cfRule type="cellIs" dxfId="6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topLeftCell="A16" zoomScaleNormal="100" workbookViewId="0">
      <selection activeCell="F35" sqref="F3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1678</v>
      </c>
      <c r="D1" s="3101" t="s">
        <v>3126</v>
      </c>
      <c r="E1" s="2366" t="s">
        <v>870</v>
      </c>
      <c r="F1" s="2367">
        <f ca="1">J53</f>
        <v>48</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1280446</v>
      </c>
      <c r="C2" s="2057"/>
      <c r="D2" s="2055"/>
      <c r="E2" s="2056"/>
      <c r="F2" s="2056"/>
      <c r="G2" s="1590"/>
      <c r="H2" s="2057"/>
      <c r="I2" s="2057"/>
      <c r="J2" s="2057"/>
      <c r="K2" s="2058"/>
      <c r="L2" s="2057"/>
      <c r="M2" s="2057"/>
    </row>
    <row r="3" spans="1:33" ht="18" customHeight="1" thickBot="1">
      <c r="A3" s="833" t="s">
        <v>1728</v>
      </c>
      <c r="B3" s="834">
        <f ca="1">IF(ISERROR(B2*10000/F43),0,ROUND(B2*10000/F43,0))</f>
        <v>40643</v>
      </c>
      <c r="C3" s="2057"/>
      <c r="D3" s="2055"/>
      <c r="E3" s="2056"/>
      <c r="F3" s="2056"/>
      <c r="G3" s="1590"/>
      <c r="H3" s="776" t="s">
        <v>695</v>
      </c>
      <c r="I3" s="1362"/>
      <c r="J3" s="1362"/>
      <c r="K3" s="1591"/>
      <c r="L3" s="1362"/>
      <c r="M3" s="1362"/>
    </row>
    <row r="4" spans="1:33" ht="18" customHeight="1">
      <c r="A4" s="777" t="s">
        <v>698</v>
      </c>
      <c r="B4" s="778" t="s">
        <v>631</v>
      </c>
      <c r="C4" s="778" t="s">
        <v>1731</v>
      </c>
      <c r="D4" s="778" t="s">
        <v>633</v>
      </c>
      <c r="E4" s="779" t="s">
        <v>634</v>
      </c>
      <c r="F4" s="780"/>
      <c r="G4" s="1592"/>
      <c r="H4" s="777" t="s">
        <v>698</v>
      </c>
      <c r="I4" s="778" t="s">
        <v>631</v>
      </c>
      <c r="J4" s="778" t="s">
        <v>1731</v>
      </c>
      <c r="K4" s="778" t="s">
        <v>1736</v>
      </c>
      <c r="L4" s="779" t="s">
        <v>634</v>
      </c>
      <c r="M4" s="780"/>
    </row>
    <row r="5" spans="1:33" ht="18" customHeight="1">
      <c r="A5" s="781">
        <v>1</v>
      </c>
      <c r="B5" s="782" t="s">
        <v>2459</v>
      </c>
      <c r="C5" s="55">
        <f ca="1">C6+C10+C12</f>
        <v>98441</v>
      </c>
      <c r="D5" s="2475" t="s">
        <v>2462</v>
      </c>
      <c r="E5" s="2469"/>
      <c r="F5" s="2470"/>
      <c r="G5" s="1592"/>
      <c r="H5" s="781">
        <v>1</v>
      </c>
      <c r="I5" s="782" t="s">
        <v>2459</v>
      </c>
      <c r="J5" s="55">
        <f ca="1">J6+J10+J12</f>
        <v>0</v>
      </c>
      <c r="K5" s="2475" t="s">
        <v>2462</v>
      </c>
      <c r="L5" s="2469"/>
      <c r="M5" s="2470"/>
    </row>
    <row r="6" spans="1:33" ht="18" customHeight="1">
      <c r="A6" s="1830" t="s">
        <v>1825</v>
      </c>
      <c r="B6" s="3469" t="s">
        <v>2464</v>
      </c>
      <c r="C6" s="783">
        <f ca="1">ROUND(F6*F8*F7*(1-F9)/10000,0)</f>
        <v>98318</v>
      </c>
      <c r="D6" s="2476" t="s">
        <v>2463</v>
      </c>
      <c r="E6" s="784" t="s">
        <v>637</v>
      </c>
      <c r="F6" s="785">
        <f ca="1">INDIRECT("'数据-取费表'!u"&amp;$G$1)</f>
        <v>9</v>
      </c>
      <c r="G6" s="1592"/>
      <c r="H6" s="2483" t="s">
        <v>1825</v>
      </c>
      <c r="I6" s="3469" t="s">
        <v>2464</v>
      </c>
      <c r="J6" s="783">
        <f ca="1">ROUND(M6*M8*M7*(1-M9)/10000,0)</f>
        <v>0</v>
      </c>
      <c r="K6" s="341" t="s">
        <v>636</v>
      </c>
      <c r="L6" s="784" t="s">
        <v>637</v>
      </c>
      <c r="M6" s="785">
        <f ca="1">INDIRECT("'数据-取费表'!z"&amp;$G$1)</f>
        <v>0</v>
      </c>
    </row>
    <row r="7" spans="1:33" ht="18" customHeight="1">
      <c r="A7" s="2479"/>
      <c r="B7" s="3470"/>
      <c r="C7" s="788"/>
      <c r="D7" s="789"/>
      <c r="E7" s="784" t="s">
        <v>1740</v>
      </c>
      <c r="F7" s="785">
        <f ca="1">IF(INDIRECT("'数据-取费表'!ah"&amp;$G$1)="",INDIRECT("'数据-取费表'!k"&amp;$G$1),INDIRECT("'数据-取费表'!ah"&amp;$G$1))</f>
        <v>315045</v>
      </c>
      <c r="G7" s="1592"/>
      <c r="H7" s="2468"/>
      <c r="I7" s="3470"/>
      <c r="J7" s="788"/>
      <c r="K7" s="789"/>
      <c r="L7" s="784" t="s">
        <v>1740</v>
      </c>
      <c r="M7" s="785">
        <f ca="1">F7</f>
        <v>315045</v>
      </c>
    </row>
    <row r="8" spans="1:33" ht="18" customHeight="1">
      <c r="A8" s="2472"/>
      <c r="B8" s="3471"/>
      <c r="C8" s="788"/>
      <c r="D8" s="789"/>
      <c r="E8" s="784" t="s">
        <v>639</v>
      </c>
      <c r="F8" s="785">
        <f ca="1">INDIRECT("'数据-取费表'!ai"&amp;$G$1)</f>
        <v>365</v>
      </c>
      <c r="G8" s="1592"/>
      <c r="H8" s="2468"/>
      <c r="I8" s="3471"/>
      <c r="J8" s="788"/>
      <c r="K8" s="789"/>
      <c r="L8" s="784" t="s">
        <v>639</v>
      </c>
      <c r="M8" s="785">
        <f ca="1">INDIRECT("'数据-取费表'!ai"&amp;$G$1)</f>
        <v>365</v>
      </c>
    </row>
    <row r="9" spans="1:33" ht="18" customHeight="1">
      <c r="A9" s="786"/>
      <c r="B9" s="3472"/>
      <c r="C9" s="788"/>
      <c r="D9" s="789"/>
      <c r="E9" s="784" t="s">
        <v>1742</v>
      </c>
      <c r="F9" s="794">
        <f ca="1">INDIRECT("'数据-取费表'!w"&amp;$G$1)</f>
        <v>0.05</v>
      </c>
      <c r="G9" s="1592"/>
      <c r="H9" s="2484"/>
      <c r="I9" s="3471"/>
      <c r="J9" s="788"/>
      <c r="K9" s="789"/>
      <c r="L9" s="795" t="s">
        <v>1742</v>
      </c>
      <c r="M9" s="796">
        <f ca="1">INDIRECT("'数据-取费表'!ab"&amp;$G$1)</f>
        <v>0</v>
      </c>
    </row>
    <row r="10" spans="1:33" ht="18" customHeight="1">
      <c r="A10" s="1830" t="s">
        <v>1826</v>
      </c>
      <c r="B10" s="2473" t="s">
        <v>2460</v>
      </c>
      <c r="C10" s="799">
        <f ca="1">ROUND(IF(F10="押一",C6/12*F11,IF(F10="押二",C6/12*2*F11,IF(F10="押三",C6/12*3*F11,C11*F11))),0)</f>
        <v>123</v>
      </c>
      <c r="D10" s="2480" t="s">
        <v>2972</v>
      </c>
      <c r="E10" s="2477" t="s">
        <v>2465</v>
      </c>
      <c r="F10" s="2600" t="s">
        <v>3125</v>
      </c>
      <c r="G10" s="1592"/>
      <c r="H10" s="2540" t="s">
        <v>1826</v>
      </c>
      <c r="I10" s="2545" t="s">
        <v>2460</v>
      </c>
      <c r="J10" s="783">
        <f ca="1">ROUND(IF(M10="押一",J6/12*M11,IF(M10="押二",J6/12*2*M11,IF(M10="押三",J6/12*3*M11,J11*M11))),0)</f>
        <v>0</v>
      </c>
      <c r="K10" s="2480" t="s">
        <v>2972</v>
      </c>
      <c r="L10" s="2477" t="s">
        <v>2465</v>
      </c>
      <c r="M10" s="2600"/>
    </row>
    <row r="11" spans="1:33" ht="18" customHeight="1">
      <c r="A11" s="790"/>
      <c r="B11" s="2474" t="s">
        <v>2574</v>
      </c>
      <c r="C11" s="2478"/>
      <c r="D11" s="789"/>
      <c r="E11" s="2477" t="s">
        <v>2457</v>
      </c>
      <c r="F11" s="796">
        <f ca="1">'数据-取费表'!B39</f>
        <v>1.4999999999999999E-2</v>
      </c>
      <c r="G11" s="1592"/>
      <c r="H11" s="2541"/>
      <c r="I11" s="2474" t="s">
        <v>2574</v>
      </c>
      <c r="J11" s="2478"/>
      <c r="K11" s="2542"/>
      <c r="L11" s="2477" t="s">
        <v>2457</v>
      </c>
      <c r="M11" s="2471">
        <f ca="1">'数据-取费表'!B39</f>
        <v>1.4999999999999999E-2</v>
      </c>
    </row>
    <row r="12" spans="1:33" ht="18" customHeight="1" thickBot="1">
      <c r="A12" s="2516" t="s">
        <v>2468</v>
      </c>
      <c r="B12" s="2517" t="s">
        <v>2461</v>
      </c>
      <c r="C12" s="2518"/>
      <c r="D12" s="2519"/>
      <c r="E12" s="2520"/>
      <c r="F12" s="2521"/>
      <c r="G12" s="1592"/>
      <c r="H12" s="2530" t="s">
        <v>2468</v>
      </c>
      <c r="I12" s="2543" t="s">
        <v>2461</v>
      </c>
      <c r="J12" s="2544"/>
      <c r="K12" s="2519"/>
      <c r="L12" s="2520"/>
      <c r="M12" s="2533"/>
    </row>
    <row r="13" spans="1:33" ht="18" customHeight="1" thickTop="1">
      <c r="A13" s="1829">
        <v>2</v>
      </c>
      <c r="B13" s="1827" t="s">
        <v>1743</v>
      </c>
      <c r="C13" s="792">
        <f ca="1">ROUND(C29*F13,0)</f>
        <v>218255</v>
      </c>
      <c r="D13" s="1834" t="s">
        <v>2298</v>
      </c>
      <c r="E13" s="1834" t="s">
        <v>643</v>
      </c>
      <c r="F13" s="2515">
        <f ca="1">INDIRECT("'数据-取费表'!y"&amp;$G$1)</f>
        <v>1</v>
      </c>
      <c r="G13" s="1592"/>
      <c r="H13" s="1829">
        <v>2</v>
      </c>
      <c r="I13" s="1827" t="s">
        <v>1743</v>
      </c>
      <c r="J13" s="1819">
        <f ca="1">ROUND(J14*J15,0)</f>
        <v>218255</v>
      </c>
      <c r="K13" s="1821" t="s">
        <v>1744</v>
      </c>
      <c r="L13" s="2531"/>
      <c r="M13" s="2532"/>
    </row>
    <row r="14" spans="1:33" ht="18" customHeight="1">
      <c r="A14" s="1648" t="s">
        <v>1832</v>
      </c>
      <c r="B14" s="784" t="s">
        <v>645</v>
      </c>
      <c r="C14" s="804">
        <f ca="1">INDIRECT("'数据-取费表'!m"&amp;$G$1)+INDIRECT("'数据-取费表'!t"&amp;$G$1)</f>
        <v>141770</v>
      </c>
      <c r="D14" s="3251" t="s">
        <v>1746</v>
      </c>
      <c r="E14" s="3252"/>
      <c r="F14" s="805"/>
      <c r="G14" s="1592"/>
      <c r="H14" s="1649" t="s">
        <v>1825</v>
      </c>
      <c r="I14" s="2231" t="s">
        <v>2825</v>
      </c>
      <c r="J14" s="53">
        <f ca="1">C29</f>
        <v>218255</v>
      </c>
      <c r="K14" s="26"/>
      <c r="L14" s="801"/>
      <c r="M14" s="802"/>
    </row>
    <row r="15" spans="1:33" s="2064" customFormat="1" ht="18" customHeight="1" thickBot="1">
      <c r="A15" s="1648" t="s">
        <v>1833</v>
      </c>
      <c r="B15" s="784" t="s">
        <v>647</v>
      </c>
      <c r="C15" s="53">
        <f ca="1">ROUND(C14*F15,0)</f>
        <v>4253</v>
      </c>
      <c r="D15" s="806" t="s">
        <v>648</v>
      </c>
      <c r="E15" s="806" t="s">
        <v>1748</v>
      </c>
      <c r="F15" s="807">
        <f>'数据-取费表'!B33</f>
        <v>0.03</v>
      </c>
      <c r="G15" s="1593"/>
      <c r="H15" s="2530" t="s">
        <v>1890</v>
      </c>
      <c r="I15" s="2525" t="s">
        <v>643</v>
      </c>
      <c r="J15" s="2534">
        <f ca="1">INDIRECT("'数据-取费表'!ad"&amp;$G$1)</f>
        <v>1</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f ca="1">ROUND(INDIRECT("'数据-取费表'!m"&amp;$G$1)*F16,0)</f>
        <v>0</v>
      </c>
      <c r="D16" s="784" t="s">
        <v>648</v>
      </c>
      <c r="E16" s="784" t="s">
        <v>1748</v>
      </c>
      <c r="F16" s="809">
        <f ca="1">IF(INDIRECT("'数据-取费表'!c"&amp;$G$1)="住宅",'数据-取费表'!B34,0)</f>
        <v>0</v>
      </c>
      <c r="G16" s="1592"/>
      <c r="H16" s="1829" t="s">
        <v>7</v>
      </c>
      <c r="I16" s="1827" t="s">
        <v>1750</v>
      </c>
      <c r="J16" s="792">
        <f ca="1">ROUND(J17+J22+J23+J24,0)</f>
        <v>22118</v>
      </c>
      <c r="K16" s="1821" t="s">
        <v>1751</v>
      </c>
      <c r="L16" s="3255"/>
      <c r="M16" s="2470"/>
    </row>
    <row r="17" spans="1:33" s="2064" customFormat="1" ht="18" customHeight="1">
      <c r="A17" s="1648" t="s">
        <v>1888</v>
      </c>
      <c r="B17" s="784" t="s">
        <v>653</v>
      </c>
      <c r="C17" s="53">
        <f ca="1">ROUND(F17*(F43+INDIRECT("'数据-取费表'!S"&amp;$G$1))/10000,0)</f>
        <v>6301</v>
      </c>
      <c r="D17" s="784" t="s">
        <v>1752</v>
      </c>
      <c r="E17" s="784" t="s">
        <v>655</v>
      </c>
      <c r="F17" s="56">
        <f>'数据-取费表'!B35</f>
        <v>200</v>
      </c>
      <c r="G17" s="1593"/>
      <c r="H17" s="1649" t="s">
        <v>1825</v>
      </c>
      <c r="I17" s="784" t="s">
        <v>656</v>
      </c>
      <c r="J17" s="53">
        <f ca="1">ROUND(IF(项目基本情况!B11="自然人",J5*M17,J18+J19+J20),0)</f>
        <v>18407</v>
      </c>
      <c r="K17" s="3251" t="s">
        <v>657</v>
      </c>
      <c r="L17" s="3253"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2127</v>
      </c>
      <c r="D18" s="784" t="s">
        <v>648</v>
      </c>
      <c r="E18" s="784" t="s">
        <v>1748</v>
      </c>
      <c r="F18" s="809">
        <f>'数据-取费表'!B36</f>
        <v>1.4999999999999999E-2</v>
      </c>
      <c r="G18" s="1593"/>
      <c r="H18" s="1648" t="s">
        <v>1832</v>
      </c>
      <c r="I18" s="784" t="s">
        <v>1756</v>
      </c>
      <c r="J18" s="53">
        <f ca="1">ROUND(J5*M18/1.05,1)</f>
        <v>0</v>
      </c>
      <c r="K18" s="3253" t="s">
        <v>661</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f ca="1">SUM(C14:C18)</f>
        <v>154451</v>
      </c>
      <c r="D19" s="261" t="s">
        <v>1758</v>
      </c>
      <c r="E19" s="3256"/>
      <c r="F19" s="56"/>
      <c r="G19" s="1592"/>
      <c r="H19" s="1648" t="s">
        <v>1833</v>
      </c>
      <c r="I19" s="784" t="s">
        <v>664</v>
      </c>
      <c r="J19" s="53">
        <f ca="1">IF(K19="按租金收入计税",ROUND(J5*M19,1),ROUND(C29*F33*0.7,1))</f>
        <v>18333.400000000001</v>
      </c>
      <c r="K19" s="811" t="s">
        <v>665</v>
      </c>
      <c r="L19" s="784" t="s">
        <v>1748</v>
      </c>
      <c r="M19" s="809">
        <f>IF(K19="按租金收入计税",'数据-取费表'!B51,'数据-取费表'!B50)</f>
        <v>1.2E-2</v>
      </c>
    </row>
    <row r="20" spans="1:33" s="2064" customFormat="1" ht="18" customHeight="1">
      <c r="A20" s="1649" t="s">
        <v>1890</v>
      </c>
      <c r="B20" s="784" t="s">
        <v>666</v>
      </c>
      <c r="C20" s="53">
        <f ca="1">ROUND(C19*F20,0)</f>
        <v>4634</v>
      </c>
      <c r="D20" s="812" t="s">
        <v>1760</v>
      </c>
      <c r="E20" s="784" t="s">
        <v>1748</v>
      </c>
      <c r="F20" s="809">
        <f>'数据-取费表'!B37</f>
        <v>0.03</v>
      </c>
      <c r="G20" s="1593"/>
      <c r="H20" s="1651" t="s">
        <v>1834</v>
      </c>
      <c r="I20" s="341" t="s">
        <v>1761</v>
      </c>
      <c r="J20" s="54">
        <f ca="1">ROUND(M20*M21/10000,0)</f>
        <v>74</v>
      </c>
      <c r="K20" s="814" t="s">
        <v>1762</v>
      </c>
      <c r="L20" s="784" t="s">
        <v>670</v>
      </c>
      <c r="M20" s="640">
        <f>'数据-取费表'!B52</f>
        <v>12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v>
      </c>
      <c r="D21" s="812" t="s">
        <v>2299</v>
      </c>
      <c r="E21" s="784" t="s">
        <v>1766</v>
      </c>
      <c r="F21" s="809">
        <f>'数据-取费表'!B38</f>
        <v>0.03</v>
      </c>
      <c r="G21" s="1593"/>
      <c r="H21" s="2485"/>
      <c r="I21" s="793"/>
      <c r="J21" s="69"/>
      <c r="K21" s="816"/>
      <c r="L21" s="784" t="s">
        <v>674</v>
      </c>
      <c r="M21" s="785">
        <f ca="1">INDIRECT("'数据-取费表'!r"&amp;$G$1)</f>
        <v>61592.03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51" t="str">
        <f>IF(F23&lt;=1,"单利计息。","复利计息。")&amp;"建造成本、管理费用、销售费用产生的利息。"</f>
        <v>复利计息。建造成本、管理费用、销售费用产生的利息。</v>
      </c>
      <c r="E22" s="3256"/>
      <c r="F22" s="56"/>
      <c r="G22" s="1592"/>
      <c r="H22" s="1649" t="s">
        <v>1890</v>
      </c>
      <c r="I22" s="784" t="s">
        <v>676</v>
      </c>
      <c r="J22" s="53">
        <f ca="1">ROUND(J14*M22,0)</f>
        <v>3274</v>
      </c>
      <c r="K22" s="3253" t="s">
        <v>1770</v>
      </c>
      <c r="L22" s="784" t="s">
        <v>1748</v>
      </c>
      <c r="M22" s="817">
        <f ca="1">INDIRECT("'数据-取费表'!Ak"&amp;$G$1)</f>
        <v>1.4999999999999999E-2</v>
      </c>
    </row>
    <row r="23" spans="1:33" s="2064" customFormat="1" ht="18" customHeight="1">
      <c r="A23" s="1648" t="s">
        <v>1832</v>
      </c>
      <c r="B23" s="784" t="s">
        <v>2438</v>
      </c>
      <c r="C23" s="53">
        <f ca="1">ROUND(IF('数据-取费表'!B22&lt;=1,(C19+C20)*F24*F23/2,(C19+C20)*(POWER((1+F24),F23/2)-1)),0)</f>
        <v>7557</v>
      </c>
      <c r="D23" s="2550" t="str">
        <f>IF(F23&lt;=1,"(建造成本+管理费用)×利率×(建设周期÷2)","(建造成本+管理费用)×((1+利率)^(建设周期÷2)-1)")</f>
        <v>(建造成本+管理费用)×((1+利率)^(建设周期÷2)-1)</v>
      </c>
      <c r="E23" s="784" t="s">
        <v>678</v>
      </c>
      <c r="F23" s="640">
        <f>'数据-取费表'!B20</f>
        <v>2</v>
      </c>
      <c r="G23" s="1593"/>
      <c r="H23" s="1649" t="s">
        <v>1891</v>
      </c>
      <c r="I23" s="784" t="s">
        <v>679</v>
      </c>
      <c r="J23" s="53">
        <f ca="1">ROUND(J13*M23,0)</f>
        <v>437</v>
      </c>
      <c r="K23" s="3253" t="s">
        <v>680</v>
      </c>
      <c r="L23" s="784" t="s">
        <v>1748</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1.4E-3</v>
      </c>
      <c r="D24" s="2550" t="str">
        <f>IF(F23&lt;=1,"销售费用×利率×(建设周期÷2)","销售费用×((1+利率)^(建设周期÷2)-1)")</f>
        <v>销售费用×((1+利率)^(建设周期÷2)-1)</v>
      </c>
      <c r="E24" s="784" t="s">
        <v>682</v>
      </c>
      <c r="F24" s="819">
        <f ca="1">'数据-取费表'!B40</f>
        <v>4.7500000000000001E-2</v>
      </c>
      <c r="G24" s="1593"/>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3256"/>
      <c r="F25" s="56"/>
      <c r="G25" s="1592"/>
      <c r="H25" s="1829" t="s">
        <v>1777</v>
      </c>
      <c r="I25" s="2986" t="s">
        <v>2822</v>
      </c>
      <c r="J25" s="792">
        <f ca="1">J5-J16</f>
        <v>-22118</v>
      </c>
      <c r="K25" s="2527" t="s">
        <v>700</v>
      </c>
      <c r="L25" s="2528"/>
      <c r="M25" s="2529"/>
    </row>
    <row r="26" spans="1:33" ht="18" customHeight="1">
      <c r="A26" s="1648" t="s">
        <v>1832</v>
      </c>
      <c r="B26" s="784" t="s">
        <v>2439</v>
      </c>
      <c r="C26" s="53">
        <f ca="1">ROUND((C19+C20)*F26,0)</f>
        <v>31817</v>
      </c>
      <c r="D26" s="812" t="s">
        <v>701</v>
      </c>
      <c r="E26" s="795" t="s">
        <v>702</v>
      </c>
      <c r="F26" s="794">
        <f ca="1">INDIRECT("'数据-取费表'!q"&amp;$G$1)</f>
        <v>0.2</v>
      </c>
      <c r="G26" s="1592"/>
      <c r="H26" s="2481" t="s">
        <v>1781</v>
      </c>
      <c r="I26" s="2232" t="s">
        <v>2827</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6.0000000000000001E-3</v>
      </c>
      <c r="D27" s="812" t="s">
        <v>1783</v>
      </c>
      <c r="E27" s="806"/>
      <c r="F27" s="807"/>
      <c r="G27" s="1592"/>
      <c r="H27" s="2482"/>
      <c r="I27" s="787"/>
      <c r="J27" s="788"/>
      <c r="K27" s="821" t="s">
        <v>707</v>
      </c>
      <c r="L27" s="784" t="s">
        <v>708</v>
      </c>
      <c r="M27" s="822">
        <f ca="1">INDIRECT("'数据-取费表'!ag"&amp;$G$1)</f>
        <v>-2</v>
      </c>
    </row>
    <row r="28" spans="1:33" s="2064" customFormat="1" ht="18" customHeight="1">
      <c r="A28" s="1650" t="s">
        <v>1842</v>
      </c>
      <c r="B28" s="784" t="s">
        <v>687</v>
      </c>
      <c r="C28" s="53">
        <f>ROUND(F28/(1+'数据-取费表'!C42),4)</f>
        <v>5.33E-2</v>
      </c>
      <c r="D28" s="812" t="s">
        <v>2300</v>
      </c>
      <c r="E28" s="784" t="s">
        <v>1748</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218255</v>
      </c>
      <c r="D29" s="2524"/>
      <c r="E29" s="2525"/>
      <c r="F29" s="2526"/>
      <c r="G29" s="1593"/>
      <c r="H29" s="823" t="s">
        <v>1788</v>
      </c>
      <c r="I29" s="824" t="s">
        <v>1789</v>
      </c>
      <c r="J29" s="825">
        <f ca="1">ROUND(J26/(1+F40)^F41,0)</f>
        <v>0</v>
      </c>
      <c r="K29" s="826" t="s">
        <v>688</v>
      </c>
      <c r="L29" s="827"/>
      <c r="M29" s="828">
        <f ca="1">INDIRECT("'数据-取费表'!k"&amp;$G$1)</f>
        <v>315045</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1750</v>
      </c>
      <c r="C30" s="792">
        <f ca="1">ROUND(C31+C36+C37+C38,0)</f>
        <v>22816</v>
      </c>
      <c r="D30" s="1821" t="s">
        <v>1751</v>
      </c>
      <c r="E30" s="3255"/>
      <c r="F30" s="2470"/>
      <c r="G30" s="2062"/>
      <c r="H30" s="2065"/>
      <c r="I30" s="2066"/>
      <c r="J30" s="2067"/>
      <c r="K30" s="2068"/>
      <c r="L30" s="2069"/>
      <c r="M30" s="2070"/>
    </row>
    <row r="31" spans="1:33" ht="18" customHeight="1">
      <c r="A31" s="1649" t="s">
        <v>1825</v>
      </c>
      <c r="B31" s="784" t="s">
        <v>656</v>
      </c>
      <c r="C31" s="53">
        <f ca="1">ROUND(IF(项目基本情况!B11="自然人",C5*F31,C32+C33+C34),1)</f>
        <v>17137</v>
      </c>
      <c r="D31" s="3251" t="s">
        <v>657</v>
      </c>
      <c r="E31" s="3253"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1756</v>
      </c>
      <c r="C32" s="53">
        <f ca="1">ROUND(C5*F32/1.05,1)</f>
        <v>5250.2</v>
      </c>
      <c r="D32" s="3253" t="s">
        <v>661</v>
      </c>
      <c r="E32" s="784" t="s">
        <v>1748</v>
      </c>
      <c r="F32" s="809">
        <f>'数据-取费表'!B41</f>
        <v>5.6000000000000001E-2</v>
      </c>
      <c r="G32" s="2062"/>
      <c r="H32" s="2071"/>
      <c r="I32" s="2072"/>
      <c r="J32" s="2073"/>
      <c r="K32" s="2074"/>
      <c r="L32" s="2075"/>
      <c r="M32" s="2076"/>
    </row>
    <row r="33" spans="1:18" ht="18" customHeight="1">
      <c r="A33" s="1648" t="s">
        <v>1833</v>
      </c>
      <c r="B33" s="784" t="s">
        <v>664</v>
      </c>
      <c r="C33" s="53">
        <f ca="1">IF(D33="按租金收入计税",ROUND(C5*F33,1),IF(D33="按房产原值计税",ROUND(C29*F33*0.7,1),INDIRECT("'数据-取费表'!Aj"&amp;$G$1)))</f>
        <v>11812.9</v>
      </c>
      <c r="D33" s="811" t="s">
        <v>3128</v>
      </c>
      <c r="E33" s="784" t="s">
        <v>1748</v>
      </c>
      <c r="F33" s="809">
        <f>IF(D33="按租金收入计税",'数据-取费表'!B51,'数据-取费表'!B50)</f>
        <v>0.12</v>
      </c>
      <c r="G33" s="2062"/>
      <c r="H33" s="2077"/>
      <c r="I33" s="2077"/>
      <c r="J33" s="2077"/>
      <c r="K33" s="2078"/>
      <c r="L33" s="2077"/>
      <c r="M33" s="2077"/>
    </row>
    <row r="34" spans="1:18" ht="18" customHeight="1">
      <c r="A34" s="1651" t="s">
        <v>1834</v>
      </c>
      <c r="B34" s="341" t="s">
        <v>1761</v>
      </c>
      <c r="C34" s="54">
        <f ca="1">ROUND(F34*F35/10000,1)</f>
        <v>73.900000000000006</v>
      </c>
      <c r="D34" s="814" t="s">
        <v>1762</v>
      </c>
      <c r="E34" s="784" t="s">
        <v>670</v>
      </c>
      <c r="F34" s="640">
        <f>'数据-取费表'!B52</f>
        <v>12</v>
      </c>
      <c r="G34" s="2062"/>
      <c r="H34" s="2065"/>
      <c r="I34" s="835" t="s">
        <v>1814</v>
      </c>
      <c r="J34" s="836"/>
      <c r="K34" s="2080"/>
      <c r="L34" s="2079"/>
      <c r="M34" s="2079"/>
    </row>
    <row r="35" spans="1:18" ht="18" customHeight="1">
      <c r="A35" s="815"/>
      <c r="B35" s="793"/>
      <c r="C35" s="69"/>
      <c r="D35" s="816"/>
      <c r="E35" s="784" t="s">
        <v>674</v>
      </c>
      <c r="F35" s="785">
        <f ca="1">INDIRECT("'数据-取费表'!r"&amp;$G$1)</f>
        <v>61592.03</v>
      </c>
      <c r="G35" s="2062"/>
      <c r="H35" s="2065"/>
      <c r="I35" s="837" t="s">
        <v>1815</v>
      </c>
      <c r="J35" s="838">
        <f ca="1">ROUND(C13*J36,0)</f>
        <v>17460</v>
      </c>
      <c r="K35" s="2078"/>
      <c r="L35" s="2077"/>
      <c r="M35" s="2077"/>
    </row>
    <row r="36" spans="1:18" ht="18" customHeight="1">
      <c r="A36" s="1649" t="s">
        <v>1890</v>
      </c>
      <c r="B36" s="784" t="s">
        <v>676</v>
      </c>
      <c r="C36" s="53">
        <f ca="1">ROUND(C29*F36,1)</f>
        <v>3273.8</v>
      </c>
      <c r="D36" s="3253" t="s">
        <v>691</v>
      </c>
      <c r="E36" s="784" t="s">
        <v>1748</v>
      </c>
      <c r="F36" s="817">
        <f ca="1">INDIRECT("'数据-取费表'!Ak"&amp;$G$1)</f>
        <v>1.4999999999999999E-2</v>
      </c>
      <c r="G36" s="2062"/>
      <c r="H36" s="2077"/>
      <c r="I36" s="839" t="s">
        <v>1816</v>
      </c>
      <c r="J36" s="840">
        <f ca="1">INDIRECT("'数据-取费表'!j"&amp;$G$1)</f>
        <v>0.08</v>
      </c>
      <c r="K36" s="2082"/>
      <c r="L36" s="2077"/>
      <c r="M36" s="2077"/>
    </row>
    <row r="37" spans="1:18" ht="18" customHeight="1">
      <c r="A37" s="1649" t="s">
        <v>1891</v>
      </c>
      <c r="B37" s="784" t="s">
        <v>679</v>
      </c>
      <c r="C37" s="53">
        <f ca="1">ROUND(C13*F37,1)</f>
        <v>436.5</v>
      </c>
      <c r="D37" s="3253" t="s">
        <v>680</v>
      </c>
      <c r="E37" s="784" t="s">
        <v>1748</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1968.8</v>
      </c>
      <c r="D38" s="2524" t="s">
        <v>1775</v>
      </c>
      <c r="E38" s="2525" t="s">
        <v>1748</v>
      </c>
      <c r="F38" s="2521">
        <f ca="1">INDIRECT("'数据-取费表'!Am"&amp;$G$1)</f>
        <v>0.02</v>
      </c>
      <c r="G38" s="2062"/>
      <c r="H38" s="2077"/>
      <c r="I38" s="843" t="s">
        <v>1818</v>
      </c>
      <c r="J38" s="844"/>
      <c r="K38" s="2083"/>
      <c r="L38" s="2077"/>
      <c r="M38" s="2077"/>
    </row>
    <row r="39" spans="1:18" ht="24.6" customHeight="1" thickTop="1">
      <c r="A39" s="1829" t="s">
        <v>1777</v>
      </c>
      <c r="B39" s="2986" t="s">
        <v>2822</v>
      </c>
      <c r="C39" s="792">
        <f ca="1">C5-C30</f>
        <v>75625</v>
      </c>
      <c r="D39" s="2527" t="s">
        <v>700</v>
      </c>
      <c r="E39" s="2528"/>
      <c r="F39" s="2529"/>
      <c r="G39" s="2062"/>
      <c r="H39" s="2077"/>
      <c r="I39" s="837" t="s">
        <v>1819</v>
      </c>
      <c r="J39" s="845">
        <f ca="1">ROUND(J35/C39,3)</f>
        <v>0.23100000000000001</v>
      </c>
      <c r="K39" s="2083"/>
      <c r="L39" s="2077"/>
      <c r="M39" s="2077"/>
    </row>
    <row r="40" spans="1:18" ht="18" customHeight="1">
      <c r="A40" s="781" t="s">
        <v>1781</v>
      </c>
      <c r="B40" s="2232" t="s">
        <v>2302</v>
      </c>
      <c r="C40" s="783">
        <f ca="1">ROUND(C39*(1-((1+F42)/(1+F40))^F41)/(F40-F42),0)</f>
        <v>1280446</v>
      </c>
      <c r="D40" s="814" t="s">
        <v>1782</v>
      </c>
      <c r="E40" s="784" t="s">
        <v>2420</v>
      </c>
      <c r="F40" s="794">
        <f ca="1">INDIRECT("'数据-取费表'!I"&amp;$G$1)</f>
        <v>5.5E-2</v>
      </c>
      <c r="G40" s="2062"/>
      <c r="H40" s="2062"/>
      <c r="I40" s="837" t="s">
        <v>1820</v>
      </c>
      <c r="J40" s="845">
        <f ca="1">1-J39</f>
        <v>0.76900000000000002</v>
      </c>
      <c r="K40" s="2083"/>
      <c r="L40" s="2062"/>
      <c r="M40" s="2062"/>
    </row>
    <row r="41" spans="1:18" ht="18" customHeight="1">
      <c r="A41" s="786"/>
      <c r="B41" s="787"/>
      <c r="C41" s="788"/>
      <c r="D41" s="821" t="s">
        <v>1809</v>
      </c>
      <c r="E41" s="784" t="s">
        <v>708</v>
      </c>
      <c r="F41" s="822">
        <f ca="1">IF(INDIRECT("'数据-取费表'!af"&amp;$G$1)=0,INDIRECT("'数据-取费表'!ae"&amp;$G$1),INDIRECT("'数据-取费表'!af"&amp;$G$1))</f>
        <v>50</v>
      </c>
      <c r="G41" s="2062"/>
      <c r="H41" s="1988"/>
      <c r="I41" s="843" t="s">
        <v>1821</v>
      </c>
      <c r="J41" s="846"/>
      <c r="K41" s="2082"/>
      <c r="L41" s="1988"/>
      <c r="M41" s="1988"/>
    </row>
    <row r="42" spans="1:18" ht="18" customHeight="1">
      <c r="A42" s="790"/>
      <c r="B42" s="791"/>
      <c r="C42" s="792"/>
      <c r="D42" s="816"/>
      <c r="E42" s="784" t="s">
        <v>1787</v>
      </c>
      <c r="F42" s="794">
        <f ca="1">INDIRECT("'数据-取费表'!v"&amp;$G$1)</f>
        <v>0</v>
      </c>
      <c r="G42" s="2062"/>
      <c r="H42" s="1988"/>
      <c r="I42" s="847" t="s">
        <v>1822</v>
      </c>
      <c r="J42" s="845">
        <f ca="1">ROUND(C13/C40,3)</f>
        <v>0.17</v>
      </c>
      <c r="K42" s="2082"/>
      <c r="L42" s="1988"/>
      <c r="M42" s="1988"/>
    </row>
    <row r="43" spans="1:18" ht="18" customHeight="1" thickBot="1">
      <c r="A43" s="823" t="s">
        <v>1788</v>
      </c>
      <c r="B43" s="824" t="s">
        <v>1811</v>
      </c>
      <c r="C43" s="825">
        <f ca="1">ROUND(C40*10000/F43,0)</f>
        <v>40643</v>
      </c>
      <c r="D43" s="826" t="s">
        <v>1812</v>
      </c>
      <c r="E43" s="827" t="s">
        <v>1813</v>
      </c>
      <c r="F43" s="828">
        <f ca="1">INDIRECT("'数据-取费表'!k"&amp;$G$1)</f>
        <v>315045</v>
      </c>
      <c r="G43" s="2062"/>
      <c r="H43" s="1988"/>
      <c r="I43" s="847" t="s">
        <v>1823</v>
      </c>
      <c r="J43" s="848">
        <f ca="1">1-J42</f>
        <v>0.83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-1344515</v>
      </c>
      <c r="D46" s="2085"/>
      <c r="E46" s="2085"/>
      <c r="F46" s="2085"/>
      <c r="I46" s="2357" t="s">
        <v>2344</v>
      </c>
      <c r="J46" s="2358"/>
      <c r="K46" s="2359"/>
      <c r="L46" s="3136">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3031</v>
      </c>
      <c r="K47" s="3133" t="s">
        <v>2350</v>
      </c>
      <c r="L47" s="3137">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1871</v>
      </c>
      <c r="B48" s="2622" t="s">
        <v>2539</v>
      </c>
      <c r="C48" s="2353">
        <f ca="1">ROUND(F48*F50*F49*(1-F51)/10000,0)</f>
        <v>0</v>
      </c>
      <c r="D48" s="2354" t="s">
        <v>636</v>
      </c>
      <c r="E48" s="2355" t="s">
        <v>2297</v>
      </c>
      <c r="F48" s="2356"/>
      <c r="G48" s="2090"/>
      <c r="I48" s="3102" t="s">
        <v>2346</v>
      </c>
      <c r="J48" s="2361" t="s">
        <v>2351</v>
      </c>
      <c r="K48" s="3134" t="s">
        <v>2352</v>
      </c>
      <c r="L48" s="1908">
        <f ca="1">INDIRECT("'数据-取费表'!f"&amp;$G$1)</f>
        <v>50</v>
      </c>
      <c r="O48" s="2377" t="s">
        <v>2380</v>
      </c>
      <c r="P48" s="2378" t="s">
        <v>2406</v>
      </c>
      <c r="Q48" s="2379">
        <f ca="1">C40+J29</f>
        <v>1280446</v>
      </c>
      <c r="R48" s="2378" t="s">
        <v>2381</v>
      </c>
    </row>
    <row r="49" spans="1:18" s="2059" customFormat="1" ht="18" customHeight="1" thickBot="1">
      <c r="A49" s="786"/>
      <c r="B49" s="787"/>
      <c r="C49" s="788"/>
      <c r="D49" s="789"/>
      <c r="E49" s="784" t="s">
        <v>1740</v>
      </c>
      <c r="F49" s="785">
        <f ca="1">F7</f>
        <v>315045</v>
      </c>
      <c r="G49" s="2090"/>
      <c r="H49" s="2093"/>
      <c r="I49" s="3102" t="s">
        <v>2347</v>
      </c>
      <c r="J49" s="2362"/>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639</v>
      </c>
      <c r="F50" s="785">
        <f ca="1">F8</f>
        <v>365</v>
      </c>
      <c r="G50" s="2095"/>
      <c r="H50" s="2093"/>
      <c r="I50" s="3102" t="s">
        <v>2348</v>
      </c>
      <c r="J50" s="3130">
        <f>SUMPRODUCT((I63:I65=J47)*(J62:L62=J48)*(J63:L65))</f>
        <v>60</v>
      </c>
      <c r="K50" s="3135" t="s">
        <v>2354</v>
      </c>
      <c r="L50" s="2363"/>
      <c r="O50" s="2380" t="s">
        <v>2384</v>
      </c>
      <c r="P50" s="2378" t="s">
        <v>2408</v>
      </c>
      <c r="Q50" s="2379">
        <f ca="1">C29</f>
        <v>218255</v>
      </c>
      <c r="R50" s="2378" t="s">
        <v>2381</v>
      </c>
    </row>
    <row r="51" spans="1:18" s="2059" customFormat="1" ht="18" customHeight="1" thickBot="1">
      <c r="A51" s="786"/>
      <c r="B51" s="787"/>
      <c r="C51" s="788"/>
      <c r="D51" s="789"/>
      <c r="E51" s="784" t="s">
        <v>640</v>
      </c>
      <c r="F51" s="2350"/>
      <c r="H51" s="2093"/>
      <c r="I51" s="3127" t="s">
        <v>2349</v>
      </c>
      <c r="J51" s="3131">
        <f>IF(J49="",J50,J49+J50-YEAR('数据-取费表'!B2))</f>
        <v>60</v>
      </c>
      <c r="K51" s="3102" t="s">
        <v>2355</v>
      </c>
      <c r="L51" s="3138">
        <f ca="1">ROUND(-PV(INDIRECT("'数据-取费表'!h"&amp;$G$1),L48,(C39-C13*J36),0),0)</f>
        <v>1249503</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2972</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2976</v>
      </c>
      <c r="J53" s="3132">
        <f ca="1">IF(M47="住宅",IF(D1="——",MAX(J51,L48),MAX(J51,L48-'数据-取费表'!B20)),IF(D1="——",MIN(J51,L48),MIN(J51,L48-'数据-取费表'!B20)))</f>
        <v>48</v>
      </c>
      <c r="K53" s="3467" t="s">
        <v>2964</v>
      </c>
      <c r="L53" s="3468"/>
      <c r="O53" s="2380" t="s">
        <v>2389</v>
      </c>
      <c r="P53" s="2378" t="s">
        <v>2390</v>
      </c>
      <c r="Q53" s="2379">
        <f ca="1">J53</f>
        <v>48</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1280446</v>
      </c>
      <c r="R54" s="2382" t="s">
        <v>2393</v>
      </c>
    </row>
    <row r="55" spans="1:18" s="2059" customFormat="1" ht="18" customHeight="1" thickTop="1" thickBot="1">
      <c r="A55" s="797">
        <v>2</v>
      </c>
      <c r="B55" s="798" t="s">
        <v>644</v>
      </c>
      <c r="C55" s="799">
        <f ca="1">C13</f>
        <v>218255</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2301</v>
      </c>
      <c r="C56" s="53">
        <f ca="1">C29</f>
        <v>218255</v>
      </c>
      <c r="D56" s="3253"/>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7</v>
      </c>
      <c r="B57" s="798" t="s">
        <v>651</v>
      </c>
      <c r="C57" s="799">
        <f ca="1">ROUND(C58+C63+C64+C65,0)</f>
        <v>3784</v>
      </c>
      <c r="D57" s="26" t="s">
        <v>1751</v>
      </c>
      <c r="E57" s="3256"/>
      <c r="F57" s="56"/>
      <c r="I57" s="3144" t="s">
        <v>2359</v>
      </c>
      <c r="J57" s="3145" t="str">
        <f ca="1">IF(OR(M47="住宅",J51&lt;L48,J56="是"),"——",J51-L48)</f>
        <v>——</v>
      </c>
      <c r="K57" s="3102" t="s">
        <v>2364</v>
      </c>
      <c r="L57" s="1908" t="str">
        <f ca="1">IF(L48&lt;J51,"——",IF(L55="比较法",L49,IF(L55="基准地价",L50,L51)))</f>
        <v>——</v>
      </c>
      <c r="O57" s="2377" t="s">
        <v>2380</v>
      </c>
      <c r="P57" s="2378" t="s">
        <v>2406</v>
      </c>
      <c r="Q57" s="2379">
        <f ca="1">C40+J29</f>
        <v>1280446</v>
      </c>
      <c r="R57" s="2378" t="s">
        <v>2381</v>
      </c>
    </row>
    <row r="58" spans="1:18" s="2059" customFormat="1" ht="28.5" customHeight="1" thickBot="1">
      <c r="A58" s="1649" t="s">
        <v>1825</v>
      </c>
      <c r="B58" s="784" t="s">
        <v>656</v>
      </c>
      <c r="C58" s="53">
        <f ca="1">ROUND(IF(项目基本情况!B11="自然人",C47*F58,C59+C60+C61),1)</f>
        <v>73.900000000000006</v>
      </c>
      <c r="D58" s="3251" t="s">
        <v>657</v>
      </c>
      <c r="E58" s="3253"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3253" t="s">
        <v>661</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664</v>
      </c>
      <c r="C60" s="53">
        <f ca="1">IF(D60="按租金收入计税",ROUND(C47*F60,1),IF(D60="按房产原值计税",ROUND(C56*F60*0.7,1),INDIRECT("'数据-取费表'!Aj"&amp;$G$1)))</f>
        <v>0</v>
      </c>
      <c r="D60" s="3253"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73.900000000000006</v>
      </c>
      <c r="D61" s="814" t="s">
        <v>669</v>
      </c>
      <c r="E61" s="784" t="s">
        <v>670</v>
      </c>
      <c r="F61" s="640">
        <f t="shared" si="0"/>
        <v>12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61592.03</v>
      </c>
      <c r="I62" s="3149" t="s">
        <v>2368</v>
      </c>
      <c r="J62" s="3150" t="s">
        <v>2369</v>
      </c>
      <c r="K62" s="3150" t="s">
        <v>2370</v>
      </c>
      <c r="L62" s="3150" t="s">
        <v>2351</v>
      </c>
      <c r="M62" s="3151" t="s">
        <v>2940</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3273.8</v>
      </c>
      <c r="D63" s="3253" t="s">
        <v>691</v>
      </c>
      <c r="E63" s="784" t="s">
        <v>1748</v>
      </c>
      <c r="F63" s="817">
        <f t="shared" ca="1" si="0"/>
        <v>1.4999999999999999E-2</v>
      </c>
      <c r="I63" s="3149" t="s">
        <v>2371</v>
      </c>
      <c r="J63" s="3150">
        <v>70</v>
      </c>
      <c r="K63" s="3150">
        <v>50</v>
      </c>
      <c r="L63" s="3150">
        <v>80</v>
      </c>
      <c r="M63" s="3152">
        <v>0.02</v>
      </c>
      <c r="O63" s="2377" t="s">
        <v>2392</v>
      </c>
      <c r="P63" s="2378" t="s">
        <v>2409</v>
      </c>
      <c r="Q63" s="2379">
        <f ca="1">Q57+Q58</f>
        <v>1280446</v>
      </c>
      <c r="R63" s="2382" t="s">
        <v>2393</v>
      </c>
    </row>
    <row r="64" spans="1:18" s="2059" customFormat="1" ht="16.5" thickBot="1">
      <c r="A64" s="1649" t="s">
        <v>1891</v>
      </c>
      <c r="B64" s="784" t="s">
        <v>679</v>
      </c>
      <c r="C64" s="53">
        <f ca="1">ROUND(C55*F64,1)</f>
        <v>436.5</v>
      </c>
      <c r="D64" s="3253" t="s">
        <v>680</v>
      </c>
      <c r="E64" s="784" t="s">
        <v>1748</v>
      </c>
      <c r="F64" s="818">
        <f t="shared" ca="1" si="0"/>
        <v>2E-3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3253" t="s">
        <v>683</v>
      </c>
      <c r="E65" s="784" t="s">
        <v>1748</v>
      </c>
      <c r="F65" s="794">
        <f t="shared" ca="1" si="0"/>
        <v>0.02</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2822</v>
      </c>
      <c r="C66" s="799">
        <f ca="1">C47-C57</f>
        <v>-3784</v>
      </c>
      <c r="D66" s="3251" t="s">
        <v>700</v>
      </c>
      <c r="E66" s="3254"/>
      <c r="F66" s="820"/>
      <c r="K66" s="2086"/>
      <c r="O66" s="2377" t="s">
        <v>2380</v>
      </c>
      <c r="P66" s="2378" t="s">
        <v>2406</v>
      </c>
      <c r="Q66" s="2379">
        <f ca="1">C40+J29</f>
        <v>1280446</v>
      </c>
      <c r="R66" s="2378" t="s">
        <v>2381</v>
      </c>
    </row>
    <row r="67" spans="1:18" s="2059" customFormat="1" ht="20.25" thickBot="1">
      <c r="A67" s="781" t="s">
        <v>1781</v>
      </c>
      <c r="B67" s="2232" t="s">
        <v>2302</v>
      </c>
      <c r="C67" s="783">
        <f ca="1">ROUND(C66*(1-((1+F69)/(1+F67))^F68)/(F67-F69),0)</f>
        <v>-64069</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708</v>
      </c>
      <c r="F68" s="822">
        <f ca="1">F41</f>
        <v>50</v>
      </c>
      <c r="O68" s="2380" t="s">
        <v>2384</v>
      </c>
      <c r="P68" s="2378" t="s">
        <v>2414</v>
      </c>
      <c r="Q68" s="2384">
        <f ca="1">L51</f>
        <v>1249503</v>
      </c>
      <c r="R68" s="2385" t="s">
        <v>2417</v>
      </c>
    </row>
    <row r="69" spans="1:18" ht="20.25" thickBot="1">
      <c r="A69" s="790"/>
      <c r="B69" s="791"/>
      <c r="C69" s="792"/>
      <c r="D69" s="816"/>
      <c r="E69" s="784" t="s">
        <v>710</v>
      </c>
      <c r="F69" s="2350"/>
      <c r="O69" s="2380" t="s">
        <v>2385</v>
      </c>
      <c r="P69" s="2386" t="s">
        <v>2399</v>
      </c>
      <c r="Q69" s="2379">
        <f ca="1">ROUND(Q70-Q71*Q72,0)</f>
        <v>58165</v>
      </c>
      <c r="R69" s="2382"/>
    </row>
    <row r="70" spans="1:18" ht="15.75" thickBot="1">
      <c r="A70" s="823" t="s">
        <v>1788</v>
      </c>
      <c r="B70" s="824" t="s">
        <v>1811</v>
      </c>
      <c r="C70" s="825">
        <f ca="1">ROUND(C67*10000/F70,0)</f>
        <v>-2034</v>
      </c>
      <c r="D70" s="826" t="s">
        <v>1812</v>
      </c>
      <c r="E70" s="827" t="s">
        <v>1813</v>
      </c>
      <c r="F70" s="828">
        <f ca="1">F43</f>
        <v>315045</v>
      </c>
      <c r="O70" s="2380" t="s">
        <v>2400</v>
      </c>
      <c r="P70" s="2386" t="s">
        <v>2401</v>
      </c>
      <c r="Q70" s="2379">
        <f ca="1">C39</f>
        <v>75625</v>
      </c>
      <c r="R70" s="2378" t="s">
        <v>2381</v>
      </c>
    </row>
    <row r="71" spans="1:18" ht="15.75" thickBot="1">
      <c r="O71" s="2380" t="s">
        <v>2402</v>
      </c>
      <c r="P71" s="2386" t="s">
        <v>2403</v>
      </c>
      <c r="Q71" s="2379">
        <f ca="1">C13</f>
        <v>218255</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1280446</v>
      </c>
      <c r="R76" s="2382"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0" priority="7">
      <formula>$L$48&gt;$J$51</formula>
    </cfRule>
  </conditionalFormatting>
  <conditionalFormatting sqref="I55">
    <cfRule type="expression" dxfId="59" priority="6">
      <formula>$J$51&gt;$L$48</formula>
    </cfRule>
  </conditionalFormatting>
  <conditionalFormatting sqref="I60">
    <cfRule type="expression" dxfId="58" priority="5">
      <formula>$J$51&gt;$L$48</formula>
    </cfRule>
  </conditionalFormatting>
  <conditionalFormatting sqref="K60">
    <cfRule type="expression" dxfId="57" priority="4">
      <formula>$L$48&gt;$J$51</formula>
    </cfRule>
  </conditionalFormatting>
  <conditionalFormatting sqref="C11">
    <cfRule type="expression" dxfId="56" priority="3">
      <formula>$F$10="自定义"</formula>
    </cfRule>
  </conditionalFormatting>
  <conditionalFormatting sqref="J11">
    <cfRule type="expression" dxfId="55" priority="2">
      <formula>$M$10="自定义"</formula>
    </cfRule>
  </conditionalFormatting>
  <conditionalFormatting sqref="C53">
    <cfRule type="expression" dxfId="5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0866141732283472" right="0.70866141732283472" top="0.74803149606299213" bottom="0.74803149606299213" header="0.31496062992125984" footer="0.31496062992125984"/>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E38"/>
  <sheetViews>
    <sheetView workbookViewId="0">
      <selection sqref="A1:K3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t="s">
        <v>1678</v>
      </c>
      <c r="C1" s="2104"/>
      <c r="D1" s="2104"/>
      <c r="E1" s="2104"/>
      <c r="F1" s="2104"/>
      <c r="G1" s="2104"/>
      <c r="H1" s="2104"/>
      <c r="I1" s="2104"/>
      <c r="J1" s="2104"/>
      <c r="K1" s="422">
        <f>MATCH(B1,'数据-取费表'!A6:A16,0)+5</f>
        <v>7</v>
      </c>
    </row>
    <row r="2" spans="1:31" s="2041" customFormat="1" ht="18" customHeight="1">
      <c r="A2" s="2101" t="s">
        <v>467</v>
      </c>
      <c r="B2" s="2105">
        <f ca="1">C36</f>
        <v>716812</v>
      </c>
      <c r="C2" s="2104"/>
      <c r="D2" s="2104"/>
      <c r="E2" s="2104"/>
      <c r="F2" s="2104"/>
      <c r="G2" s="2104"/>
      <c r="H2" s="2104"/>
      <c r="I2" s="2104"/>
      <c r="J2" s="2104"/>
      <c r="K2" s="2104"/>
    </row>
    <row r="3" spans="1:31" s="2041" customFormat="1" ht="18" customHeight="1">
      <c r="A3" s="2106" t="s">
        <v>1685</v>
      </c>
      <c r="B3" s="2107">
        <f ca="1">ROUND(B2*10000/IF(B1="",'数据-汇总表'!E3,INDIRECT("'数据-取费表'!K"&amp;$K$1)),0)</f>
        <v>22753</v>
      </c>
      <c r="C3" s="2104"/>
      <c r="D3" s="2104"/>
      <c r="E3" s="2104"/>
      <c r="F3" s="2104"/>
      <c r="G3" s="2104"/>
      <c r="H3" s="2104"/>
      <c r="I3" s="2104"/>
      <c r="J3" s="2104"/>
      <c r="K3" s="2104"/>
    </row>
    <row r="4" spans="1:31" s="2041" customFormat="1" ht="18" customHeight="1">
      <c r="A4" s="426" t="s">
        <v>468</v>
      </c>
      <c r="B4" s="427">
        <f ca="1">ROUND(B2*10000/IF(B1="",'数据-汇总表'!D3,INDIRECT("'数据-取费表'!R"&amp;$K$1)),0)</f>
        <v>116381</v>
      </c>
      <c r="C4" s="428"/>
      <c r="D4" s="422"/>
      <c r="E4" s="422"/>
      <c r="F4" s="422"/>
      <c r="G4" s="422"/>
      <c r="H4" s="422"/>
      <c r="I4" s="422"/>
      <c r="J4" s="422"/>
      <c r="K4" s="422"/>
    </row>
    <row r="5" spans="1:31" s="2041" customFormat="1" ht="18" customHeight="1" thickBot="1">
      <c r="A5" s="429"/>
      <c r="B5" s="430">
        <f ca="1">ROUND(B2/(IF(B1="",'数据-汇总表'!D3,INDIRECT("'数据-取费表'!R"&amp;$K$1))/666.67),0)</f>
        <v>7759</v>
      </c>
      <c r="C5" s="431" t="s">
        <v>469</v>
      </c>
      <c r="D5" s="422"/>
      <c r="E5" s="422"/>
      <c r="F5" s="422"/>
      <c r="G5" s="422"/>
      <c r="H5" s="422"/>
      <c r="I5" s="422"/>
      <c r="J5" s="422"/>
      <c r="K5" s="422"/>
    </row>
    <row r="6" spans="1:31" s="2111" customFormat="1" ht="16.5" customHeight="1">
      <c r="A6" s="2807" t="s">
        <v>1843</v>
      </c>
      <c r="B6" s="2808"/>
      <c r="C6" s="2809">
        <f ca="1">SUM(C10:K10)</f>
        <v>1280446</v>
      </c>
      <c r="D6" s="2808"/>
      <c r="E6" s="2808"/>
      <c r="F6" s="2808"/>
      <c r="G6" s="2808"/>
      <c r="H6" s="2808"/>
      <c r="I6" s="2808"/>
      <c r="J6" s="2808"/>
      <c r="K6" s="2810"/>
    </row>
    <row r="7" spans="1:31" s="2113" customFormat="1" ht="15">
      <c r="A7" s="2811" t="s">
        <v>470</v>
      </c>
      <c r="B7" s="2812" t="s">
        <v>471</v>
      </c>
      <c r="C7" s="436" t="s">
        <v>1678</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 ca="1">'不动产收益法-办公'!C43</f>
        <v>40643</v>
      </c>
      <c r="D8" s="2813"/>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SUMIF('数据-汇总表'!$C19:$C33,'剩余法-办公'!C7,'数据-汇总表'!$E19:$E33)</f>
        <v>315045</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 ca="1">'不动产收益法-办公'!B2</f>
        <v>1280446</v>
      </c>
      <c r="D10" s="3005"/>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3179" t="s">
        <v>476</v>
      </c>
      <c r="E12" s="3179" t="s">
        <v>477</v>
      </c>
      <c r="F12" s="3179"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141770</v>
      </c>
      <c r="D13" s="2823"/>
      <c r="E13" s="2824"/>
      <c r="F13" s="2825"/>
      <c r="G13" s="2791"/>
      <c r="H13" s="2792"/>
      <c r="I13" s="2792"/>
      <c r="J13" s="2792"/>
      <c r="K13" s="2793"/>
    </row>
    <row r="14" spans="1:31" s="2116" customFormat="1" ht="13.5" customHeight="1">
      <c r="A14" s="2821" t="s">
        <v>1850</v>
      </c>
      <c r="B14" s="2822" t="s">
        <v>480</v>
      </c>
      <c r="C14" s="53">
        <f ca="1">ROUND(C13*F14,0)</f>
        <v>4253</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7" customFormat="1" ht="13.5" customHeight="1">
      <c r="A16" s="2821" t="s">
        <v>1852</v>
      </c>
      <c r="B16" s="2822" t="s">
        <v>484</v>
      </c>
      <c r="C16" s="53">
        <f ca="1">ROUND(D16*E16/10000,0)</f>
        <v>6301</v>
      </c>
      <c r="D16" s="2823">
        <f ca="1">IF(B1="",'数据-汇总表'!E3,INDIRECT("'数据-取费表'!K"&amp;$K$1)+INDIRECT("'数据-取费表'!S"&amp;$K$1))</f>
        <v>315045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2127</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154451</v>
      </c>
      <c r="D18" s="2832"/>
      <c r="E18" s="468"/>
      <c r="F18" s="468"/>
      <c r="G18" s="2795" t="s">
        <v>2431</v>
      </c>
      <c r="H18" s="2796"/>
      <c r="I18" s="2796"/>
      <c r="J18" s="2796"/>
      <c r="K18" s="2797"/>
    </row>
    <row r="19" spans="1:14" s="2116" customFormat="1" ht="13.5" customHeight="1">
      <c r="A19" s="2829" t="s">
        <v>1855</v>
      </c>
      <c r="B19" s="2830" t="s">
        <v>488</v>
      </c>
      <c r="C19" s="3179">
        <f ca="1">ROUND(D19*E19/10000,0)</f>
        <v>630</v>
      </c>
      <c r="D19" s="2833">
        <f ca="1">D16</f>
        <v>315045</v>
      </c>
      <c r="E19" s="3179">
        <f>'数据-取费表'!B32</f>
        <v>20</v>
      </c>
      <c r="F19" s="468"/>
      <c r="G19" s="2791" t="s">
        <v>489</v>
      </c>
      <c r="H19" s="2792"/>
      <c r="I19" s="2796"/>
      <c r="J19" s="2796"/>
      <c r="K19" s="2797"/>
    </row>
    <row r="20" spans="1:14" s="2116" customFormat="1" ht="13.5" customHeight="1">
      <c r="A20" s="2829" t="s">
        <v>1856</v>
      </c>
      <c r="B20" s="2830" t="s">
        <v>490</v>
      </c>
      <c r="C20" s="3179">
        <f ca="1">C21+C22-IF(B1="",'数据-取费表'!B29,IF(G20="已全部缴纳",C21+C22,H20))</f>
        <v>6301</v>
      </c>
      <c r="D20" s="2833"/>
      <c r="E20" s="3179"/>
      <c r="F20" s="2834"/>
      <c r="G20" s="3064" t="s">
        <v>3046</v>
      </c>
      <c r="H20" s="2789"/>
      <c r="I20" s="2790" t="s">
        <v>2652</v>
      </c>
      <c r="J20" s="2796"/>
      <c r="K20" s="2797"/>
    </row>
    <row r="21" spans="1:14" s="2116"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6" customFormat="1" ht="13.5" customHeight="1">
      <c r="A22" s="2821" t="s">
        <v>1858</v>
      </c>
      <c r="B22" s="2822" t="s">
        <v>492</v>
      </c>
      <c r="C22" s="53">
        <f ca="1">ROUND(D22*E22/10000,0)</f>
        <v>6301</v>
      </c>
      <c r="D22" s="2823">
        <f ca="1">IF(B1="",'数据-汇总表'!E6,IF(INDIRECT("'数据-取费表'!c"&amp;$K$1)="住宅",INDIRECT("'数据-取费表'!s"&amp;$K$1),INDIRECT("'数据-取费表'!k"&amp;$K$1)+INDIRECT("'数据-取费表'!s"&amp;$K$1)))</f>
        <v>315045</v>
      </c>
      <c r="E22" s="53">
        <f>'数据-取费表'!B28</f>
        <v>200</v>
      </c>
      <c r="F22" s="2826"/>
      <c r="G22" s="26"/>
      <c r="H22" s="51"/>
      <c r="I22" s="51"/>
      <c r="J22" s="51"/>
      <c r="K22" s="2798"/>
    </row>
    <row r="23" spans="1:14" s="2116" customFormat="1" ht="13.5" customHeight="1">
      <c r="A23" s="2829" t="s">
        <v>1859</v>
      </c>
      <c r="B23" s="3011" t="s">
        <v>2833</v>
      </c>
      <c r="C23" s="2831">
        <f ca="1">ROUND((C18+C19+C20)*F23,0)</f>
        <v>4841</v>
      </c>
      <c r="D23" s="468"/>
      <c r="E23" s="468"/>
      <c r="F23" s="2835">
        <f>'数据-取费表'!B37</f>
        <v>0.03</v>
      </c>
      <c r="G23" s="2791" t="s">
        <v>2432</v>
      </c>
      <c r="H23" s="2792"/>
      <c r="I23" s="2792"/>
      <c r="J23" s="2792"/>
      <c r="K23" s="2793"/>
      <c r="L23" s="2118"/>
      <c r="M23" s="2118"/>
      <c r="N23" s="2118"/>
    </row>
    <row r="24" spans="1:14" s="2116" customFormat="1" ht="13.5" customHeight="1">
      <c r="A24" s="2829" t="s">
        <v>1860</v>
      </c>
      <c r="B24" s="3011" t="s">
        <v>2836</v>
      </c>
      <c r="C24" s="2831">
        <f ca="1">ROUND(C6*F24,0)</f>
        <v>38413</v>
      </c>
      <c r="D24" s="475"/>
      <c r="E24" s="473"/>
      <c r="F24" s="2835">
        <f>'数据-取费表'!B38</f>
        <v>0.03</v>
      </c>
      <c r="G24" s="2800" t="s">
        <v>499</v>
      </c>
      <c r="H24" s="2794"/>
      <c r="I24" s="2794"/>
      <c r="J24" s="2794"/>
      <c r="K24" s="279"/>
      <c r="L24" s="2118"/>
      <c r="M24" s="2118"/>
      <c r="N24" s="2118"/>
    </row>
    <row r="25" spans="1:14" s="2119" customFormat="1" ht="13.5" customHeight="1">
      <c r="A25" s="2829" t="s">
        <v>1861</v>
      </c>
      <c r="B25" s="3011" t="s">
        <v>2834</v>
      </c>
      <c r="C25" s="467">
        <f>ROUND(F25/(1+'数据-取费表'!C42),4)</f>
        <v>2.9000000000000001E-2</v>
      </c>
      <c r="D25" s="462" t="s">
        <v>2828</v>
      </c>
      <c r="E25" s="469"/>
      <c r="F25" s="2835">
        <f>'数据-取费表'!B48+'数据-取费表'!B49</f>
        <v>3.0499999999999999E-2</v>
      </c>
      <c r="G25" s="2799" t="s">
        <v>2290</v>
      </c>
      <c r="H25" s="2792"/>
      <c r="I25" s="2792"/>
      <c r="J25" s="2792"/>
      <c r="K25" s="2793"/>
    </row>
    <row r="26" spans="1:14" s="2118" customFormat="1" ht="13.5" customHeight="1">
      <c r="A26" s="2829" t="s">
        <v>1862</v>
      </c>
      <c r="B26" s="3012" t="s">
        <v>2835</v>
      </c>
      <c r="C26" s="2836">
        <f ca="1">C28</f>
        <v>9720</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2837</v>
      </c>
      <c r="C28" s="2839">
        <f ca="1">ROUND(IF('数据-取费表'!B22&lt;=1,(C18+C19+C20+C23+C24)*F26*'数据-取费表'!B24/2,(C18+C19+C20+C23+C24)*(POWER((1+F26),'数据-取费表'!B24/2)-1)),0)</f>
        <v>9720</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68290</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282646</v>
      </c>
      <c r="D30" s="477">
        <f ca="1">C32</f>
        <v>0.12909999999999999</v>
      </c>
      <c r="E30" s="469" t="s">
        <v>495</v>
      </c>
      <c r="F30" s="471"/>
      <c r="G30" s="2799" t="s">
        <v>2970</v>
      </c>
      <c r="H30" s="2792"/>
      <c r="I30" s="2792"/>
      <c r="J30" s="2792"/>
      <c r="K30" s="2793"/>
    </row>
    <row r="31" spans="1:14" s="2120" customFormat="1" ht="13.5" customHeight="1">
      <c r="A31" s="803" t="s">
        <v>1857</v>
      </c>
      <c r="B31" s="2837"/>
      <c r="C31" s="450">
        <f ca="1">C18+C19+C20+C23+C24+C26+C29</f>
        <v>282646</v>
      </c>
      <c r="D31" s="472"/>
      <c r="E31" s="473"/>
      <c r="F31" s="474"/>
      <c r="G31" s="261"/>
      <c r="H31" s="2794"/>
      <c r="I31" s="2794"/>
      <c r="J31" s="2794"/>
      <c r="K31" s="279"/>
    </row>
    <row r="32" spans="1:14" s="2120" customFormat="1" ht="13.5" customHeight="1">
      <c r="A32" s="803" t="s">
        <v>1858</v>
      </c>
      <c r="B32" s="2837"/>
      <c r="C32" s="53">
        <f ca="1">ROUND(C25+D26,4)</f>
        <v>0.12909999999999999</v>
      </c>
      <c r="D32" s="472"/>
      <c r="E32" s="473"/>
      <c r="F32" s="474"/>
      <c r="G32" s="261"/>
      <c r="H32" s="2794"/>
      <c r="I32" s="2794"/>
      <c r="J32" s="2794"/>
      <c r="K32" s="279"/>
    </row>
    <row r="33" spans="1:11" s="2122" customFormat="1" ht="13.5" customHeight="1">
      <c r="A33" s="3010" t="s">
        <v>2832</v>
      </c>
      <c r="B33" s="3008" t="s">
        <v>2830</v>
      </c>
      <c r="C33" s="478">
        <f ca="1">C35</f>
        <v>40927</v>
      </c>
      <c r="D33" s="467">
        <f ca="1">C34</f>
        <v>0.20580000000000001</v>
      </c>
      <c r="E33" s="469" t="s">
        <v>495</v>
      </c>
      <c r="F33" s="479">
        <f ca="1">IF(B1="",'数据-取费表'!Q16,INDIRECT("'数据-取费表'!q"&amp;$K$1))</f>
        <v>0.2</v>
      </c>
      <c r="G33" s="2795"/>
      <c r="H33" s="2796"/>
      <c r="I33" s="2796"/>
      <c r="J33" s="2796"/>
      <c r="K33" s="2797"/>
    </row>
    <row r="34" spans="1:11" s="2123" customFormat="1" ht="13.5" customHeight="1">
      <c r="A34" s="375" t="s">
        <v>1857</v>
      </c>
      <c r="B34" s="2842" t="s">
        <v>501</v>
      </c>
      <c r="C34" s="472">
        <f ca="1">ROUND((1+C25)*F33,4)</f>
        <v>0.20580000000000001</v>
      </c>
      <c r="D34" s="472"/>
      <c r="E34" s="473"/>
      <c r="F34" s="480"/>
      <c r="G34" s="261" t="s">
        <v>2291</v>
      </c>
      <c r="H34" s="2794"/>
      <c r="I34" s="2794"/>
      <c r="J34" s="2794"/>
      <c r="K34" s="279"/>
    </row>
    <row r="35" spans="1:11" s="2123" customFormat="1" ht="13.5" customHeight="1" thickBot="1">
      <c r="A35" s="1636" t="s">
        <v>1858</v>
      </c>
      <c r="B35" s="3009" t="s">
        <v>2838</v>
      </c>
      <c r="C35" s="1628">
        <f ca="1">ROUND((C18+C19+C20+C23+C24)*F33,0)</f>
        <v>40927</v>
      </c>
      <c r="D35" s="1629"/>
      <c r="E35" s="2843"/>
      <c r="F35" s="1630"/>
      <c r="G35" s="2801"/>
      <c r="H35" s="2802"/>
      <c r="I35" s="2802"/>
      <c r="J35" s="2802"/>
      <c r="K35" s="2803"/>
    </row>
    <row r="36" spans="1:11" s="2085" customFormat="1" ht="13.5" customHeight="1" thickBot="1">
      <c r="A36" s="284" t="s">
        <v>1845</v>
      </c>
      <c r="B36" s="2805"/>
      <c r="C36" s="2844">
        <f ca="1">ROUND((C6-C30-C33)/(1+D30+D33),0)</f>
        <v>716812</v>
      </c>
      <c r="D36" s="2805"/>
      <c r="E36" s="2805"/>
      <c r="F36" s="2805"/>
      <c r="G36" s="2804" t="s">
        <v>2839</v>
      </c>
      <c r="H36" s="2805"/>
      <c r="I36" s="2805"/>
      <c r="J36" s="2805"/>
      <c r="K36" s="2806"/>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A4" sqref="A4:J51"/>
    </sheetView>
  </sheetViews>
  <sheetFormatPr defaultColWidth="9" defaultRowHeight="14.25"/>
  <cols>
    <col min="1" max="1" width="10.5" style="1336" customWidth="1"/>
    <col min="2" max="2" width="15.75" style="1336" customWidth="1"/>
    <col min="3" max="3" width="18.8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6" t="s">
        <v>2855</v>
      </c>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f>ROUND(B3*D3/10000,0)</f>
        <v>284</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f>C50</f>
        <v>9</v>
      </c>
      <c r="C3" s="852" t="s">
        <v>722</v>
      </c>
      <c r="D3" s="851">
        <f>SUMIF('数据-汇总表'!$C19:$C33,D1,'数据-汇总表'!$E19:$E33)</f>
        <v>315045</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86" t="s">
        <v>522</v>
      </c>
      <c r="D4" s="3487"/>
      <c r="E4" s="3488" t="s">
        <v>523</v>
      </c>
      <c r="F4" s="3489"/>
      <c r="G4" s="3486" t="s">
        <v>524</v>
      </c>
      <c r="H4" s="3487"/>
      <c r="I4" s="3486" t="s">
        <v>525</v>
      </c>
      <c r="J4" s="3487"/>
      <c r="K4" s="514" t="s">
        <v>526</v>
      </c>
      <c r="L4" s="2133"/>
      <c r="M4" s="2134"/>
      <c r="N4" s="2134"/>
      <c r="O4" s="2134"/>
      <c r="P4" s="3560" t="s">
        <v>527</v>
      </c>
      <c r="Q4" s="3491"/>
      <c r="R4" s="3496" t="s">
        <v>523</v>
      </c>
      <c r="S4" s="3497"/>
      <c r="T4" s="3496" t="s">
        <v>524</v>
      </c>
      <c r="U4" s="3497"/>
      <c r="V4" s="3502" t="s">
        <v>525</v>
      </c>
      <c r="W4" s="3502"/>
      <c r="X4" s="1567"/>
      <c r="Y4" s="3496" t="s">
        <v>527</v>
      </c>
      <c r="Z4" s="3497"/>
      <c r="AA4" s="3483" t="s">
        <v>523</v>
      </c>
      <c r="AB4" s="3483" t="s">
        <v>524</v>
      </c>
      <c r="AC4" s="3483" t="s">
        <v>525</v>
      </c>
    </row>
    <row r="5" spans="1:29" ht="15" customHeight="1">
      <c r="A5" s="515"/>
      <c r="B5" s="516"/>
      <c r="C5" s="3510" t="s">
        <v>2926</v>
      </c>
      <c r="D5" s="3506"/>
      <c r="E5" s="3513" t="s">
        <v>3129</v>
      </c>
      <c r="F5" s="3514"/>
      <c r="G5" s="3513" t="s">
        <v>3129</v>
      </c>
      <c r="H5" s="3514"/>
      <c r="I5" s="3513" t="s">
        <v>3129</v>
      </c>
      <c r="J5" s="3514"/>
      <c r="K5" s="514"/>
      <c r="L5" s="2133"/>
      <c r="M5" s="2134"/>
      <c r="N5" s="2134"/>
      <c r="O5" s="2134"/>
      <c r="P5" s="3561"/>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562"/>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v>43374</v>
      </c>
      <c r="F7" s="522">
        <f>SUMIF(59:59,YEAR(E7)&amp;"-"&amp;MONTH(E7),60:60)</f>
        <v>100</v>
      </c>
      <c r="G7" s="521">
        <v>43374</v>
      </c>
      <c r="H7" s="520">
        <f>SUMIF(59:59,YEAR(G7)&amp;"-"&amp;MONTH(G7),60:60)</f>
        <v>100</v>
      </c>
      <c r="I7" s="521">
        <v>43374</v>
      </c>
      <c r="J7" s="520">
        <f>SUMIF(59:59,YEAR(I7)&amp;"-"&amp;MONTH(I7),60:60)</f>
        <v>100</v>
      </c>
      <c r="K7" s="524"/>
      <c r="L7" s="2135"/>
      <c r="M7" s="2136"/>
      <c r="N7" s="2136"/>
      <c r="O7" s="2136"/>
      <c r="P7" s="3509" t="s">
        <v>530</v>
      </c>
      <c r="Q7" s="3509"/>
      <c r="R7" s="1568" t="s">
        <v>8</v>
      </c>
      <c r="S7" s="1569">
        <f t="shared" ref="S7:S15" si="0">F7</f>
        <v>100</v>
      </c>
      <c r="T7" s="1568" t="s">
        <v>8</v>
      </c>
      <c r="U7" s="1569">
        <f t="shared" ref="U7:U15" si="1">H7</f>
        <v>100</v>
      </c>
      <c r="V7" s="1568" t="s">
        <v>8</v>
      </c>
      <c r="W7" s="1569">
        <f t="shared" ref="W7:W15" si="2">J7</f>
        <v>100</v>
      </c>
      <c r="X7" s="1570"/>
      <c r="Y7" s="3507" t="s">
        <v>530</v>
      </c>
      <c r="Z7" s="3508"/>
      <c r="AA7" s="1571">
        <f>D7/F7</f>
        <v>1</v>
      </c>
      <c r="AB7" s="1571">
        <f>D7/H7</f>
        <v>1</v>
      </c>
      <c r="AC7" s="1571">
        <f>D7/J7</f>
        <v>1</v>
      </c>
    </row>
    <row r="8" spans="1:29" s="1219" customFormat="1" ht="15.75" thickBot="1">
      <c r="A8" s="2892"/>
      <c r="B8" s="2899" t="s">
        <v>531</v>
      </c>
      <c r="C8" s="525" t="s">
        <v>576</v>
      </c>
      <c r="D8" s="520">
        <v>100</v>
      </c>
      <c r="E8" s="525" t="s">
        <v>3044</v>
      </c>
      <c r="F8" s="522">
        <f>SUMIF(62:62,E8,63:63)-SUMIF(62:62,C8,63:63)+100</f>
        <v>100</v>
      </c>
      <c r="G8" s="525" t="s">
        <v>3044</v>
      </c>
      <c r="H8" s="520">
        <f>SUMIF(62:62,G8,63:63)-SUMIF(62:62,C8,63:63)+100</f>
        <v>100</v>
      </c>
      <c r="I8" s="525" t="s">
        <v>3044</v>
      </c>
      <c r="J8" s="520">
        <f>SUMIF(62:62,I8,63:63)-SUMIF(62:62,C8,63:63)+100</f>
        <v>100</v>
      </c>
      <c r="K8" s="524"/>
      <c r="L8" s="2135"/>
      <c r="M8" s="2136"/>
      <c r="N8" s="2136"/>
      <c r="O8" s="2136"/>
      <c r="P8" s="3509" t="s">
        <v>533</v>
      </c>
      <c r="Q8" s="3508"/>
      <c r="R8" s="1568" t="s">
        <v>8</v>
      </c>
      <c r="S8" s="1569">
        <f t="shared" si="0"/>
        <v>100</v>
      </c>
      <c r="T8" s="1568" t="s">
        <v>8</v>
      </c>
      <c r="U8" s="1569">
        <f t="shared" si="1"/>
        <v>100</v>
      </c>
      <c r="V8" s="1568" t="s">
        <v>8</v>
      </c>
      <c r="W8" s="1569">
        <f t="shared" si="2"/>
        <v>100</v>
      </c>
      <c r="X8" s="1570"/>
      <c r="Y8" s="3507" t="s">
        <v>533</v>
      </c>
      <c r="Z8" s="3508"/>
      <c r="AA8" s="1571">
        <f t="shared" ref="AA8:AA47" si="3">D8/F8</f>
        <v>1</v>
      </c>
      <c r="AB8" s="1571">
        <f t="shared" ref="AB8:AB47" si="4">D8/H8</f>
        <v>1</v>
      </c>
      <c r="AC8" s="1571">
        <f t="shared" ref="AC8:AC47" si="5">D8/J8</f>
        <v>1</v>
      </c>
    </row>
    <row r="9" spans="1:29" s="1219" customFormat="1" ht="15">
      <c r="A9" s="2893"/>
      <c r="B9" s="2900" t="s">
        <v>2757</v>
      </c>
      <c r="C9" s="3200" t="s">
        <v>3047</v>
      </c>
      <c r="D9" s="254">
        <v>100</v>
      </c>
      <c r="E9" s="3201" t="s">
        <v>3047</v>
      </c>
      <c r="F9" s="254">
        <f>SUMIF(64:64,E9,65:65)-SUMIF(64:64,C9,65:65)+100</f>
        <v>100</v>
      </c>
      <c r="G9" s="3201" t="s">
        <v>3047</v>
      </c>
      <c r="H9" s="254">
        <f>SUMIF(64:64,G9,65:65)-SUMIF(64:64,C9,65:65)+100</f>
        <v>100</v>
      </c>
      <c r="I9" s="3201" t="s">
        <v>3047</v>
      </c>
      <c r="J9" s="254">
        <f>SUMIF(64:64,I9,65:65)-SUMIF(64:64,C9,65:65)+100</f>
        <v>100</v>
      </c>
      <c r="K9" s="524"/>
      <c r="L9" s="2135"/>
      <c r="M9" s="2136"/>
      <c r="N9" s="2136"/>
      <c r="O9" s="2136"/>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75" thickBot="1">
      <c r="A10" s="2894"/>
      <c r="B10" s="2899" t="s">
        <v>2758</v>
      </c>
      <c r="C10" s="861" t="s">
        <v>3021</v>
      </c>
      <c r="D10" s="255">
        <v>100</v>
      </c>
      <c r="E10" s="861" t="s">
        <v>3021</v>
      </c>
      <c r="F10" s="255">
        <f>SUMIF(66:66,E10,67:67)-SUMIF(66:66,C10,67:67)+100</f>
        <v>100</v>
      </c>
      <c r="G10" s="861" t="s">
        <v>3021</v>
      </c>
      <c r="H10" s="255">
        <f>SUMIF(66:66,G10,67:67)-SUMIF(66:66,C10,67:67)+100</f>
        <v>100</v>
      </c>
      <c r="I10" s="861" t="s">
        <v>3021</v>
      </c>
      <c r="J10" s="255">
        <f>SUMIF(66:66,I10,67:67)-SUMIF(66:66,C10,67:67)+100</f>
        <v>100</v>
      </c>
      <c r="K10" s="584">
        <v>0.5</v>
      </c>
      <c r="L10" s="2138"/>
      <c r="M10" s="2178"/>
      <c r="N10" s="2178"/>
      <c r="O10" s="2178"/>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hidden="1">
      <c r="A11" s="2895"/>
      <c r="B11" s="2899" t="s">
        <v>2759</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40"/>
      <c r="M11" s="2134"/>
      <c r="N11" s="2134"/>
      <c r="O11" s="2134"/>
      <c r="P11" s="3473"/>
      <c r="Q11" s="1151" t="str">
        <f t="shared" si="6"/>
        <v>容积率</v>
      </c>
      <c r="R11" s="1568" t="s">
        <v>8</v>
      </c>
      <c r="S11" s="1569">
        <f t="shared" si="0"/>
        <v>100</v>
      </c>
      <c r="T11" s="1568" t="s">
        <v>8</v>
      </c>
      <c r="U11" s="1569">
        <f t="shared" si="1"/>
        <v>100</v>
      </c>
      <c r="V11" s="1568" t="s">
        <v>8</v>
      </c>
      <c r="W11" s="1569">
        <f t="shared" si="2"/>
        <v>100</v>
      </c>
      <c r="X11" s="1570"/>
      <c r="Y11" s="3434"/>
      <c r="Z11" s="1150" t="str">
        <f t="shared" si="7"/>
        <v>容积率</v>
      </c>
      <c r="AA11" s="1571">
        <f t="shared" si="3"/>
        <v>1</v>
      </c>
      <c r="AB11" s="1571">
        <f t="shared" si="4"/>
        <v>1</v>
      </c>
      <c r="AC11" s="1571">
        <f t="shared" si="5"/>
        <v>1</v>
      </c>
    </row>
    <row r="12" spans="1:29" s="1219" customFormat="1" ht="15" hidden="1">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hidden="1">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hidden="1"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57">
      <c r="A15" s="2889" t="s">
        <v>2755</v>
      </c>
      <c r="B15" s="547" t="s">
        <v>542</v>
      </c>
      <c r="C15" s="548" t="str">
        <f>估价对象房地状况!C5</f>
        <v>估价对象位于酒仙桥商圈，周边办公楼项目较多，入驻率高，办公集聚程度较好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78" t="s">
        <v>540</v>
      </c>
      <c r="Q15" s="1572" t="str">
        <f t="shared" si="6"/>
        <v>办公集聚程度</v>
      </c>
      <c r="R15" s="1573" t="s">
        <v>8</v>
      </c>
      <c r="S15" s="1574">
        <f t="shared" si="0"/>
        <v>100</v>
      </c>
      <c r="T15" s="1573" t="s">
        <v>8</v>
      </c>
      <c r="U15" s="1574">
        <f t="shared" si="1"/>
        <v>100</v>
      </c>
      <c r="V15" s="1573" t="s">
        <v>8</v>
      </c>
      <c r="W15" s="1574">
        <f t="shared" si="2"/>
        <v>100</v>
      </c>
      <c r="X15" s="1567"/>
      <c r="Y15" s="3478" t="s">
        <v>540</v>
      </c>
      <c r="Z15" s="1575" t="str">
        <f t="shared" si="7"/>
        <v>办公集聚程度</v>
      </c>
      <c r="AA15" s="1576">
        <f t="shared" si="3"/>
        <v>1</v>
      </c>
      <c r="AB15" s="1576">
        <f t="shared" si="4"/>
        <v>1</v>
      </c>
      <c r="AC15" s="1576">
        <f t="shared" si="5"/>
        <v>1</v>
      </c>
    </row>
    <row r="16" spans="1:29" ht="15">
      <c r="A16" s="532"/>
      <c r="B16" s="553"/>
      <c r="C16" s="554" t="s">
        <v>3025</v>
      </c>
      <c r="D16" s="555"/>
      <c r="E16" s="554" t="s">
        <v>3025</v>
      </c>
      <c r="F16" s="555"/>
      <c r="G16" s="554" t="s">
        <v>3025</v>
      </c>
      <c r="H16" s="559"/>
      <c r="I16" s="554" t="s">
        <v>3025</v>
      </c>
      <c r="J16" s="555"/>
      <c r="K16" s="899"/>
      <c r="L16" s="2142"/>
      <c r="M16" s="2134"/>
      <c r="N16" s="2134"/>
      <c r="O16" s="2134"/>
      <c r="P16" s="3479"/>
      <c r="Q16" s="1572"/>
      <c r="R16" s="1573"/>
      <c r="S16" s="1574"/>
      <c r="T16" s="1573"/>
      <c r="U16" s="1574"/>
      <c r="V16" s="1573"/>
      <c r="W16" s="1574"/>
      <c r="X16" s="1567"/>
      <c r="Y16" s="3479"/>
      <c r="Z16" s="1575"/>
      <c r="AA16" s="1576">
        <v>1</v>
      </c>
      <c r="AB16" s="1576">
        <v>1</v>
      </c>
      <c r="AC16" s="1576">
        <v>1</v>
      </c>
    </row>
    <row r="17" spans="1:29" ht="128.25">
      <c r="A17" s="532"/>
      <c r="B17" s="560" t="s">
        <v>296</v>
      </c>
      <c r="C17" s="573" t="str">
        <f>估价对象房地状况!C6</f>
        <v>估价对象周边有445路、516路、659路、983路等多条公交线路经过，距14号线地铁（将台站）约300米，道路状况较好、公共交通通达情况较好、综合评价交通便捷度较好。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66"/>
      <c r="C18" s="567" t="s">
        <v>3025</v>
      </c>
      <c r="D18" s="559"/>
      <c r="E18" s="554" t="s">
        <v>3025</v>
      </c>
      <c r="F18" s="559"/>
      <c r="G18" s="554" t="s">
        <v>3025</v>
      </c>
      <c r="H18" s="555"/>
      <c r="I18" s="554" t="s">
        <v>3025</v>
      </c>
      <c r="J18" s="555"/>
      <c r="K18" s="899"/>
      <c r="L18" s="2142"/>
      <c r="M18" s="2134"/>
      <c r="N18" s="2134"/>
      <c r="O18" s="2134"/>
      <c r="P18" s="3479"/>
      <c r="Q18" s="1572"/>
      <c r="R18" s="1573"/>
      <c r="S18" s="1574"/>
      <c r="T18" s="1573"/>
      <c r="U18" s="1574"/>
      <c r="V18" s="1573"/>
      <c r="W18" s="1574"/>
      <c r="X18" s="1567"/>
      <c r="Y18" s="3479"/>
      <c r="Z18" s="1575"/>
      <c r="AA18" s="1576">
        <v>1</v>
      </c>
      <c r="AB18" s="1576">
        <v>1</v>
      </c>
      <c r="AC18" s="1576">
        <v>1</v>
      </c>
    </row>
    <row r="19" spans="1:29" ht="42.75">
      <c r="A19" s="532"/>
      <c r="B19" s="2582" t="s">
        <v>2547</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66"/>
      <c r="C20" s="554" t="s">
        <v>3025</v>
      </c>
      <c r="D20" s="555"/>
      <c r="E20" s="554" t="s">
        <v>3025</v>
      </c>
      <c r="F20" s="555"/>
      <c r="G20" s="554" t="s">
        <v>3025</v>
      </c>
      <c r="H20" s="555"/>
      <c r="I20" s="554" t="s">
        <v>3025</v>
      </c>
      <c r="J20" s="555"/>
      <c r="K20" s="899"/>
      <c r="L20" s="2142"/>
      <c r="M20" s="2134"/>
      <c r="N20" s="2134"/>
      <c r="O20" s="2134"/>
      <c r="P20" s="3479"/>
      <c r="Q20" s="1572"/>
      <c r="R20" s="1573"/>
      <c r="S20" s="1574"/>
      <c r="T20" s="1573"/>
      <c r="U20" s="1574"/>
      <c r="V20" s="1573"/>
      <c r="W20" s="1574"/>
      <c r="X20" s="1567"/>
      <c r="Y20" s="3479"/>
      <c r="Z20" s="1575"/>
      <c r="AA20" s="1576">
        <v>1</v>
      </c>
      <c r="AB20" s="1576">
        <v>1</v>
      </c>
      <c r="AC20" s="1576">
        <v>1</v>
      </c>
    </row>
    <row r="21" spans="1:29" ht="42.75">
      <c r="A21" s="532"/>
      <c r="B21" s="2570" t="s">
        <v>2559</v>
      </c>
      <c r="C21" s="573" t="str">
        <f>估价对象房地状况!C8</f>
        <v>估价对象所在区域基础设施水平达到三通一平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578"/>
      <c r="C22" s="3257" t="s">
        <v>3027</v>
      </c>
      <c r="D22" s="555"/>
      <c r="E22" s="567" t="s">
        <v>3027</v>
      </c>
      <c r="F22" s="555"/>
      <c r="G22" s="567" t="s">
        <v>3027</v>
      </c>
      <c r="H22" s="555"/>
      <c r="I22" s="567" t="s">
        <v>3027</v>
      </c>
      <c r="J22" s="555"/>
      <c r="K22" s="2581"/>
      <c r="L22" s="2142"/>
      <c r="M22" s="2134"/>
      <c r="N22" s="2134"/>
      <c r="O22" s="2134"/>
      <c r="P22" s="3479"/>
      <c r="Q22" s="2558"/>
      <c r="R22" s="1573"/>
      <c r="S22" s="1574"/>
      <c r="T22" s="1573"/>
      <c r="U22" s="1574"/>
      <c r="V22" s="1573"/>
      <c r="W22" s="1574"/>
      <c r="X22" s="2560"/>
      <c r="Y22" s="3479"/>
      <c r="Z22" s="2559"/>
      <c r="AA22" s="1576">
        <v>1</v>
      </c>
      <c r="AB22" s="1576">
        <v>1</v>
      </c>
      <c r="AC22" s="1576">
        <v>1</v>
      </c>
    </row>
    <row r="23" spans="1:29" ht="42.75">
      <c r="A23" s="532"/>
      <c r="B23" s="560" t="s">
        <v>778</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79"/>
      <c r="Q23" s="1572" t="str">
        <f>B23</f>
        <v>环境质量</v>
      </c>
      <c r="R23" s="1573" t="s">
        <v>8</v>
      </c>
      <c r="S23" s="1574">
        <f>F23</f>
        <v>100</v>
      </c>
      <c r="T23" s="1573" t="s">
        <v>8</v>
      </c>
      <c r="U23" s="1574">
        <f>H23</f>
        <v>100</v>
      </c>
      <c r="V23" s="1573" t="s">
        <v>8</v>
      </c>
      <c r="W23" s="1574">
        <f>J23</f>
        <v>100</v>
      </c>
      <c r="X23" s="1567"/>
      <c r="Y23" s="3479"/>
      <c r="Z23" s="1575" t="str">
        <f>Q23</f>
        <v>环境质量</v>
      </c>
      <c r="AA23" s="1576">
        <f t="shared" si="3"/>
        <v>1</v>
      </c>
      <c r="AB23" s="1576">
        <f t="shared" si="4"/>
        <v>1</v>
      </c>
      <c r="AC23" s="1576">
        <f t="shared" si="5"/>
        <v>1</v>
      </c>
    </row>
    <row r="24" spans="1:29" ht="15">
      <c r="A24" s="532"/>
      <c r="B24" s="578"/>
      <c r="C24" s="554" t="s">
        <v>3025</v>
      </c>
      <c r="D24" s="555"/>
      <c r="E24" s="554" t="s">
        <v>3025</v>
      </c>
      <c r="F24" s="555"/>
      <c r="G24" s="554" t="s">
        <v>3025</v>
      </c>
      <c r="H24" s="555"/>
      <c r="I24" s="554" t="s">
        <v>3025</v>
      </c>
      <c r="J24" s="555"/>
      <c r="K24" s="899"/>
      <c r="L24" s="2142"/>
      <c r="M24" s="2134"/>
      <c r="N24" s="2134"/>
      <c r="O24" s="2134"/>
      <c r="P24" s="3479"/>
      <c r="Q24" s="1572"/>
      <c r="R24" s="1573"/>
      <c r="S24" s="1574"/>
      <c r="T24" s="1573"/>
      <c r="U24" s="1574"/>
      <c r="V24" s="1573"/>
      <c r="W24" s="1574"/>
      <c r="X24" s="1567"/>
      <c r="Y24" s="3479"/>
      <c r="Z24" s="1575"/>
      <c r="AA24" s="1576">
        <v>1</v>
      </c>
      <c r="AB24" s="1576">
        <v>1</v>
      </c>
      <c r="AC24" s="1576">
        <v>1</v>
      </c>
    </row>
    <row r="25" spans="1:29" ht="27">
      <c r="A25" s="515"/>
      <c r="B25" s="560" t="s">
        <v>548</v>
      </c>
      <c r="C25" s="3210" t="s">
        <v>3054</v>
      </c>
      <c r="D25" s="540">
        <v>100</v>
      </c>
      <c r="E25" s="3210" t="s">
        <v>3054</v>
      </c>
      <c r="F25" s="540">
        <f>SUMIF(87:87,E26,88:88)-SUMIF(87:87,C26,88:88)+100</f>
        <v>100</v>
      </c>
      <c r="G25" s="3210" t="s">
        <v>3054</v>
      </c>
      <c r="H25" s="540">
        <f>SUMIF(87:87,G26,88:88)-SUMIF(87:87,C26,88:88)+100</f>
        <v>100</v>
      </c>
      <c r="I25" s="3210" t="s">
        <v>3054</v>
      </c>
      <c r="J25" s="540">
        <f>SUMIF(87:87,I26,88:88)-SUMIF(87:87,C26,88:88)+100</f>
        <v>100</v>
      </c>
      <c r="K25" s="898">
        <v>0.5</v>
      </c>
      <c r="L25" s="2142"/>
      <c r="M25" s="2134"/>
      <c r="N25" s="2134"/>
      <c r="O25" s="2134"/>
      <c r="P25" s="3479"/>
      <c r="Q25" s="1572" t="str">
        <f>B25</f>
        <v>毗邻道路的类型与等级</v>
      </c>
      <c r="R25" s="1573" t="s">
        <v>8</v>
      </c>
      <c r="S25" s="1574">
        <f>F25</f>
        <v>100</v>
      </c>
      <c r="T25" s="1573" t="s">
        <v>8</v>
      </c>
      <c r="U25" s="1574">
        <f>H25</f>
        <v>100</v>
      </c>
      <c r="V25" s="1573" t="s">
        <v>8</v>
      </c>
      <c r="W25" s="1574">
        <f>J25</f>
        <v>100</v>
      </c>
      <c r="X25" s="1567"/>
      <c r="Y25" s="3479"/>
      <c r="Z25" s="1575" t="str">
        <f>Q25</f>
        <v>毗邻道路的类型与等级</v>
      </c>
      <c r="AA25" s="1576">
        <f t="shared" si="3"/>
        <v>1</v>
      </c>
      <c r="AB25" s="1576">
        <f t="shared" si="4"/>
        <v>1</v>
      </c>
      <c r="AC25" s="1576">
        <f t="shared" si="5"/>
        <v>1</v>
      </c>
    </row>
    <row r="26" spans="1:29" ht="15">
      <c r="A26" s="515"/>
      <c r="B26" s="566"/>
      <c r="C26" s="580" t="s">
        <v>3051</v>
      </c>
      <c r="D26" s="540"/>
      <c r="E26" s="583" t="s">
        <v>3051</v>
      </c>
      <c r="F26" s="540"/>
      <c r="G26" s="580" t="s">
        <v>3051</v>
      </c>
      <c r="H26" s="540"/>
      <c r="I26" s="583" t="s">
        <v>3051</v>
      </c>
      <c r="J26" s="540"/>
      <c r="K26" s="899"/>
      <c r="L26" s="2142"/>
      <c r="M26" s="2134"/>
      <c r="N26" s="2134"/>
      <c r="O26" s="2134"/>
      <c r="P26" s="3479"/>
      <c r="Q26" s="1572"/>
      <c r="R26" s="1573"/>
      <c r="S26" s="1574"/>
      <c r="T26" s="1573"/>
      <c r="U26" s="1574"/>
      <c r="V26" s="1573"/>
      <c r="W26" s="1574"/>
      <c r="X26" s="1567"/>
      <c r="Y26" s="3479"/>
      <c r="Z26" s="1575"/>
      <c r="AA26" s="1576">
        <v>1</v>
      </c>
      <c r="AB26" s="1576">
        <v>1</v>
      </c>
      <c r="AC26" s="1576">
        <v>1</v>
      </c>
    </row>
    <row r="27" spans="1:29" ht="15.75" thickBot="1">
      <c r="A27" s="532"/>
      <c r="B27" s="566" t="s">
        <v>761</v>
      </c>
      <c r="C27" s="3211" t="s">
        <v>3055</v>
      </c>
      <c r="D27" s="540">
        <v>100</v>
      </c>
      <c r="E27" s="3211" t="s">
        <v>3130</v>
      </c>
      <c r="F27" s="540">
        <f>SUMIF(89:89,E27,90:90)-SUMIF(89:89,C27,90:90)+100</f>
        <v>99</v>
      </c>
      <c r="G27" s="3211" t="s">
        <v>3055</v>
      </c>
      <c r="H27" s="540">
        <f>SUMIF(89:89,G27,90:90)-SUMIF(89:89,C27,90:90)+100</f>
        <v>100</v>
      </c>
      <c r="I27" s="3211" t="s">
        <v>3055</v>
      </c>
      <c r="J27" s="540">
        <f>SUMIF(89:89,I27,90:90)-SUMIF(89:89,C27,90:90)+100</f>
        <v>100</v>
      </c>
      <c r="K27" s="584">
        <v>1</v>
      </c>
      <c r="L27" s="2142"/>
      <c r="M27" s="2134"/>
      <c r="N27" s="2134"/>
      <c r="O27" s="2134"/>
      <c r="P27" s="3479"/>
      <c r="Q27" s="1572" t="str">
        <f t="shared" ref="Q27:Q47" si="11">B27</f>
        <v>楼层</v>
      </c>
      <c r="R27" s="1573" t="s">
        <v>8</v>
      </c>
      <c r="S27" s="1574">
        <f>F27</f>
        <v>99</v>
      </c>
      <c r="T27" s="1573" t="s">
        <v>8</v>
      </c>
      <c r="U27" s="1574">
        <f>H27</f>
        <v>100</v>
      </c>
      <c r="V27" s="1573" t="s">
        <v>8</v>
      </c>
      <c r="W27" s="1574">
        <f>J27</f>
        <v>100</v>
      </c>
      <c r="X27" s="1567"/>
      <c r="Y27" s="3479"/>
      <c r="Z27" s="1575" t="str">
        <f>Q27</f>
        <v>楼层</v>
      </c>
      <c r="AA27" s="1576">
        <f t="shared" si="3"/>
        <v>1.0101010101010102</v>
      </c>
      <c r="AB27" s="1576">
        <f t="shared" si="4"/>
        <v>1</v>
      </c>
      <c r="AC27" s="1576">
        <f t="shared" si="5"/>
        <v>1</v>
      </c>
    </row>
    <row r="28" spans="1:29" s="1219" customFormat="1" ht="15.75" hidden="1"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79"/>
      <c r="Q28" s="1151" t="str">
        <f t="shared" si="11"/>
        <v>朝向</v>
      </c>
      <c r="R28" s="1568" t="s">
        <v>8</v>
      </c>
      <c r="S28" s="1569">
        <f>F28</f>
        <v>100</v>
      </c>
      <c r="T28" s="1568" t="s">
        <v>8</v>
      </c>
      <c r="U28" s="1569">
        <f>H28</f>
        <v>100</v>
      </c>
      <c r="V28" s="1568" t="s">
        <v>8</v>
      </c>
      <c r="W28" s="1569">
        <f>J28</f>
        <v>100</v>
      </c>
      <c r="X28" s="1570"/>
      <c r="Y28" s="3479"/>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79"/>
      <c r="Q29" s="1572">
        <f t="shared" si="11"/>
        <v>111</v>
      </c>
      <c r="R29" s="1573" t="s">
        <v>8</v>
      </c>
      <c r="S29" s="1574">
        <f t="shared" ref="S29:S47" si="12">F29</f>
        <v>100</v>
      </c>
      <c r="T29" s="1573" t="s">
        <v>8</v>
      </c>
      <c r="U29" s="1574">
        <f t="shared" ref="U29:U47" si="13">H29</f>
        <v>100</v>
      </c>
      <c r="V29" s="1573" t="s">
        <v>8</v>
      </c>
      <c r="W29" s="1574">
        <f t="shared" ref="W29:W47" si="14">J29</f>
        <v>100</v>
      </c>
      <c r="X29" s="1567"/>
      <c r="Y29" s="3479"/>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79"/>
      <c r="Q30" s="1572">
        <f t="shared" si="11"/>
        <v>111</v>
      </c>
      <c r="R30" s="1573" t="s">
        <v>8</v>
      </c>
      <c r="S30" s="1574">
        <f t="shared" si="12"/>
        <v>100</v>
      </c>
      <c r="T30" s="1573" t="s">
        <v>8</v>
      </c>
      <c r="U30" s="1574">
        <f t="shared" si="13"/>
        <v>100</v>
      </c>
      <c r="V30" s="1573" t="s">
        <v>8</v>
      </c>
      <c r="W30" s="1574">
        <f t="shared" si="14"/>
        <v>100</v>
      </c>
      <c r="X30" s="1567"/>
      <c r="Y30" s="3479"/>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79"/>
      <c r="Q31" s="1572">
        <f t="shared" si="11"/>
        <v>111</v>
      </c>
      <c r="R31" s="1573" t="s">
        <v>8</v>
      </c>
      <c r="S31" s="1574">
        <f t="shared" si="12"/>
        <v>100</v>
      </c>
      <c r="T31" s="1573" t="s">
        <v>8</v>
      </c>
      <c r="U31" s="1574">
        <f t="shared" si="13"/>
        <v>100</v>
      </c>
      <c r="V31" s="1573" t="s">
        <v>8</v>
      </c>
      <c r="W31" s="1574">
        <f t="shared" si="14"/>
        <v>100</v>
      </c>
      <c r="X31" s="1567"/>
      <c r="Y31" s="3479"/>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79"/>
      <c r="Q32" s="1572">
        <f t="shared" si="11"/>
        <v>111</v>
      </c>
      <c r="R32" s="1573" t="s">
        <v>8</v>
      </c>
      <c r="S32" s="1574">
        <f t="shared" si="12"/>
        <v>100</v>
      </c>
      <c r="T32" s="1573" t="s">
        <v>8</v>
      </c>
      <c r="U32" s="1574">
        <f t="shared" si="13"/>
        <v>100</v>
      </c>
      <c r="V32" s="1573" t="s">
        <v>8</v>
      </c>
      <c r="W32" s="1574">
        <f t="shared" si="14"/>
        <v>100</v>
      </c>
      <c r="X32" s="1567"/>
      <c r="Y32" s="3479"/>
      <c r="Z32" s="1575">
        <f t="shared" si="15"/>
        <v>111</v>
      </c>
      <c r="AA32" s="1576">
        <f t="shared" si="3"/>
        <v>1</v>
      </c>
      <c r="AB32" s="1576">
        <f t="shared" si="4"/>
        <v>1</v>
      </c>
      <c r="AC32" s="1576">
        <f t="shared" si="5"/>
        <v>1</v>
      </c>
    </row>
    <row r="33" spans="1:29" ht="15">
      <c r="A33" s="2886" t="s">
        <v>2756</v>
      </c>
      <c r="B33" s="172" t="s">
        <v>780</v>
      </c>
      <c r="C33" s="3212" t="s">
        <v>3056</v>
      </c>
      <c r="D33" s="597">
        <v>100</v>
      </c>
      <c r="E33" s="3212" t="s">
        <v>3056</v>
      </c>
      <c r="F33" s="575">
        <f>SUMIF(101:101,E33,102:102)-SUMIF(101:101,C33,102:102)+100</f>
        <v>100</v>
      </c>
      <c r="G33" s="3212" t="s">
        <v>3056</v>
      </c>
      <c r="H33" s="540">
        <f>SUMIF(101:101,G33,102:102)-SUMIF(101:101,C33,102:102)+100</f>
        <v>100</v>
      </c>
      <c r="I33" s="3212" t="s">
        <v>3056</v>
      </c>
      <c r="J33" s="597">
        <f>SUMIF(101:101,I33,102:102)-SUMIF(101:101,C33,102:102)+100</f>
        <v>100</v>
      </c>
      <c r="K33" s="584"/>
      <c r="L33" s="2142"/>
      <c r="M33" s="2134"/>
      <c r="N33" s="2134"/>
      <c r="O33" s="2134"/>
      <c r="P33" s="3480" t="s">
        <v>550</v>
      </c>
      <c r="Q33" s="1572" t="str">
        <f t="shared" si="11"/>
        <v>建筑类型</v>
      </c>
      <c r="R33" s="1573" t="s">
        <v>8</v>
      </c>
      <c r="S33" s="1574">
        <f t="shared" si="12"/>
        <v>100</v>
      </c>
      <c r="T33" s="1573" t="s">
        <v>8</v>
      </c>
      <c r="U33" s="1574">
        <f t="shared" si="13"/>
        <v>100</v>
      </c>
      <c r="V33" s="1573" t="s">
        <v>8</v>
      </c>
      <c r="W33" s="1574">
        <f t="shared" si="14"/>
        <v>100</v>
      </c>
      <c r="X33" s="1567"/>
      <c r="Y33" s="3481" t="s">
        <v>550</v>
      </c>
      <c r="Z33" s="1575" t="str">
        <f t="shared" si="15"/>
        <v>建筑类型</v>
      </c>
      <c r="AA33" s="1576">
        <f t="shared" si="3"/>
        <v>1</v>
      </c>
      <c r="AB33" s="1576">
        <f t="shared" si="4"/>
        <v>1</v>
      </c>
      <c r="AC33" s="1576">
        <f t="shared" si="5"/>
        <v>1</v>
      </c>
    </row>
    <row r="34" spans="1:29" s="1338" customFormat="1" ht="15">
      <c r="A34" s="603"/>
      <c r="B34" s="527" t="s">
        <v>726</v>
      </c>
      <c r="C34" s="880">
        <f>'数据-基础表'!K14</f>
        <v>315045</v>
      </c>
      <c r="D34" s="255">
        <v>100</v>
      </c>
      <c r="E34" s="534">
        <v>430</v>
      </c>
      <c r="F34" s="863">
        <f>LOOKUP(E34,104:104,105:105)-LOOKUP(C34,104:104,105:105)+100</f>
        <v>101</v>
      </c>
      <c r="G34" s="533">
        <v>430</v>
      </c>
      <c r="H34" s="255">
        <f>LOOKUP(G34,104:104,105:105)-LOOKUP(C34,104:104,105:105)+100</f>
        <v>101</v>
      </c>
      <c r="I34" s="533">
        <v>400</v>
      </c>
      <c r="J34" s="255">
        <f>LOOKUP(I34,104:104,105:105)-LOOKUP(C34,104:104,105:105)+100</f>
        <v>101</v>
      </c>
      <c r="K34" s="581"/>
      <c r="L34" s="2140"/>
      <c r="M34" s="2171"/>
      <c r="N34" s="2171"/>
      <c r="O34" s="2171"/>
      <c r="P34" s="3481"/>
      <c r="Q34" s="1605" t="str">
        <f t="shared" si="11"/>
        <v>项目建筑规模</v>
      </c>
      <c r="R34" s="1577" t="s">
        <v>8</v>
      </c>
      <c r="S34" s="1578">
        <f t="shared" si="12"/>
        <v>101</v>
      </c>
      <c r="T34" s="1577" t="s">
        <v>8</v>
      </c>
      <c r="U34" s="1578">
        <f t="shared" si="13"/>
        <v>101</v>
      </c>
      <c r="V34" s="1577" t="s">
        <v>8</v>
      </c>
      <c r="W34" s="1578">
        <f t="shared" si="14"/>
        <v>101</v>
      </c>
      <c r="X34" s="1579"/>
      <c r="Y34" s="3481"/>
      <c r="Z34" s="1580" t="str">
        <f t="shared" si="15"/>
        <v>项目建筑规模</v>
      </c>
      <c r="AA34" s="1576">
        <f t="shared" si="3"/>
        <v>0.99009900990099009</v>
      </c>
      <c r="AB34" s="1576">
        <f t="shared" si="4"/>
        <v>0.99009900990099009</v>
      </c>
      <c r="AC34" s="1576">
        <f t="shared" si="5"/>
        <v>0.99009900990099009</v>
      </c>
    </row>
    <row r="35" spans="1:29" ht="15">
      <c r="A35" s="594"/>
      <c r="B35" s="527" t="s">
        <v>727</v>
      </c>
      <c r="C35" s="3214" t="s">
        <v>3058</v>
      </c>
      <c r="D35" s="540">
        <v>100</v>
      </c>
      <c r="E35" s="3214" t="s">
        <v>3058</v>
      </c>
      <c r="F35" s="575">
        <f>SUMIF(106:106,E35,107:107)-SUMIF(106:106,C35,107:107)+100</f>
        <v>100</v>
      </c>
      <c r="G35" s="3214" t="s">
        <v>3058</v>
      </c>
      <c r="H35" s="540">
        <f>SUMIF(106:106,G35,107:107)-SUMIF(106:106,C35,107:107)+100</f>
        <v>100</v>
      </c>
      <c r="I35" s="3214" t="s">
        <v>3058</v>
      </c>
      <c r="J35" s="540">
        <f>SUMIF(106:106,I35,107:107)-SUMIF(106:106,C35,107:107)+100</f>
        <v>100</v>
      </c>
      <c r="K35" s="584"/>
      <c r="L35" s="2142"/>
      <c r="M35" s="2134"/>
      <c r="N35" s="2134"/>
      <c r="O35" s="2134"/>
      <c r="P35" s="3481"/>
      <c r="Q35" s="1572" t="str">
        <f t="shared" si="11"/>
        <v>建筑结构</v>
      </c>
      <c r="R35" s="1573" t="s">
        <v>8</v>
      </c>
      <c r="S35" s="1574">
        <f t="shared" si="12"/>
        <v>100</v>
      </c>
      <c r="T35" s="1573" t="s">
        <v>8</v>
      </c>
      <c r="U35" s="1574">
        <f t="shared" si="13"/>
        <v>100</v>
      </c>
      <c r="V35" s="1573" t="s">
        <v>8</v>
      </c>
      <c r="W35" s="1574">
        <f t="shared" si="14"/>
        <v>100</v>
      </c>
      <c r="X35" s="1567"/>
      <c r="Y35" s="3481"/>
      <c r="Z35" s="1575" t="str">
        <f t="shared" si="15"/>
        <v>建筑结构</v>
      </c>
      <c r="AA35" s="1576">
        <f t="shared" si="3"/>
        <v>1</v>
      </c>
      <c r="AB35" s="1576">
        <f t="shared" si="4"/>
        <v>1</v>
      </c>
      <c r="AC35" s="1576">
        <f t="shared" si="5"/>
        <v>1</v>
      </c>
    </row>
    <row r="36" spans="1:29" ht="15">
      <c r="A36" s="594"/>
      <c r="B36" s="527" t="s">
        <v>763</v>
      </c>
      <c r="C36" s="3214" t="s">
        <v>3059</v>
      </c>
      <c r="D36" s="540">
        <v>100</v>
      </c>
      <c r="E36" s="3214" t="s">
        <v>3059</v>
      </c>
      <c r="F36" s="575">
        <f>SUMIF(108:108,E36,109:109)-SUMIF(108:108,C36,109:109)+100</f>
        <v>100</v>
      </c>
      <c r="G36" s="3214" t="s">
        <v>3059</v>
      </c>
      <c r="H36" s="540">
        <f>SUMIF(108:108,G36,109:109)-SUMIF(108:108,C36,109:109)+100</f>
        <v>100</v>
      </c>
      <c r="I36" s="3214" t="s">
        <v>3059</v>
      </c>
      <c r="J36" s="540">
        <f>SUMIF(108:108,I36,109:109)-SUMIF(108:108,C36,109:109)+100</f>
        <v>100</v>
      </c>
      <c r="K36" s="584"/>
      <c r="L36" s="2142"/>
      <c r="M36" s="2134"/>
      <c r="N36" s="2134"/>
      <c r="O36" s="2134"/>
      <c r="P36" s="3481"/>
      <c r="Q36" s="1572" t="str">
        <f t="shared" si="11"/>
        <v>公共部分装修</v>
      </c>
      <c r="R36" s="1573" t="s">
        <v>8</v>
      </c>
      <c r="S36" s="1574">
        <f t="shared" si="12"/>
        <v>100</v>
      </c>
      <c r="T36" s="1573" t="s">
        <v>8</v>
      </c>
      <c r="U36" s="1574">
        <f t="shared" si="13"/>
        <v>100</v>
      </c>
      <c r="V36" s="1573" t="s">
        <v>8</v>
      </c>
      <c r="W36" s="1574">
        <f t="shared" si="14"/>
        <v>100</v>
      </c>
      <c r="X36" s="1567"/>
      <c r="Y36" s="3481"/>
      <c r="Z36" s="1575" t="str">
        <f t="shared" si="15"/>
        <v>公共部分装修</v>
      </c>
      <c r="AA36" s="1576">
        <f t="shared" si="3"/>
        <v>1</v>
      </c>
      <c r="AB36" s="1576">
        <f t="shared" si="4"/>
        <v>1</v>
      </c>
      <c r="AC36" s="1576">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2"/>
      <c r="M37" s="2134"/>
      <c r="N37" s="2134"/>
      <c r="O37" s="2134"/>
      <c r="P37" s="3481"/>
      <c r="Q37" s="1572" t="str">
        <f t="shared" si="11"/>
        <v>成新度</v>
      </c>
      <c r="R37" s="1573" t="s">
        <v>8</v>
      </c>
      <c r="S37" s="1574">
        <f t="shared" si="12"/>
        <v>100</v>
      </c>
      <c r="T37" s="1573" t="s">
        <v>8</v>
      </c>
      <c r="U37" s="1574">
        <f t="shared" si="13"/>
        <v>100</v>
      </c>
      <c r="V37" s="1573" t="s">
        <v>8</v>
      </c>
      <c r="W37" s="1574">
        <f t="shared" si="14"/>
        <v>100</v>
      </c>
      <c r="X37" s="1567"/>
      <c r="Y37" s="3481"/>
      <c r="Z37" s="1575" t="str">
        <f t="shared" si="15"/>
        <v>成新度</v>
      </c>
      <c r="AA37" s="1576">
        <f t="shared" si="3"/>
        <v>1</v>
      </c>
      <c r="AB37" s="1576">
        <f t="shared" si="4"/>
        <v>1</v>
      </c>
      <c r="AC37" s="1576">
        <f t="shared" si="5"/>
        <v>1</v>
      </c>
    </row>
    <row r="38" spans="1:29" s="1219"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1"/>
      <c r="Q38" s="1151" t="str">
        <f t="shared" si="11"/>
        <v>写字楼等级</v>
      </c>
      <c r="R38" s="1568" t="s">
        <v>8</v>
      </c>
      <c r="S38" s="1569">
        <f t="shared" si="12"/>
        <v>100</v>
      </c>
      <c r="T38" s="1568" t="s">
        <v>8</v>
      </c>
      <c r="U38" s="1569">
        <f t="shared" si="13"/>
        <v>100</v>
      </c>
      <c r="V38" s="1568" t="s">
        <v>8</v>
      </c>
      <c r="W38" s="1569">
        <f t="shared" si="14"/>
        <v>100</v>
      </c>
      <c r="X38" s="1570"/>
      <c r="Y38" s="3481"/>
      <c r="Z38" s="1150" t="str">
        <f t="shared" si="15"/>
        <v>写字楼等级</v>
      </c>
      <c r="AA38" s="1571">
        <f t="shared" si="3"/>
        <v>1</v>
      </c>
      <c r="AB38" s="1571">
        <f t="shared" si="4"/>
        <v>1</v>
      </c>
      <c r="AC38" s="1571">
        <f t="shared" si="5"/>
        <v>1</v>
      </c>
    </row>
    <row r="39" spans="1:29" ht="15">
      <c r="A39" s="594"/>
      <c r="B39" s="527" t="s">
        <v>782</v>
      </c>
      <c r="C39" s="3214" t="s">
        <v>3060</v>
      </c>
      <c r="D39" s="540">
        <v>100</v>
      </c>
      <c r="E39" s="3214" t="s">
        <v>3060</v>
      </c>
      <c r="F39" s="575">
        <f>SUMIF(115:115,E39,116:116)-SUMIF(115:115,C39,116:116)+100</f>
        <v>100</v>
      </c>
      <c r="G39" s="3214" t="s">
        <v>3060</v>
      </c>
      <c r="H39" s="540">
        <f>SUMIF(115:115,G39,116:116)-SUMIF(115:115,C39,116:116)+100</f>
        <v>100</v>
      </c>
      <c r="I39" s="3214" t="s">
        <v>3060</v>
      </c>
      <c r="J39" s="540">
        <f>SUMIF(115:115,I39,116:116)-SUMIF(115:115,C39,116:116)+100</f>
        <v>100</v>
      </c>
      <c r="K39" s="584"/>
      <c r="L39" s="2142"/>
      <c r="M39" s="2134"/>
      <c r="N39" s="2134"/>
      <c r="O39" s="2134"/>
      <c r="P39" s="3481" t="s">
        <v>550</v>
      </c>
      <c r="Q39" s="1572" t="str">
        <f t="shared" si="11"/>
        <v>物业管理</v>
      </c>
      <c r="R39" s="1573" t="s">
        <v>8</v>
      </c>
      <c r="S39" s="1574">
        <f t="shared" si="12"/>
        <v>100</v>
      </c>
      <c r="T39" s="1573" t="s">
        <v>8</v>
      </c>
      <c r="U39" s="1574">
        <f t="shared" si="13"/>
        <v>100</v>
      </c>
      <c r="V39" s="1573" t="s">
        <v>8</v>
      </c>
      <c r="W39" s="1574">
        <f t="shared" si="14"/>
        <v>100</v>
      </c>
      <c r="X39" s="1567"/>
      <c r="Y39" s="3481" t="s">
        <v>550</v>
      </c>
      <c r="Z39" s="1575" t="str">
        <f t="shared" si="15"/>
        <v>物业管理</v>
      </c>
      <c r="AA39" s="1576">
        <f t="shared" si="3"/>
        <v>1</v>
      </c>
      <c r="AB39" s="1576">
        <f t="shared" si="4"/>
        <v>1</v>
      </c>
      <c r="AC39" s="1576">
        <f t="shared" si="5"/>
        <v>1</v>
      </c>
    </row>
    <row r="40" spans="1:29" ht="15">
      <c r="A40" s="594"/>
      <c r="B40" s="1895" t="s">
        <v>2566</v>
      </c>
      <c r="C40" s="574" t="s">
        <v>3148</v>
      </c>
      <c r="D40" s="540">
        <v>100</v>
      </c>
      <c r="E40" s="574" t="s">
        <v>3148</v>
      </c>
      <c r="F40" s="575">
        <f>SUMIF(117:117,E40,118:118)-SUMIF(117:117,C40,118:118)+100</f>
        <v>100</v>
      </c>
      <c r="G40" s="574" t="s">
        <v>3148</v>
      </c>
      <c r="H40" s="540">
        <f>SUMIF(117:117,G40,118:118)-SUMIF(117:117,C40,118:118)+100</f>
        <v>100</v>
      </c>
      <c r="I40" s="574" t="s">
        <v>3148</v>
      </c>
      <c r="J40" s="540">
        <f>SUMIF(117:117,I40,118:118)-SUMIF(117:117,C40,118:118)+100</f>
        <v>100</v>
      </c>
      <c r="K40" s="584"/>
      <c r="L40" s="2142"/>
      <c r="M40" s="2134"/>
      <c r="N40" s="2134"/>
      <c r="O40" s="2134"/>
      <c r="P40" s="3481"/>
      <c r="Q40" s="1572" t="str">
        <f t="shared" si="11"/>
        <v>市政基础设施</v>
      </c>
      <c r="R40" s="1573" t="s">
        <v>8</v>
      </c>
      <c r="S40" s="1574">
        <f t="shared" si="12"/>
        <v>100</v>
      </c>
      <c r="T40" s="1573" t="s">
        <v>8</v>
      </c>
      <c r="U40" s="1574">
        <f t="shared" si="13"/>
        <v>100</v>
      </c>
      <c r="V40" s="1573" t="s">
        <v>8</v>
      </c>
      <c r="W40" s="1574">
        <f t="shared" si="14"/>
        <v>100</v>
      </c>
      <c r="X40" s="1567"/>
      <c r="Y40" s="3481"/>
      <c r="Z40" s="1575" t="str">
        <f t="shared" si="15"/>
        <v>市政基础设施</v>
      </c>
      <c r="AA40" s="1576">
        <f t="shared" si="3"/>
        <v>1</v>
      </c>
      <c r="AB40" s="1576">
        <f t="shared" si="4"/>
        <v>1</v>
      </c>
      <c r="AC40" s="1576">
        <f t="shared" si="5"/>
        <v>1</v>
      </c>
    </row>
    <row r="41" spans="1:29" ht="15">
      <c r="A41" s="594"/>
      <c r="B41" s="527" t="s">
        <v>767</v>
      </c>
      <c r="C41" s="3215" t="s">
        <v>3066</v>
      </c>
      <c r="D41" s="540">
        <v>100</v>
      </c>
      <c r="E41" s="3215" t="s">
        <v>3066</v>
      </c>
      <c r="F41" s="575">
        <f>SUMIF(119:119,E41,120:120)-SUMIF(119:119,C41,120:120)+100</f>
        <v>100</v>
      </c>
      <c r="G41" s="3215" t="s">
        <v>3066</v>
      </c>
      <c r="H41" s="540">
        <f>SUMIF(119:119,G41,120:120)-SUMIF(119:119,C41,120:120)+100</f>
        <v>100</v>
      </c>
      <c r="I41" s="3215" t="s">
        <v>3066</v>
      </c>
      <c r="J41" s="540">
        <f>SUMIF(119:119,I41,120:120)-SUMIF(119:119,C41,120:120)+100</f>
        <v>100</v>
      </c>
      <c r="K41" s="584"/>
      <c r="L41" s="2142"/>
      <c r="M41" s="2134"/>
      <c r="N41" s="2134"/>
      <c r="O41" s="2134"/>
      <c r="P41" s="3481"/>
      <c r="Q41" s="1572" t="str">
        <f t="shared" si="11"/>
        <v>层高</v>
      </c>
      <c r="R41" s="1573" t="s">
        <v>8</v>
      </c>
      <c r="S41" s="1574">
        <f t="shared" si="12"/>
        <v>100</v>
      </c>
      <c r="T41" s="1573" t="s">
        <v>8</v>
      </c>
      <c r="U41" s="1574">
        <f t="shared" si="13"/>
        <v>100</v>
      </c>
      <c r="V41" s="1573" t="s">
        <v>8</v>
      </c>
      <c r="W41" s="1574">
        <f t="shared" si="14"/>
        <v>100</v>
      </c>
      <c r="X41" s="1567"/>
      <c r="Y41" s="3481"/>
      <c r="Z41" s="1575" t="str">
        <f t="shared" si="15"/>
        <v>层高</v>
      </c>
      <c r="AA41" s="1576">
        <f t="shared" si="3"/>
        <v>1</v>
      </c>
      <c r="AB41" s="1576">
        <f t="shared" si="4"/>
        <v>1</v>
      </c>
      <c r="AC41" s="1576">
        <f t="shared" si="5"/>
        <v>1</v>
      </c>
    </row>
    <row r="42" spans="1:29" s="1338"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1"/>
      <c r="Q42" s="1605" t="str">
        <f t="shared" si="11"/>
        <v>单套建筑面积</v>
      </c>
      <c r="R42" s="1577" t="s">
        <v>8</v>
      </c>
      <c r="S42" s="1578">
        <f t="shared" si="12"/>
        <v>100</v>
      </c>
      <c r="T42" s="1577" t="s">
        <v>8</v>
      </c>
      <c r="U42" s="1578">
        <f t="shared" si="13"/>
        <v>100</v>
      </c>
      <c r="V42" s="1577" t="s">
        <v>8</v>
      </c>
      <c r="W42" s="1578">
        <f t="shared" si="14"/>
        <v>100</v>
      </c>
      <c r="X42" s="1579"/>
      <c r="Y42" s="3481"/>
      <c r="Z42" s="1580" t="str">
        <f t="shared" si="15"/>
        <v>单套建筑面积</v>
      </c>
      <c r="AA42" s="1576">
        <f t="shared" si="3"/>
        <v>1</v>
      </c>
      <c r="AB42" s="1576">
        <f t="shared" si="4"/>
        <v>1</v>
      </c>
      <c r="AC42" s="1576">
        <f t="shared" si="5"/>
        <v>1</v>
      </c>
    </row>
    <row r="43" spans="1:29" ht="15">
      <c r="A43" s="594"/>
      <c r="B43" s="527" t="s">
        <v>770</v>
      </c>
      <c r="C43" s="574" t="s">
        <v>3035</v>
      </c>
      <c r="D43" s="540">
        <v>100</v>
      </c>
      <c r="E43" s="574" t="s">
        <v>3035</v>
      </c>
      <c r="F43" s="575">
        <f>SUMIF(123:123,E43,124:124)-SUMIF(123:123,C43,124:124)+100</f>
        <v>100</v>
      </c>
      <c r="G43" s="574" t="s">
        <v>3035</v>
      </c>
      <c r="H43" s="540">
        <f>SUMIF(123:123,G43,124:124)-SUMIF(123:123,C43,124:124)+100</f>
        <v>100</v>
      </c>
      <c r="I43" s="574" t="s">
        <v>3035</v>
      </c>
      <c r="J43" s="540">
        <f>SUMIF(123:123,I43,124:124)-SUMIF(123:123,C43,124:124)+100</f>
        <v>100</v>
      </c>
      <c r="K43" s="584"/>
      <c r="L43" s="2142"/>
      <c r="M43" s="2134"/>
      <c r="N43" s="2134"/>
      <c r="O43" s="2134"/>
      <c r="P43" s="3481"/>
      <c r="Q43" s="1572" t="str">
        <f t="shared" si="11"/>
        <v>内部装修</v>
      </c>
      <c r="R43" s="1573" t="s">
        <v>8</v>
      </c>
      <c r="S43" s="1574">
        <f t="shared" si="12"/>
        <v>100</v>
      </c>
      <c r="T43" s="1573" t="s">
        <v>8</v>
      </c>
      <c r="U43" s="1574">
        <f t="shared" si="13"/>
        <v>100</v>
      </c>
      <c r="V43" s="1573" t="s">
        <v>8</v>
      </c>
      <c r="W43" s="1574">
        <f t="shared" si="14"/>
        <v>100</v>
      </c>
      <c r="X43" s="1567"/>
      <c r="Y43" s="3481"/>
      <c r="Z43" s="1575" t="str">
        <f t="shared" si="15"/>
        <v>内部装修</v>
      </c>
      <c r="AA43" s="1576">
        <f t="shared" si="3"/>
        <v>1</v>
      </c>
      <c r="AB43" s="1576">
        <f t="shared" si="4"/>
        <v>1</v>
      </c>
      <c r="AC43" s="1576">
        <f t="shared" si="5"/>
        <v>1</v>
      </c>
    </row>
    <row r="44" spans="1:29" ht="27">
      <c r="A44" s="594"/>
      <c r="B44" s="527" t="s">
        <v>735</v>
      </c>
      <c r="C44" s="574" t="s">
        <v>3025</v>
      </c>
      <c r="D44" s="540">
        <v>100</v>
      </c>
      <c r="E44" s="574" t="s">
        <v>3025</v>
      </c>
      <c r="F44" s="575">
        <f>SUMIF(125:125,#REF!,126:126)-SUMIF(125:125,E44,126:126)+100</f>
        <v>100</v>
      </c>
      <c r="G44" s="574" t="s">
        <v>3025</v>
      </c>
      <c r="H44" s="540">
        <f>SUMIF(125:125,G44,126:126)-SUMIF(125:125,E44,126:126)+100</f>
        <v>100</v>
      </c>
      <c r="I44" s="574" t="s">
        <v>3025</v>
      </c>
      <c r="J44" s="540">
        <f>SUMIF(125:125,I44,126:126)-SUMIF(125:125,E44,126:126)+100</f>
        <v>100</v>
      </c>
      <c r="K44" s="584">
        <v>100</v>
      </c>
      <c r="L44" s="2142"/>
      <c r="M44" s="2134"/>
      <c r="N44" s="2134"/>
      <c r="O44" s="2134"/>
      <c r="P44" s="3481"/>
      <c r="Q44" s="1572" t="str">
        <f t="shared" si="11"/>
        <v>内部装修维护情况</v>
      </c>
      <c r="R44" s="1573" t="s">
        <v>8</v>
      </c>
      <c r="S44" s="1574">
        <f t="shared" si="12"/>
        <v>100</v>
      </c>
      <c r="T44" s="1573" t="s">
        <v>8</v>
      </c>
      <c r="U44" s="1574">
        <f t="shared" si="13"/>
        <v>100</v>
      </c>
      <c r="V44" s="1573" t="s">
        <v>8</v>
      </c>
      <c r="W44" s="1574">
        <f t="shared" si="14"/>
        <v>100</v>
      </c>
      <c r="X44" s="1567"/>
      <c r="Y44" s="3481"/>
      <c r="Z44" s="1575" t="str">
        <f t="shared" si="15"/>
        <v>内部装修维护情况</v>
      </c>
      <c r="AA44" s="1576">
        <f t="shared" si="3"/>
        <v>1</v>
      </c>
      <c r="AB44" s="1576">
        <f t="shared" si="4"/>
        <v>1</v>
      </c>
      <c r="AC44" s="1576">
        <f t="shared" si="5"/>
        <v>1</v>
      </c>
    </row>
    <row r="45" spans="1:29" s="1219" customFormat="1" ht="15">
      <c r="A45" s="600"/>
      <c r="B45" s="3216" t="s">
        <v>3071</v>
      </c>
      <c r="C45" s="880" t="s">
        <v>3072</v>
      </c>
      <c r="D45" s="255">
        <v>100</v>
      </c>
      <c r="E45" s="3218" t="s">
        <v>3073</v>
      </c>
      <c r="F45" s="863">
        <f>SUMIF(127:127,E45,128:128)-SUMIF(127:127,C45,128:128)+100</f>
        <v>101</v>
      </c>
      <c r="G45" s="3218" t="s">
        <v>3073</v>
      </c>
      <c r="H45" s="255">
        <f>SUMIF(127:127,G45,128:128)-SUMIF(127:127,C45,128:128)+100</f>
        <v>101</v>
      </c>
      <c r="I45" s="3218" t="s">
        <v>3073</v>
      </c>
      <c r="J45" s="255">
        <f>SUMIF(127:127,I45,128:128)-SUMIF(127:127,C45,128:128)+100</f>
        <v>101</v>
      </c>
      <c r="K45" s="581"/>
      <c r="L45" s="2135"/>
      <c r="M45" s="2136"/>
      <c r="N45" s="2136"/>
      <c r="O45" s="2136"/>
      <c r="P45" s="3481"/>
      <c r="Q45" s="1151" t="str">
        <f t="shared" si="11"/>
        <v>建成年代</v>
      </c>
      <c r="R45" s="1568" t="s">
        <v>8</v>
      </c>
      <c r="S45" s="1569">
        <f t="shared" si="12"/>
        <v>101</v>
      </c>
      <c r="T45" s="1568" t="s">
        <v>8</v>
      </c>
      <c r="U45" s="1569">
        <f t="shared" si="13"/>
        <v>101</v>
      </c>
      <c r="V45" s="1568" t="s">
        <v>8</v>
      </c>
      <c r="W45" s="1569">
        <f t="shared" si="14"/>
        <v>101</v>
      </c>
      <c r="X45" s="1570"/>
      <c r="Y45" s="3481"/>
      <c r="Z45" s="1150" t="str">
        <f t="shared" si="15"/>
        <v>建成年代</v>
      </c>
      <c r="AA45" s="1571">
        <f t="shared" si="3"/>
        <v>0.99009900990099009</v>
      </c>
      <c r="AB45" s="1571">
        <f t="shared" si="4"/>
        <v>0.99009900990099009</v>
      </c>
      <c r="AC45" s="1571">
        <f t="shared" si="5"/>
        <v>0.99009900990099009</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2"/>
      <c r="Q47" s="1572">
        <f t="shared" si="11"/>
        <v>111</v>
      </c>
      <c r="R47" s="1573" t="s">
        <v>8</v>
      </c>
      <c r="S47" s="1574">
        <f t="shared" si="12"/>
        <v>100</v>
      </c>
      <c r="T47" s="1573" t="s">
        <v>8</v>
      </c>
      <c r="U47" s="1574">
        <f t="shared" si="13"/>
        <v>100</v>
      </c>
      <c r="V47" s="1573" t="s">
        <v>8</v>
      </c>
      <c r="W47" s="1574">
        <f t="shared" si="14"/>
        <v>100</v>
      </c>
      <c r="X47" s="1567"/>
      <c r="Y47" s="3482"/>
      <c r="Z47" s="1575">
        <f t="shared" si="15"/>
        <v>111</v>
      </c>
      <c r="AA47" s="1576">
        <f t="shared" si="3"/>
        <v>1</v>
      </c>
      <c r="AB47" s="1576">
        <f t="shared" si="4"/>
        <v>1</v>
      </c>
      <c r="AC47" s="1576">
        <f t="shared" si="5"/>
        <v>1</v>
      </c>
    </row>
    <row r="48" spans="1:29" ht="15">
      <c r="A48" s="607" t="s">
        <v>736</v>
      </c>
      <c r="B48" s="887"/>
      <c r="C48" s="2606" t="s">
        <v>1</v>
      </c>
      <c r="D48" s="2607"/>
      <c r="E48" s="2608">
        <v>10</v>
      </c>
      <c r="F48" s="2609"/>
      <c r="G48" s="2610">
        <v>8.5</v>
      </c>
      <c r="H48" s="2611"/>
      <c r="I48" s="2608">
        <v>9</v>
      </c>
      <c r="J48" s="2611"/>
      <c r="K48" s="1611"/>
      <c r="L48" s="2144"/>
      <c r="M48" s="2134"/>
      <c r="N48" s="2134"/>
      <c r="O48" s="2134"/>
      <c r="P48" s="3476" t="str">
        <f>A48</f>
        <v>成交单价（元/平方米）</v>
      </c>
      <c r="Q48" s="3473"/>
      <c r="R48" s="3474">
        <f>E48</f>
        <v>10</v>
      </c>
      <c r="S48" s="3474"/>
      <c r="T48" s="3474">
        <f>G48</f>
        <v>8.5</v>
      </c>
      <c r="U48" s="3474"/>
      <c r="V48" s="3474">
        <f>I48</f>
        <v>9</v>
      </c>
      <c r="W48" s="3474"/>
      <c r="X48" s="1559"/>
      <c r="Y48" s="1581"/>
      <c r="Z48" s="1559"/>
      <c r="AA48" s="1559"/>
      <c r="AB48" s="1559"/>
      <c r="AC48" s="1559"/>
    </row>
    <row r="49" spans="1:29" ht="15.75" thickBot="1">
      <c r="A49" s="615" t="s">
        <v>2761</v>
      </c>
      <c r="B49" s="888"/>
      <c r="C49" s="2612">
        <f>R50</f>
        <v>9</v>
      </c>
      <c r="D49" s="2613"/>
      <c r="E49" s="2614">
        <f>R49</f>
        <v>9.9</v>
      </c>
      <c r="F49" s="2614"/>
      <c r="G49" s="2612">
        <f>T49</f>
        <v>8.3000000000000007</v>
      </c>
      <c r="H49" s="2613"/>
      <c r="I49" s="2614">
        <f>V49</f>
        <v>8.8000000000000007</v>
      </c>
      <c r="J49" s="2613"/>
      <c r="K49" s="1612"/>
      <c r="L49" s="2144"/>
      <c r="M49" s="2134"/>
      <c r="N49" s="2134"/>
      <c r="O49" s="2134"/>
      <c r="P49" s="3476" t="str">
        <f>A49</f>
        <v>比较价格（元/平方米）</v>
      </c>
      <c r="Q49" s="3473"/>
      <c r="R49" s="3474">
        <f>IF(F1="售价",ROUND(PRODUCT(R48,AA7:AA47),0),ROUND(PRODUCT(R48,AA7:AA47),1))</f>
        <v>9.9</v>
      </c>
      <c r="S49" s="3474"/>
      <c r="T49" s="3474">
        <f>IF(F1="售价",ROUND(PRODUCT(T48,AB7:AB47),0),ROUND(PRODUCT(T48,AB7:AB47),1))</f>
        <v>8.3000000000000007</v>
      </c>
      <c r="U49" s="3474"/>
      <c r="V49" s="3474">
        <f>IF(F1="售价",ROUND(PRODUCT(V48,AC7:AC47),0),ROUND(PRODUCT(V48,AC7:AC47),1))</f>
        <v>8.8000000000000007</v>
      </c>
      <c r="W49" s="3474"/>
      <c r="X49" s="1559"/>
      <c r="Y49" s="1559"/>
      <c r="Z49" s="1559"/>
      <c r="AA49" s="1559"/>
      <c r="AB49" s="1559"/>
      <c r="AC49" s="1559"/>
    </row>
    <row r="50" spans="1:29" ht="15.75" thickBot="1">
      <c r="A50" s="621" t="s">
        <v>2932</v>
      </c>
      <c r="B50" s="622"/>
      <c r="C50" s="2615">
        <f>R50</f>
        <v>9</v>
      </c>
      <c r="D50" s="2615"/>
      <c r="E50" s="2615"/>
      <c r="F50" s="2615"/>
      <c r="G50" s="2615"/>
      <c r="H50" s="2615"/>
      <c r="I50" s="2615"/>
      <c r="J50" s="2615"/>
      <c r="K50" s="1613"/>
      <c r="L50" s="2144"/>
      <c r="M50" s="2134"/>
      <c r="N50" s="2134"/>
      <c r="O50" s="2134"/>
      <c r="P50" s="3559" t="str">
        <f>A50</f>
        <v>估价对象XX用房的比较价格（楼面单价，元/平方米）</v>
      </c>
      <c r="Q50" s="3476"/>
      <c r="R50" s="3477">
        <f>IF(F1="售价",ROUND(AVERAGE(R49:V49),0),ROUND(AVERAGE(R49:V49),1))</f>
        <v>9</v>
      </c>
      <c r="S50" s="3477"/>
      <c r="T50" s="3477"/>
      <c r="U50" s="3477"/>
      <c r="V50" s="3477"/>
      <c r="W50" s="347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1.0101010101010166E-2</v>
      </c>
      <c r="F53" s="627" t="str">
        <f>IF(OR(E53&gt;=0.3,E53&lt;=-0.3),"超过30%","")</f>
        <v/>
      </c>
      <c r="G53" s="626">
        <f>IF(G48&lt;G49,G49/G48-1,G48/G49-1)</f>
        <v>2.409638554216853E-2</v>
      </c>
      <c r="H53" s="627" t="str">
        <f>IF(OR(G53&gt;=0.3,G53&lt;=-0.3),"超过30%","")</f>
        <v/>
      </c>
      <c r="I53" s="626">
        <f>IF(I48&lt;I49,I49/I48-1,I48/I49-1)</f>
        <v>2.2727272727272707E-2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0.19277108433734935</v>
      </c>
      <c r="F54" s="627" t="str">
        <f>IF(OR(E54&gt;=0.2,E54&lt;=-0.2),"超过20%","")</f>
        <v/>
      </c>
      <c r="G54" s="626">
        <f>IF(G49&lt;I49,I49/G49-1,G49/I49-1)</f>
        <v>6.024096385542177E-2</v>
      </c>
      <c r="H54" s="627" t="str">
        <f>IF(OR(G54&gt;=0.2,G54&lt;=-0.2),"超过20%","")</f>
        <v/>
      </c>
      <c r="I54" s="626">
        <f>IF(I49&lt;E49,E49/I49-1,I49/E49-1)</f>
        <v>0.125</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0.17647058823529416</v>
      </c>
      <c r="F55" s="627" t="str">
        <f>IF(OR(E55&gt;=0.3,E55&lt;=-0.3),"超过30%","")</f>
        <v/>
      </c>
      <c r="G55" s="626">
        <f>IF(G48&lt;I48,I48/G48-1,G48/I48-1)</f>
        <v>5.8823529411764719E-2</v>
      </c>
      <c r="H55" s="627" t="str">
        <f>IF(OR(G55&gt;=0.3,G55&lt;=-0.3),"超过30%","")</f>
        <v/>
      </c>
      <c r="I55" s="626">
        <f>IF(I48&lt;E48,E48/I48-1,I48/E48-1)</f>
        <v>0.11111111111111116</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1" t="str">
        <f>YEAR(C7)&amp;"-"&amp;MONTH(C7)</f>
        <v>2018-10</v>
      </c>
      <c r="D59" s="2783">
        <f>EDATE(C59,-1)</f>
        <v>43344</v>
      </c>
      <c r="E59" s="2783">
        <f t="shared" ref="E59:O59" si="16">EDATE(D59,-1)</f>
        <v>43313</v>
      </c>
      <c r="F59" s="2783">
        <f t="shared" si="16"/>
        <v>43282</v>
      </c>
      <c r="G59" s="2783">
        <f t="shared" si="16"/>
        <v>43252</v>
      </c>
      <c r="H59" s="2783">
        <f t="shared" si="16"/>
        <v>43221</v>
      </c>
      <c r="I59" s="2783">
        <f t="shared" si="16"/>
        <v>43191</v>
      </c>
      <c r="J59" s="2783">
        <f t="shared" si="16"/>
        <v>43160</v>
      </c>
      <c r="K59" s="2783">
        <f t="shared" si="16"/>
        <v>43132</v>
      </c>
      <c r="L59" s="2783">
        <f t="shared" si="16"/>
        <v>43101</v>
      </c>
      <c r="M59" s="2783">
        <f t="shared" si="16"/>
        <v>43070</v>
      </c>
      <c r="N59" s="2783">
        <f t="shared" si="16"/>
        <v>43040</v>
      </c>
      <c r="O59" s="2783">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t="str">
        <f>C9</f>
        <v>办公</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99.5</v>
      </c>
      <c r="G67" s="679">
        <f>F67-$K10</f>
        <v>99</v>
      </c>
      <c r="H67" s="679">
        <f>G67-$K10</f>
        <v>98.5</v>
      </c>
      <c r="I67" s="679">
        <f>H67-$K10</f>
        <v>98</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v>1</v>
      </c>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3204" t="s">
        <v>3049</v>
      </c>
      <c r="D87" s="3204" t="s">
        <v>3050</v>
      </c>
      <c r="E87" s="3204" t="s">
        <v>3052</v>
      </c>
      <c r="F87" s="3204" t="s">
        <v>3053</v>
      </c>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99.5</v>
      </c>
      <c r="E88" s="679">
        <f t="shared" si="19"/>
        <v>99</v>
      </c>
      <c r="F88" s="679">
        <f t="shared" si="19"/>
        <v>98.5</v>
      </c>
      <c r="G88" s="679">
        <f t="shared" si="19"/>
        <v>98</v>
      </c>
      <c r="H88" s="679">
        <f t="shared" si="19"/>
        <v>97.5</v>
      </c>
      <c r="I88" s="679">
        <f t="shared" si="19"/>
        <v>97</v>
      </c>
      <c r="J88" s="679">
        <f t="shared" si="19"/>
        <v>96.5</v>
      </c>
      <c r="K88" s="679">
        <f t="shared" si="19"/>
        <v>96</v>
      </c>
      <c r="L88" s="679">
        <f t="shared" si="19"/>
        <v>95.5</v>
      </c>
      <c r="M88" s="679">
        <f t="shared" si="19"/>
        <v>95</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3204" t="s">
        <v>3131</v>
      </c>
      <c r="D89" s="3204" t="s">
        <v>3132</v>
      </c>
      <c r="E89" s="3204" t="s">
        <v>3133</v>
      </c>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99</v>
      </c>
      <c r="E90" s="679">
        <f t="shared" ref="E90:M90" si="20">D90-$K27</f>
        <v>98</v>
      </c>
      <c r="F90" s="679">
        <f t="shared" si="20"/>
        <v>97</v>
      </c>
      <c r="G90" s="679">
        <f t="shared" si="20"/>
        <v>96</v>
      </c>
      <c r="H90" s="679">
        <f t="shared" si="20"/>
        <v>95</v>
      </c>
      <c r="I90" s="679">
        <f t="shared" si="20"/>
        <v>94</v>
      </c>
      <c r="J90" s="679">
        <f t="shared" si="20"/>
        <v>93</v>
      </c>
      <c r="K90" s="679">
        <f t="shared" si="20"/>
        <v>92</v>
      </c>
      <c r="L90" s="679">
        <f t="shared" si="20"/>
        <v>91</v>
      </c>
      <c r="M90" s="679">
        <f t="shared" si="20"/>
        <v>90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3208" t="s">
        <v>3056</v>
      </c>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748</v>
      </c>
      <c r="C103" s="708" t="str">
        <f>C104&amp;"(含)"&amp;"-"&amp;D104</f>
        <v>1(含)-500</v>
      </c>
      <c r="D103" s="708" t="str">
        <f t="shared" ref="D103:L103" si="23">D104&amp;"(含)"&amp;"-"&amp;E104</f>
        <v>500(含)-320000</v>
      </c>
      <c r="E103" s="708" t="str">
        <f t="shared" si="23"/>
        <v>320000(含)-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v>1</v>
      </c>
      <c r="D104" s="730">
        <v>500</v>
      </c>
      <c r="E104" s="730">
        <v>320000</v>
      </c>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v>100</v>
      </c>
      <c r="D105" s="671">
        <v>99</v>
      </c>
      <c r="E105" s="671">
        <v>97</v>
      </c>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3204" t="s">
        <v>3058</v>
      </c>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3204" t="s">
        <v>3034</v>
      </c>
      <c r="D108" s="3204" t="s">
        <v>3036</v>
      </c>
      <c r="E108" s="3204" t="s">
        <v>3037</v>
      </c>
      <c r="F108" s="3206" t="s">
        <v>3038</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3204" t="s">
        <v>3061</v>
      </c>
      <c r="D117" s="3204" t="s">
        <v>3062</v>
      </c>
      <c r="E117" s="3204" t="s">
        <v>3063</v>
      </c>
      <c r="F117" s="3204" t="s">
        <v>3064</v>
      </c>
      <c r="G117" s="3204" t="s">
        <v>3065</v>
      </c>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3204" t="s">
        <v>3034</v>
      </c>
      <c r="D123" s="3204" t="s">
        <v>3036</v>
      </c>
      <c r="E123" s="3204" t="s">
        <v>3037</v>
      </c>
      <c r="F123" s="3206" t="s">
        <v>3038</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0</v>
      </c>
      <c r="E126" s="679">
        <f>D126-$K44</f>
        <v>-100</v>
      </c>
      <c r="F126" s="679">
        <f>E126-$K44</f>
        <v>-200</v>
      </c>
      <c r="G126" s="679">
        <f>F126-$K44</f>
        <v>-300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t="str">
        <f>B45</f>
        <v>建成年代</v>
      </c>
      <c r="C127" s="688" t="s">
        <v>3072</v>
      </c>
      <c r="D127" s="3204" t="s">
        <v>3074</v>
      </c>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v>100</v>
      </c>
      <c r="D128" s="671">
        <v>101</v>
      </c>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E44 G44 I44">
      <formula1>内部装修维护情况</formula1>
    </dataValidation>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D1">
      <formula1>项目类型</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4"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86" t="s">
        <v>522</v>
      </c>
      <c r="D4" s="3487"/>
      <c r="E4" s="3488" t="s">
        <v>523</v>
      </c>
      <c r="F4" s="3489"/>
      <c r="G4" s="3486" t="s">
        <v>524</v>
      </c>
      <c r="H4" s="3487"/>
      <c r="I4" s="3486" t="s">
        <v>525</v>
      </c>
      <c r="J4" s="3487"/>
      <c r="K4" s="514"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484" t="s">
        <v>524</v>
      </c>
      <c r="AC4" s="3483" t="s">
        <v>525</v>
      </c>
    </row>
    <row r="5" spans="1:29" ht="15">
      <c r="A5" s="515"/>
      <c r="B5" s="516"/>
      <c r="C5" s="3510" t="s">
        <v>2926</v>
      </c>
      <c r="D5" s="3506"/>
      <c r="E5" s="3524" t="s">
        <v>2927</v>
      </c>
      <c r="F5" s="3514"/>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507" t="s">
        <v>530</v>
      </c>
      <c r="Q7" s="3509"/>
      <c r="R7" s="1568" t="s">
        <v>8</v>
      </c>
      <c r="S7" s="1569">
        <f t="shared" ref="S7:S15" si="0">F7</f>
        <v>0</v>
      </c>
      <c r="T7" s="1568" t="s">
        <v>8</v>
      </c>
      <c r="U7" s="1569">
        <f t="shared" ref="U7:U15" si="1">H7</f>
        <v>0</v>
      </c>
      <c r="V7" s="1568" t="s">
        <v>8</v>
      </c>
      <c r="W7" s="1569">
        <f t="shared" ref="W7:W15"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40" si="3">D8/F8</f>
        <v>#DIV/0!</v>
      </c>
      <c r="AB8" s="1571" t="e">
        <f t="shared" ref="AB8:AB40" si="4">D8/H8</f>
        <v>#DIV/0!</v>
      </c>
      <c r="AC8" s="1571" t="e">
        <f t="shared" ref="AC8:AC40" si="5">D8/J8</f>
        <v>#DIV/0!</v>
      </c>
    </row>
    <row r="9" spans="1:29" s="1219"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73"/>
      <c r="Q11" s="1151" t="str">
        <f t="shared" si="6"/>
        <v>容积率</v>
      </c>
      <c r="R11" s="1568" t="s">
        <v>8</v>
      </c>
      <c r="S11" s="1569" t="e">
        <f t="shared" si="0"/>
        <v>#N/A</v>
      </c>
      <c r="T11" s="1568" t="s">
        <v>8</v>
      </c>
      <c r="U11" s="1569" t="e">
        <f t="shared" si="1"/>
        <v>#N/A</v>
      </c>
      <c r="V11" s="1568" t="s">
        <v>8</v>
      </c>
      <c r="W11" s="1569" t="e">
        <f t="shared" si="2"/>
        <v>#N/A</v>
      </c>
      <c r="X11" s="1570"/>
      <c r="Y11" s="3434"/>
      <c r="Z11" s="1150"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78" t="s">
        <v>540</v>
      </c>
      <c r="Q15" s="1572" t="str">
        <f t="shared" si="6"/>
        <v>产业集聚程度</v>
      </c>
      <c r="R15" s="1573" t="s">
        <v>8</v>
      </c>
      <c r="S15" s="1574">
        <f t="shared" si="0"/>
        <v>100</v>
      </c>
      <c r="T15" s="1573" t="s">
        <v>8</v>
      </c>
      <c r="U15" s="1574">
        <f t="shared" si="1"/>
        <v>100</v>
      </c>
      <c r="V15" s="1573" t="s">
        <v>8</v>
      </c>
      <c r="W15" s="1574">
        <f t="shared" si="2"/>
        <v>100</v>
      </c>
      <c r="X15" s="1567"/>
      <c r="Y15" s="347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79"/>
      <c r="Q16" s="1572"/>
      <c r="R16" s="1573"/>
      <c r="S16" s="1574"/>
      <c r="T16" s="1573"/>
      <c r="U16" s="1574"/>
      <c r="V16" s="1573"/>
      <c r="W16" s="1574"/>
      <c r="X16" s="1567"/>
      <c r="Y16" s="347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79"/>
      <c r="Q20" s="1572"/>
      <c r="R20" s="1573"/>
      <c r="S20" s="1574"/>
      <c r="T20" s="1573"/>
      <c r="U20" s="1574"/>
      <c r="V20" s="1573"/>
      <c r="W20" s="1574"/>
      <c r="X20" s="1567"/>
      <c r="Y20" s="3479"/>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79"/>
      <c r="Q22" s="2558"/>
      <c r="R22" s="1573"/>
      <c r="S22" s="1574"/>
      <c r="T22" s="1573"/>
      <c r="U22" s="1574"/>
      <c r="V22" s="1573"/>
      <c r="W22" s="1574"/>
      <c r="X22" s="2560"/>
      <c r="Y22" s="3479"/>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79"/>
      <c r="Q23" s="1572" t="str">
        <f>B23</f>
        <v>环境质量</v>
      </c>
      <c r="R23" s="1573" t="s">
        <v>8</v>
      </c>
      <c r="S23" s="1574">
        <f>F23</f>
        <v>100</v>
      </c>
      <c r="T23" s="1573" t="s">
        <v>8</v>
      </c>
      <c r="U23" s="1574">
        <f>H23</f>
        <v>100</v>
      </c>
      <c r="V23" s="1573" t="s">
        <v>8</v>
      </c>
      <c r="W23" s="1574">
        <f>J23</f>
        <v>100</v>
      </c>
      <c r="X23" s="1567"/>
      <c r="Y23" s="347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79"/>
      <c r="Q25" s="1572">
        <f>B25</f>
        <v>111</v>
      </c>
      <c r="R25" s="1573" t="s">
        <v>8</v>
      </c>
      <c r="S25" s="1574">
        <f>F25</f>
        <v>100</v>
      </c>
      <c r="T25" s="1573" t="s">
        <v>8</v>
      </c>
      <c r="U25" s="1574">
        <f>H25</f>
        <v>100</v>
      </c>
      <c r="V25" s="1573" t="s">
        <v>8</v>
      </c>
      <c r="W25" s="1574">
        <f>J25</f>
        <v>100</v>
      </c>
      <c r="X25" s="1567"/>
      <c r="Y25" s="347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79"/>
      <c r="Q26" s="1572">
        <f t="shared" ref="Q26:Q40" si="11">B26</f>
        <v>111</v>
      </c>
      <c r="R26" s="1573" t="s">
        <v>8</v>
      </c>
      <c r="S26" s="1574">
        <f>F26</f>
        <v>100</v>
      </c>
      <c r="T26" s="1573" t="s">
        <v>8</v>
      </c>
      <c r="U26" s="1574">
        <f>H26</f>
        <v>100</v>
      </c>
      <c r="V26" s="1573" t="s">
        <v>8</v>
      </c>
      <c r="W26" s="1574">
        <f>J26</f>
        <v>100</v>
      </c>
      <c r="X26" s="1567"/>
      <c r="Y26" s="347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79"/>
      <c r="Q27" s="1151">
        <f t="shared" si="11"/>
        <v>111</v>
      </c>
      <c r="R27" s="1568" t="s">
        <v>8</v>
      </c>
      <c r="S27" s="1569">
        <f>F27</f>
        <v>100</v>
      </c>
      <c r="T27" s="1568" t="s">
        <v>8</v>
      </c>
      <c r="U27" s="1569">
        <f>H27</f>
        <v>100</v>
      </c>
      <c r="V27" s="1568" t="s">
        <v>8</v>
      </c>
      <c r="W27" s="1569">
        <f>J27</f>
        <v>100</v>
      </c>
      <c r="X27" s="1570"/>
      <c r="Y27" s="347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79"/>
      <c r="Q28" s="1572">
        <f t="shared" si="11"/>
        <v>111</v>
      </c>
      <c r="R28" s="1573" t="s">
        <v>8</v>
      </c>
      <c r="S28" s="1574">
        <f t="shared" ref="S28:S40" si="12">F28</f>
        <v>100</v>
      </c>
      <c r="T28" s="1573" t="s">
        <v>8</v>
      </c>
      <c r="U28" s="1574">
        <f t="shared" ref="U28:U40" si="13">H28</f>
        <v>100</v>
      </c>
      <c r="V28" s="1573" t="s">
        <v>8</v>
      </c>
      <c r="W28" s="1574">
        <f t="shared" ref="W28:W40" si="14">J28</f>
        <v>100</v>
      </c>
      <c r="X28" s="1567"/>
      <c r="Y28" s="3479"/>
      <c r="Z28" s="1575">
        <f t="shared" ref="Z28:Z40" si="15">Q28</f>
        <v>111</v>
      </c>
      <c r="AA28" s="1576">
        <f t="shared" si="3"/>
        <v>1</v>
      </c>
      <c r="AB28" s="1576">
        <f t="shared" si="4"/>
        <v>1</v>
      </c>
      <c r="AC28" s="1576">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0" t="s">
        <v>550</v>
      </c>
      <c r="Q29" s="1572" t="str">
        <f t="shared" si="11"/>
        <v>建筑类型</v>
      </c>
      <c r="R29" s="1573" t="s">
        <v>8</v>
      </c>
      <c r="S29" s="1574">
        <f t="shared" si="12"/>
        <v>100</v>
      </c>
      <c r="T29" s="1573" t="s">
        <v>8</v>
      </c>
      <c r="U29" s="1574">
        <f t="shared" si="13"/>
        <v>100</v>
      </c>
      <c r="V29" s="1573" t="s">
        <v>8</v>
      </c>
      <c r="W29" s="1574">
        <f t="shared" si="14"/>
        <v>100</v>
      </c>
      <c r="X29" s="1567"/>
      <c r="Y29" s="3481"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1"/>
      <c r="Q30" s="1605" t="str">
        <f t="shared" si="11"/>
        <v>项目建筑规模</v>
      </c>
      <c r="R30" s="1577" t="s">
        <v>8</v>
      </c>
      <c r="S30" s="1578" t="e">
        <f t="shared" si="12"/>
        <v>#N/A</v>
      </c>
      <c r="T30" s="1577" t="s">
        <v>8</v>
      </c>
      <c r="U30" s="1578" t="e">
        <f t="shared" si="13"/>
        <v>#N/A</v>
      </c>
      <c r="V30" s="1577" t="s">
        <v>8</v>
      </c>
      <c r="W30" s="1578" t="e">
        <f t="shared" si="14"/>
        <v>#N/A</v>
      </c>
      <c r="X30" s="1579"/>
      <c r="Y30" s="348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1"/>
      <c r="Q31" s="1572" t="str">
        <f t="shared" si="11"/>
        <v>建筑结构</v>
      </c>
      <c r="R31" s="1573" t="s">
        <v>8</v>
      </c>
      <c r="S31" s="1574">
        <f t="shared" si="12"/>
        <v>100</v>
      </c>
      <c r="T31" s="1573" t="s">
        <v>8</v>
      </c>
      <c r="U31" s="1574">
        <f t="shared" si="13"/>
        <v>100</v>
      </c>
      <c r="V31" s="1573" t="s">
        <v>8</v>
      </c>
      <c r="W31" s="1574">
        <f t="shared" si="14"/>
        <v>100</v>
      </c>
      <c r="X31" s="1567"/>
      <c r="Y31" s="348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1"/>
      <c r="Q32" s="1572" t="str">
        <f t="shared" si="11"/>
        <v>公共部分装修</v>
      </c>
      <c r="R32" s="1573" t="s">
        <v>8</v>
      </c>
      <c r="S32" s="1574">
        <f t="shared" si="12"/>
        <v>100</v>
      </c>
      <c r="T32" s="1573" t="s">
        <v>8</v>
      </c>
      <c r="U32" s="1574">
        <f t="shared" si="13"/>
        <v>100</v>
      </c>
      <c r="V32" s="1573" t="s">
        <v>8</v>
      </c>
      <c r="W32" s="1574">
        <f t="shared" si="14"/>
        <v>100</v>
      </c>
      <c r="X32" s="1567"/>
      <c r="Y32" s="348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1"/>
      <c r="Q33" s="1572" t="str">
        <f t="shared" si="11"/>
        <v>成新度</v>
      </c>
      <c r="R33" s="1573" t="s">
        <v>8</v>
      </c>
      <c r="S33" s="1574" t="e">
        <f t="shared" si="12"/>
        <v>#N/A</v>
      </c>
      <c r="T33" s="1573" t="s">
        <v>8</v>
      </c>
      <c r="U33" s="1574" t="e">
        <f t="shared" si="13"/>
        <v>#N/A</v>
      </c>
      <c r="V33" s="1573" t="s">
        <v>8</v>
      </c>
      <c r="W33" s="1574" t="e">
        <f t="shared" si="14"/>
        <v>#N/A</v>
      </c>
      <c r="X33" s="1567"/>
      <c r="Y33" s="3481"/>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1"/>
      <c r="Q34" s="1151" t="str">
        <f t="shared" si="11"/>
        <v>物业管理</v>
      </c>
      <c r="R34" s="1568" t="s">
        <v>8</v>
      </c>
      <c r="S34" s="1569">
        <f t="shared" si="12"/>
        <v>100</v>
      </c>
      <c r="T34" s="1568" t="s">
        <v>8</v>
      </c>
      <c r="U34" s="1569">
        <f t="shared" si="13"/>
        <v>100</v>
      </c>
      <c r="V34" s="1568" t="s">
        <v>8</v>
      </c>
      <c r="W34" s="1569">
        <f t="shared" si="14"/>
        <v>100</v>
      </c>
      <c r="X34" s="1570"/>
      <c r="Y34" s="3481"/>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1" t="s">
        <v>550</v>
      </c>
      <c r="Q35" s="1572" t="str">
        <f t="shared" si="11"/>
        <v>市政基础设施</v>
      </c>
      <c r="R35" s="1573" t="s">
        <v>8</v>
      </c>
      <c r="S35" s="1574">
        <f t="shared" si="12"/>
        <v>100</v>
      </c>
      <c r="T35" s="1573" t="s">
        <v>8</v>
      </c>
      <c r="U35" s="1574">
        <f t="shared" si="13"/>
        <v>100</v>
      </c>
      <c r="V35" s="1573" t="s">
        <v>8</v>
      </c>
      <c r="W35" s="1574">
        <f t="shared" si="14"/>
        <v>100</v>
      </c>
      <c r="X35" s="1567"/>
      <c r="Y35" s="348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1"/>
      <c r="Q36" s="1572" t="str">
        <f t="shared" si="11"/>
        <v>内部装修</v>
      </c>
      <c r="R36" s="1573" t="s">
        <v>8</v>
      </c>
      <c r="S36" s="1574">
        <f t="shared" si="12"/>
        <v>100</v>
      </c>
      <c r="T36" s="1573" t="s">
        <v>8</v>
      </c>
      <c r="U36" s="1574">
        <f t="shared" si="13"/>
        <v>100</v>
      </c>
      <c r="V36" s="1573" t="s">
        <v>8</v>
      </c>
      <c r="W36" s="1574">
        <f t="shared" si="14"/>
        <v>100</v>
      </c>
      <c r="X36" s="1567"/>
      <c r="Y36" s="348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1"/>
      <c r="Q37" s="1572" t="str">
        <f t="shared" si="11"/>
        <v>内部装修状况</v>
      </c>
      <c r="R37" s="1573" t="s">
        <v>8</v>
      </c>
      <c r="S37" s="1574">
        <f t="shared" si="12"/>
        <v>100</v>
      </c>
      <c r="T37" s="1573" t="s">
        <v>8</v>
      </c>
      <c r="U37" s="1574">
        <f t="shared" si="13"/>
        <v>100</v>
      </c>
      <c r="V37" s="1573" t="s">
        <v>8</v>
      </c>
      <c r="W37" s="1574">
        <f t="shared" si="14"/>
        <v>100</v>
      </c>
      <c r="X37" s="1567"/>
      <c r="Y37" s="3481"/>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1"/>
      <c r="Q38" s="1605">
        <f t="shared" si="11"/>
        <v>111</v>
      </c>
      <c r="R38" s="1577" t="s">
        <v>8</v>
      </c>
      <c r="S38" s="1578">
        <f t="shared" si="12"/>
        <v>100</v>
      </c>
      <c r="T38" s="1577" t="s">
        <v>8</v>
      </c>
      <c r="U38" s="1578">
        <f t="shared" si="13"/>
        <v>100</v>
      </c>
      <c r="V38" s="1577" t="s">
        <v>8</v>
      </c>
      <c r="W38" s="1578">
        <f t="shared" si="14"/>
        <v>100</v>
      </c>
      <c r="X38" s="1579"/>
      <c r="Y38" s="348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1"/>
      <c r="Q39" s="1572">
        <f t="shared" si="11"/>
        <v>111</v>
      </c>
      <c r="R39" s="1573" t="s">
        <v>8</v>
      </c>
      <c r="S39" s="1574">
        <f t="shared" si="12"/>
        <v>100</v>
      </c>
      <c r="T39" s="1573" t="s">
        <v>8</v>
      </c>
      <c r="U39" s="1574">
        <f t="shared" si="13"/>
        <v>100</v>
      </c>
      <c r="V39" s="1573" t="s">
        <v>8</v>
      </c>
      <c r="W39" s="1574">
        <f t="shared" si="14"/>
        <v>100</v>
      </c>
      <c r="X39" s="1567"/>
      <c r="Y39" s="348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2"/>
      <c r="Q40" s="1572">
        <f t="shared" si="11"/>
        <v>111</v>
      </c>
      <c r="R40" s="1573" t="s">
        <v>8</v>
      </c>
      <c r="S40" s="1574">
        <f t="shared" si="12"/>
        <v>100</v>
      </c>
      <c r="T40" s="1573" t="s">
        <v>8</v>
      </c>
      <c r="U40" s="1574">
        <f t="shared" si="13"/>
        <v>100</v>
      </c>
      <c r="V40" s="1573" t="s">
        <v>8</v>
      </c>
      <c r="W40" s="1574">
        <f t="shared" si="14"/>
        <v>100</v>
      </c>
      <c r="X40" s="1567"/>
      <c r="Y40" s="3482"/>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473" t="str">
        <f>A41</f>
        <v>成交单价（元/平方米）</v>
      </c>
      <c r="Q41" s="3473"/>
      <c r="R41" s="3474">
        <f>E41</f>
        <v>0</v>
      </c>
      <c r="S41" s="3474"/>
      <c r="T41" s="3474">
        <f>G41</f>
        <v>0</v>
      </c>
      <c r="U41" s="3474"/>
      <c r="V41" s="3474">
        <f>I41</f>
        <v>0</v>
      </c>
      <c r="W41" s="3474"/>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473" t="str">
        <f>A42</f>
        <v>比较价格（元/平方米）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9"/>
      <c r="Y42" s="1559"/>
      <c r="Z42" s="1559"/>
      <c r="AA42" s="1559"/>
      <c r="AB42" s="1559"/>
      <c r="AC42" s="1559"/>
    </row>
    <row r="43" spans="1:29" ht="15.75" thickBot="1">
      <c r="A43" s="621" t="s">
        <v>2932</v>
      </c>
      <c r="B43" s="622"/>
      <c r="C43" s="2615" t="e">
        <f>R43</f>
        <v>#DIV/0!</v>
      </c>
      <c r="D43" s="2615"/>
      <c r="E43" s="2615"/>
      <c r="F43" s="2615"/>
      <c r="G43" s="2615"/>
      <c r="H43" s="2615"/>
      <c r="I43" s="2615"/>
      <c r="J43" s="2615"/>
      <c r="K43" s="1613"/>
      <c r="L43" s="2144"/>
      <c r="M43" s="2145"/>
      <c r="N43" s="2145"/>
      <c r="O43" s="2145"/>
      <c r="P43" s="3475" t="str">
        <f>A43</f>
        <v>估价对象XX用房的比较价格（楼面单价，元/平方米）</v>
      </c>
      <c r="Q43" s="3476"/>
      <c r="R43" s="3477" t="e">
        <f>IF(F1="售价",ROUND(AVERAGE(R42:V42),0),ROUND(AVERAGE(R42:V42),1))</f>
        <v>#DIV/0!</v>
      </c>
      <c r="S43" s="3477"/>
      <c r="T43" s="3477"/>
      <c r="U43" s="3477"/>
      <c r="V43" s="3477"/>
      <c r="W43" s="347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1" t="str">
        <f>YEAR(C7)&amp;"-"&amp;MONTH(C7)</f>
        <v>2018-10</v>
      </c>
      <c r="D52" s="2783">
        <f>EDATE(C52,-1)</f>
        <v>43344</v>
      </c>
      <c r="E52" s="2783">
        <f t="shared" ref="E52:O52" si="16">EDATE(D52,-1)</f>
        <v>43313</v>
      </c>
      <c r="F52" s="2783">
        <f t="shared" si="16"/>
        <v>43282</v>
      </c>
      <c r="G52" s="2783">
        <f t="shared" si="16"/>
        <v>43252</v>
      </c>
      <c r="H52" s="2783">
        <f t="shared" si="16"/>
        <v>43221</v>
      </c>
      <c r="I52" s="2783">
        <f t="shared" si="16"/>
        <v>43191</v>
      </c>
      <c r="J52" s="2783">
        <f t="shared" si="16"/>
        <v>43160</v>
      </c>
      <c r="K52" s="2783">
        <f t="shared" si="16"/>
        <v>43132</v>
      </c>
      <c r="L52" s="2783">
        <f t="shared" si="16"/>
        <v>43101</v>
      </c>
      <c r="M52" s="2783">
        <f t="shared" si="16"/>
        <v>43070</v>
      </c>
      <c r="N52" s="2783">
        <f t="shared" si="16"/>
        <v>43040</v>
      </c>
      <c r="O52" s="2783">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78298.68平方米。根据《建设工程规划许可证》[]、《出让合同》[]，估价对象规划建筑面积为400500平方米。</v>
      </c>
    </row>
    <row r="7" spans="1:4" ht="93.75">
      <c r="A7" s="2852" t="s">
        <v>2749</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2027</v>
      </c>
    </row>
    <row r="11" spans="1:4" ht="18.75">
      <c r="A11" s="1780" t="str">
        <f>TEXT(项目基本情况!D3,"yyyy年m月d日;;")&amp;IF(项目基本情况!B3=项目基本情况!D3,"（评估专业人员勘察现场之日）","")</f>
        <v>2018年10月15日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根据《国有土地使用证》[]，估价对象（分摊）出让国有建设用地使用权面积为78298.68平方米。根据《建设工程规划许可证》[]、《出让合同》[]，估价对象规划建筑面积为400500平方米。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4" t="s">
        <v>2750</v>
      </c>
    </row>
    <row r="24" spans="1:1" ht="18.75">
      <c r="A24" s="1791" t="s">
        <v>2076</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办公'!L4&amp;"、"&amp;'结果表-办公'!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86" t="s">
        <v>798</v>
      </c>
      <c r="D4" s="3487"/>
      <c r="E4" s="3486" t="s">
        <v>799</v>
      </c>
      <c r="F4" s="3487"/>
      <c r="G4" s="3486" t="s">
        <v>800</v>
      </c>
      <c r="H4" s="3487"/>
      <c r="I4" s="3486" t="s">
        <v>801</v>
      </c>
      <c r="J4" s="3487"/>
      <c r="K4" s="514" t="s">
        <v>802</v>
      </c>
      <c r="L4" s="2133"/>
      <c r="M4" s="2134"/>
      <c r="N4" s="2134"/>
      <c r="O4" s="2134"/>
      <c r="P4" s="3490" t="s">
        <v>803</v>
      </c>
      <c r="Q4" s="3491"/>
      <c r="R4" s="3496" t="s">
        <v>799</v>
      </c>
      <c r="S4" s="3497"/>
      <c r="T4" s="3496" t="s">
        <v>800</v>
      </c>
      <c r="U4" s="3497"/>
      <c r="V4" s="3502" t="s">
        <v>801</v>
      </c>
      <c r="W4" s="3502"/>
      <c r="X4" s="1567"/>
      <c r="Y4" s="3496" t="s">
        <v>803</v>
      </c>
      <c r="Z4" s="3497"/>
      <c r="AA4" s="3483" t="s">
        <v>799</v>
      </c>
      <c r="AB4" s="3484" t="s">
        <v>800</v>
      </c>
      <c r="AC4" s="3483" t="s">
        <v>801</v>
      </c>
    </row>
    <row r="5" spans="1:29" ht="15">
      <c r="A5" s="515"/>
      <c r="B5" s="516"/>
      <c r="C5" s="3510" t="s">
        <v>2926</v>
      </c>
      <c r="D5" s="3506"/>
      <c r="E5" s="3510" t="s">
        <v>2927</v>
      </c>
      <c r="F5" s="3506"/>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7" t="s">
        <v>2930</v>
      </c>
      <c r="F6" s="3518"/>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507" t="s">
        <v>530</v>
      </c>
      <c r="Q7" s="3509"/>
      <c r="R7" s="1568" t="s">
        <v>8</v>
      </c>
      <c r="S7" s="1569">
        <f t="shared" ref="S7:S14" si="0">F7</f>
        <v>0</v>
      </c>
      <c r="T7" s="1568" t="s">
        <v>8</v>
      </c>
      <c r="U7" s="1569">
        <f t="shared" ref="U7:U14" si="1">H7</f>
        <v>0</v>
      </c>
      <c r="V7" s="1568" t="s">
        <v>8</v>
      </c>
      <c r="W7" s="1569">
        <f t="shared" ref="W7:W14"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36" si="3">D8/F8</f>
        <v>#DIV/0!</v>
      </c>
      <c r="AB8" s="1571" t="e">
        <f t="shared" ref="AB8:AB36" si="4">D8/H8</f>
        <v>#DIV/0!</v>
      </c>
      <c r="AC8" s="1571" t="e">
        <f t="shared" ref="AC8:AC36" si="5">D8/J8</f>
        <v>#DIV/0!</v>
      </c>
    </row>
    <row r="9" spans="1:29" s="1219"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73" t="s">
        <v>535</v>
      </c>
      <c r="Q9" s="1151" t="str">
        <f t="shared" ref="Q9:Q14" si="6">B9</f>
        <v>用途</v>
      </c>
      <c r="R9" s="1568" t="s">
        <v>8</v>
      </c>
      <c r="S9" s="1569">
        <f t="shared" si="0"/>
        <v>100</v>
      </c>
      <c r="T9" s="1568" t="s">
        <v>8</v>
      </c>
      <c r="U9" s="1569">
        <f t="shared" si="1"/>
        <v>100</v>
      </c>
      <c r="V9" s="1568" t="s">
        <v>8</v>
      </c>
      <c r="W9" s="1569">
        <f t="shared" si="2"/>
        <v>100</v>
      </c>
      <c r="X9" s="1570"/>
      <c r="Y9" s="3434" t="s">
        <v>536</v>
      </c>
      <c r="Z9" s="1150"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73"/>
      <c r="Q11" s="1151">
        <f t="shared" si="6"/>
        <v>111</v>
      </c>
      <c r="R11" s="1568" t="s">
        <v>8</v>
      </c>
      <c r="S11" s="1569">
        <f t="shared" si="0"/>
        <v>100</v>
      </c>
      <c r="T11" s="1568" t="s">
        <v>8</v>
      </c>
      <c r="U11" s="1569">
        <f t="shared" si="1"/>
        <v>100</v>
      </c>
      <c r="V11" s="1568" t="s">
        <v>8</v>
      </c>
      <c r="W11" s="1569">
        <f t="shared" si="2"/>
        <v>100</v>
      </c>
      <c r="X11" s="1570"/>
      <c r="Y11" s="3434"/>
      <c r="Z11" s="1150">
        <f t="shared" si="7"/>
        <v>111</v>
      </c>
      <c r="AA11" s="1571">
        <f t="shared" si="3"/>
        <v>1</v>
      </c>
      <c r="AB11" s="1571">
        <f t="shared" si="4"/>
        <v>1</v>
      </c>
      <c r="AC11" s="1571">
        <f t="shared" si="5"/>
        <v>1</v>
      </c>
    </row>
    <row r="12" spans="1:29" s="1219"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6.75">
      <c r="A14" s="2889" t="s">
        <v>2755</v>
      </c>
      <c r="B14" s="547" t="s">
        <v>543</v>
      </c>
      <c r="C14" s="921" t="str">
        <f>IF(B1="工业",估价对象房地状况!G4,估价对象房地状况!C6)</f>
        <v>估价对象周边有445路、516路、659路、983路等多条公交线路经过，距14号线地铁（将台站）约300米，道路状况较好、公共交通通达情况较好、综合评价交通便捷度较好。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78" t="s">
        <v>540</v>
      </c>
      <c r="Q14" s="1572" t="str">
        <f t="shared" si="6"/>
        <v>交通便捷度</v>
      </c>
      <c r="R14" s="1573" t="s">
        <v>8</v>
      </c>
      <c r="S14" s="1574">
        <f t="shared" si="0"/>
        <v>100</v>
      </c>
      <c r="T14" s="1573" t="s">
        <v>8</v>
      </c>
      <c r="U14" s="1574">
        <f t="shared" si="1"/>
        <v>100</v>
      </c>
      <c r="V14" s="1573" t="s">
        <v>8</v>
      </c>
      <c r="W14" s="1574">
        <f t="shared" si="2"/>
        <v>100</v>
      </c>
      <c r="X14" s="1567"/>
      <c r="Y14" s="347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79"/>
      <c r="Q15" s="1572"/>
      <c r="R15" s="1573"/>
      <c r="S15" s="1574"/>
      <c r="T15" s="1573"/>
      <c r="U15" s="1574"/>
      <c r="V15" s="1573"/>
      <c r="W15" s="1574"/>
      <c r="X15" s="1567"/>
      <c r="Y15" s="3479"/>
      <c r="Z15" s="1575"/>
      <c r="AA15" s="1576">
        <v>1</v>
      </c>
      <c r="AB15" s="1576">
        <v>1</v>
      </c>
      <c r="AC15" s="1576">
        <v>1</v>
      </c>
    </row>
    <row r="16" spans="1:29" ht="42.75">
      <c r="A16" s="515"/>
      <c r="B16" s="2582" t="s">
        <v>2547</v>
      </c>
      <c r="C16" s="872" t="str">
        <f>IF(B1="工业",估价对象房地状况!G5,估价对象房地状况!C7)</f>
        <v>估价对象所在区域公共配套设施齐备度较好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79"/>
      <c r="Q16" s="1572" t="str">
        <f>B16</f>
        <v>公共配套设施</v>
      </c>
      <c r="R16" s="1573" t="s">
        <v>8</v>
      </c>
      <c r="S16" s="1574">
        <f>F16</f>
        <v>100</v>
      </c>
      <c r="T16" s="1573" t="s">
        <v>8</v>
      </c>
      <c r="U16" s="1574">
        <f>H16</f>
        <v>100</v>
      </c>
      <c r="V16" s="1573" t="s">
        <v>8</v>
      </c>
      <c r="W16" s="1574">
        <f>J16</f>
        <v>100</v>
      </c>
      <c r="X16" s="1567"/>
      <c r="Y16" s="347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79"/>
      <c r="Q17" s="1572"/>
      <c r="R17" s="1573"/>
      <c r="S17" s="1574"/>
      <c r="T17" s="1573"/>
      <c r="U17" s="1574"/>
      <c r="V17" s="1573"/>
      <c r="W17" s="1574"/>
      <c r="X17" s="1567"/>
      <c r="Y17" s="3479"/>
      <c r="Z17" s="1575"/>
      <c r="AA17" s="1576">
        <v>1</v>
      </c>
      <c r="AB17" s="1576">
        <v>1</v>
      </c>
      <c r="AC17" s="1576">
        <v>1</v>
      </c>
    </row>
    <row r="18" spans="1:29" ht="42.75">
      <c r="A18" s="515"/>
      <c r="B18" s="2570" t="s">
        <v>2559</v>
      </c>
      <c r="C18" s="872" t="str">
        <f>IF(B1="工业",估价对象房地状况!G6,估价对象房地状况!C8)</f>
        <v>估价对象所在区域基础设施水平达到三通一平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79"/>
      <c r="Q18" s="2558" t="str">
        <f>B18</f>
        <v>基础设施水平</v>
      </c>
      <c r="R18" s="1573" t="s">
        <v>8</v>
      </c>
      <c r="S18" s="1574">
        <f>F18</f>
        <v>100</v>
      </c>
      <c r="T18" s="1573" t="s">
        <v>8</v>
      </c>
      <c r="U18" s="1574">
        <f>H18</f>
        <v>100</v>
      </c>
      <c r="V18" s="1573" t="s">
        <v>8</v>
      </c>
      <c r="W18" s="1574">
        <f>J18</f>
        <v>100</v>
      </c>
      <c r="X18" s="2560"/>
      <c r="Y18" s="3479"/>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79"/>
      <c r="Q19" s="2558"/>
      <c r="R19" s="1573"/>
      <c r="S19" s="1574"/>
      <c r="T19" s="1573"/>
      <c r="U19" s="1574"/>
      <c r="V19" s="1573"/>
      <c r="W19" s="1574"/>
      <c r="X19" s="2560"/>
      <c r="Y19" s="3479"/>
      <c r="Z19" s="2559"/>
      <c r="AA19" s="1576">
        <v>1</v>
      </c>
      <c r="AB19" s="1576">
        <v>1</v>
      </c>
      <c r="AC19" s="1576">
        <v>1</v>
      </c>
    </row>
    <row r="20" spans="1:29" ht="57">
      <c r="A20" s="515"/>
      <c r="B20" s="560" t="s">
        <v>804</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79"/>
      <c r="Q20" s="1572" t="str">
        <f>B20</f>
        <v>自然及人文环境</v>
      </c>
      <c r="R20" s="1573" t="s">
        <v>8</v>
      </c>
      <c r="S20" s="1574">
        <f>F20</f>
        <v>100</v>
      </c>
      <c r="T20" s="1573" t="s">
        <v>8</v>
      </c>
      <c r="U20" s="1574">
        <f>H20</f>
        <v>100</v>
      </c>
      <c r="V20" s="1573" t="s">
        <v>8</v>
      </c>
      <c r="W20" s="1574">
        <f>J20</f>
        <v>100</v>
      </c>
      <c r="X20" s="1567"/>
      <c r="Y20" s="347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79"/>
      <c r="Q21" s="1572"/>
      <c r="R21" s="1573"/>
      <c r="S21" s="1574"/>
      <c r="T21" s="1573"/>
      <c r="U21" s="1574"/>
      <c r="V21" s="1573"/>
      <c r="W21" s="1574"/>
      <c r="X21" s="1567"/>
      <c r="Y21" s="347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79"/>
      <c r="Q22" s="1572" t="str">
        <f>B22</f>
        <v>楼层</v>
      </c>
      <c r="R22" s="1573" t="s">
        <v>8</v>
      </c>
      <c r="S22" s="1574">
        <f>F22</f>
        <v>100</v>
      </c>
      <c r="T22" s="1573" t="s">
        <v>8</v>
      </c>
      <c r="U22" s="1574">
        <f>H22</f>
        <v>100</v>
      </c>
      <c r="V22" s="1573" t="s">
        <v>8</v>
      </c>
      <c r="W22" s="1574">
        <f>J22</f>
        <v>100</v>
      </c>
      <c r="X22" s="1567"/>
      <c r="Y22" s="347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79"/>
      <c r="Q23" s="1572">
        <f>B23</f>
        <v>111</v>
      </c>
      <c r="R23" s="1573" t="s">
        <v>8</v>
      </c>
      <c r="S23" s="1574">
        <f>F23</f>
        <v>100</v>
      </c>
      <c r="T23" s="1573" t="s">
        <v>8</v>
      </c>
      <c r="U23" s="1574">
        <f>H23</f>
        <v>100</v>
      </c>
      <c r="V23" s="1573" t="s">
        <v>8</v>
      </c>
      <c r="W23" s="1574">
        <f>J23</f>
        <v>100</v>
      </c>
      <c r="X23" s="1567"/>
      <c r="Y23" s="347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79"/>
      <c r="Q24" s="1572">
        <f t="shared" ref="Q24:Q36" si="11">B24</f>
        <v>111</v>
      </c>
      <c r="R24" s="1573" t="s">
        <v>8</v>
      </c>
      <c r="S24" s="1574">
        <f>F24</f>
        <v>100</v>
      </c>
      <c r="T24" s="1573" t="s">
        <v>8</v>
      </c>
      <c r="U24" s="1574">
        <f>H24</f>
        <v>100</v>
      </c>
      <c r="V24" s="1573" t="s">
        <v>8</v>
      </c>
      <c r="W24" s="1574">
        <f>J24</f>
        <v>100</v>
      </c>
      <c r="X24" s="1567"/>
      <c r="Y24" s="3479"/>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79"/>
      <c r="Q25" s="1151">
        <f t="shared" si="11"/>
        <v>111</v>
      </c>
      <c r="R25" s="1568" t="s">
        <v>8</v>
      </c>
      <c r="S25" s="1569">
        <f>F25</f>
        <v>100</v>
      </c>
      <c r="T25" s="1568" t="s">
        <v>8</v>
      </c>
      <c r="U25" s="1569">
        <f>H25</f>
        <v>100</v>
      </c>
      <c r="V25" s="1568" t="s">
        <v>8</v>
      </c>
      <c r="W25" s="1569">
        <f>J25</f>
        <v>100</v>
      </c>
      <c r="X25" s="1570"/>
      <c r="Y25" s="3479"/>
      <c r="Z25" s="1150">
        <f>Q25</f>
        <v>111</v>
      </c>
      <c r="AA25" s="1576">
        <f>D25/F25</f>
        <v>1</v>
      </c>
      <c r="AB25" s="1576">
        <f>D25/H25</f>
        <v>1</v>
      </c>
      <c r="AC25" s="1576">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81" t="s">
        <v>550</v>
      </c>
      <c r="Z26" s="1575" t="str">
        <f t="shared" ref="Z26:Z36" si="15">Q26</f>
        <v>配套类型</v>
      </c>
      <c r="AA26" s="1576">
        <f t="shared" si="3"/>
        <v>1</v>
      </c>
      <c r="AB26" s="1576">
        <f t="shared" si="4"/>
        <v>1</v>
      </c>
      <c r="AC26" s="1576">
        <f t="shared" si="5"/>
        <v>1</v>
      </c>
    </row>
    <row r="27" spans="1:29" s="1338"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1"/>
      <c r="Q27" s="1605" t="str">
        <f t="shared" si="11"/>
        <v>项目停车位配比</v>
      </c>
      <c r="R27" s="1577" t="s">
        <v>8</v>
      </c>
      <c r="S27" s="1578">
        <f t="shared" si="12"/>
        <v>100</v>
      </c>
      <c r="T27" s="1577" t="s">
        <v>8</v>
      </c>
      <c r="U27" s="1578">
        <f t="shared" si="13"/>
        <v>100</v>
      </c>
      <c r="V27" s="1577" t="s">
        <v>8</v>
      </c>
      <c r="W27" s="1578">
        <f t="shared" si="14"/>
        <v>100</v>
      </c>
      <c r="X27" s="1579"/>
      <c r="Y27" s="348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1"/>
      <c r="Q28" s="1572" t="str">
        <f t="shared" si="11"/>
        <v>公共部分装修</v>
      </c>
      <c r="R28" s="1573" t="s">
        <v>8</v>
      </c>
      <c r="S28" s="1574">
        <f t="shared" si="12"/>
        <v>100</v>
      </c>
      <c r="T28" s="1573" t="s">
        <v>8</v>
      </c>
      <c r="U28" s="1574">
        <f t="shared" si="13"/>
        <v>100</v>
      </c>
      <c r="V28" s="1573" t="s">
        <v>8</v>
      </c>
      <c r="W28" s="1574">
        <f t="shared" si="14"/>
        <v>100</v>
      </c>
      <c r="X28" s="1567"/>
      <c r="Y28" s="348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1"/>
      <c r="Q29" s="1572" t="str">
        <f t="shared" si="11"/>
        <v>成新率</v>
      </c>
      <c r="R29" s="1573" t="s">
        <v>8</v>
      </c>
      <c r="S29" s="1574" t="e">
        <f t="shared" si="12"/>
        <v>#N/A</v>
      </c>
      <c r="T29" s="1573" t="s">
        <v>8</v>
      </c>
      <c r="U29" s="1574" t="e">
        <f t="shared" si="13"/>
        <v>#N/A</v>
      </c>
      <c r="V29" s="1573" t="s">
        <v>8</v>
      </c>
      <c r="W29" s="1574" t="e">
        <f t="shared" si="14"/>
        <v>#N/A</v>
      </c>
      <c r="X29" s="1567"/>
      <c r="Y29" s="348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1"/>
      <c r="Q30" s="1572" t="str">
        <f t="shared" si="11"/>
        <v>物业等级</v>
      </c>
      <c r="R30" s="1573" t="s">
        <v>8</v>
      </c>
      <c r="S30" s="1574">
        <f t="shared" si="12"/>
        <v>100</v>
      </c>
      <c r="T30" s="1573" t="s">
        <v>8</v>
      </c>
      <c r="U30" s="1574">
        <f t="shared" si="13"/>
        <v>100</v>
      </c>
      <c r="V30" s="1573" t="s">
        <v>8</v>
      </c>
      <c r="W30" s="1574">
        <f t="shared" si="14"/>
        <v>100</v>
      </c>
      <c r="X30" s="1567"/>
      <c r="Y30" s="3481"/>
      <c r="Z30" s="1575" t="str">
        <f t="shared" si="15"/>
        <v>物业等级</v>
      </c>
      <c r="AA30" s="1576">
        <f t="shared" si="3"/>
        <v>1</v>
      </c>
      <c r="AB30" s="1576">
        <f t="shared" si="4"/>
        <v>1</v>
      </c>
      <c r="AC30" s="1576">
        <f t="shared" si="5"/>
        <v>1</v>
      </c>
    </row>
    <row r="31" spans="1:29" s="1219"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1"/>
      <c r="Q31" s="1151" t="str">
        <f t="shared" si="11"/>
        <v>停车位面积</v>
      </c>
      <c r="R31" s="1568" t="s">
        <v>8</v>
      </c>
      <c r="S31" s="1569" t="e">
        <f t="shared" si="12"/>
        <v>#N/A</v>
      </c>
      <c r="T31" s="1568" t="s">
        <v>8</v>
      </c>
      <c r="U31" s="1569" t="e">
        <f t="shared" si="13"/>
        <v>#N/A</v>
      </c>
      <c r="V31" s="1568" t="s">
        <v>8</v>
      </c>
      <c r="W31" s="1569" t="e">
        <f t="shared" si="14"/>
        <v>#N/A</v>
      </c>
      <c r="X31" s="1570"/>
      <c r="Y31" s="348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1" t="s">
        <v>550</v>
      </c>
      <c r="Q32" s="1572" t="str">
        <f t="shared" si="11"/>
        <v>车位类型</v>
      </c>
      <c r="R32" s="1573" t="s">
        <v>8</v>
      </c>
      <c r="S32" s="1574">
        <f t="shared" si="12"/>
        <v>100</v>
      </c>
      <c r="T32" s="1573" t="s">
        <v>8</v>
      </c>
      <c r="U32" s="1574">
        <f t="shared" si="13"/>
        <v>100</v>
      </c>
      <c r="V32" s="1573" t="s">
        <v>8</v>
      </c>
      <c r="W32" s="1574">
        <f t="shared" si="14"/>
        <v>100</v>
      </c>
      <c r="X32" s="1567"/>
      <c r="Y32" s="348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1"/>
      <c r="Q33" s="1572" t="str">
        <f t="shared" si="11"/>
        <v>是否直接入户</v>
      </c>
      <c r="R33" s="1573" t="s">
        <v>8</v>
      </c>
      <c r="S33" s="1574">
        <f t="shared" si="12"/>
        <v>100</v>
      </c>
      <c r="T33" s="1573" t="s">
        <v>8</v>
      </c>
      <c r="U33" s="1574">
        <f t="shared" si="13"/>
        <v>100</v>
      </c>
      <c r="V33" s="1573" t="s">
        <v>8</v>
      </c>
      <c r="W33" s="1574">
        <f t="shared" si="14"/>
        <v>100</v>
      </c>
      <c r="X33" s="1567"/>
      <c r="Y33" s="348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1"/>
      <c r="Q34" s="1572">
        <f t="shared" si="11"/>
        <v>111</v>
      </c>
      <c r="R34" s="1573" t="s">
        <v>8</v>
      </c>
      <c r="S34" s="1574">
        <f t="shared" si="12"/>
        <v>100</v>
      </c>
      <c r="T34" s="1573" t="s">
        <v>8</v>
      </c>
      <c r="U34" s="1574">
        <f t="shared" si="13"/>
        <v>100</v>
      </c>
      <c r="V34" s="1573" t="s">
        <v>8</v>
      </c>
      <c r="W34" s="1574">
        <f t="shared" si="14"/>
        <v>100</v>
      </c>
      <c r="X34" s="1567"/>
      <c r="Y34" s="3481"/>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1"/>
      <c r="Q35" s="1605">
        <f t="shared" si="11"/>
        <v>111</v>
      </c>
      <c r="R35" s="1577" t="s">
        <v>8</v>
      </c>
      <c r="S35" s="1578">
        <f t="shared" si="12"/>
        <v>100</v>
      </c>
      <c r="T35" s="1577" t="s">
        <v>8</v>
      </c>
      <c r="U35" s="1578">
        <f t="shared" si="13"/>
        <v>100</v>
      </c>
      <c r="V35" s="1577" t="s">
        <v>8</v>
      </c>
      <c r="W35" s="1578">
        <f t="shared" si="14"/>
        <v>100</v>
      </c>
      <c r="X35" s="1579"/>
      <c r="Y35" s="348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1"/>
      <c r="Q36" s="1572">
        <f t="shared" si="11"/>
        <v>111</v>
      </c>
      <c r="R36" s="1573" t="s">
        <v>8</v>
      </c>
      <c r="S36" s="1574">
        <f t="shared" si="12"/>
        <v>100</v>
      </c>
      <c r="T36" s="1573" t="s">
        <v>8</v>
      </c>
      <c r="U36" s="1574">
        <f t="shared" si="13"/>
        <v>100</v>
      </c>
      <c r="V36" s="1573" t="s">
        <v>8</v>
      </c>
      <c r="W36" s="1574">
        <f t="shared" si="14"/>
        <v>100</v>
      </c>
      <c r="X36" s="1567"/>
      <c r="Y36" s="3481"/>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473" t="str">
        <f>A37</f>
        <v>成交单价</v>
      </c>
      <c r="Q37" s="3473"/>
      <c r="R37" s="3474">
        <f>E37</f>
        <v>0</v>
      </c>
      <c r="S37" s="3474"/>
      <c r="T37" s="3474">
        <f>G37</f>
        <v>0</v>
      </c>
      <c r="U37" s="3474"/>
      <c r="V37" s="3474">
        <f>I37</f>
        <v>0</v>
      </c>
      <c r="W37" s="3474"/>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473" t="str">
        <f>A38</f>
        <v>比较价格（元/平方米）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9"/>
      <c r="Y38" s="1559"/>
      <c r="Z38" s="1559"/>
      <c r="AA38" s="1559"/>
      <c r="AB38" s="1559"/>
      <c r="AC38" s="1559"/>
    </row>
    <row r="39" spans="1:29" ht="15.75" thickBot="1">
      <c r="A39" s="621" t="s">
        <v>2932</v>
      </c>
      <c r="B39" s="622"/>
      <c r="C39" s="2615" t="e">
        <f>R39</f>
        <v>#DIV/0!</v>
      </c>
      <c r="D39" s="2615"/>
      <c r="E39" s="2615"/>
      <c r="F39" s="2615"/>
      <c r="G39" s="2615"/>
      <c r="H39" s="2615"/>
      <c r="I39" s="2615"/>
      <c r="J39" s="2615"/>
      <c r="K39" s="1613"/>
      <c r="L39" s="2144"/>
      <c r="M39" s="2145"/>
      <c r="N39" s="2145"/>
      <c r="O39" s="2145"/>
      <c r="P39" s="3475" t="str">
        <f>A39</f>
        <v>估价对象XX用房的比较价格（楼面单价，元/平方米）</v>
      </c>
      <c r="Q39" s="3476"/>
      <c r="R39" s="3477" t="e">
        <f>IF(F1="售价",ROUND(AVERAGE(R38:V38),0),ROUND(AVERAGE(R38:V38),1))</f>
        <v>#DIV/0!</v>
      </c>
      <c r="S39" s="3477"/>
      <c r="T39" s="3477"/>
      <c r="U39" s="3477"/>
      <c r="V39" s="3477"/>
      <c r="W39" s="347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1" t="str">
        <f>YEAR(C7)&amp;"-"&amp;MONTH(C7)</f>
        <v>2018-10</v>
      </c>
      <c r="D48" s="2783">
        <f>EDATE(C48,-1)</f>
        <v>43344</v>
      </c>
      <c r="E48" s="2783">
        <f t="shared" ref="E48:O48" si="16">EDATE(D48,-1)</f>
        <v>43313</v>
      </c>
      <c r="F48" s="2783">
        <f t="shared" si="16"/>
        <v>43282</v>
      </c>
      <c r="G48" s="2783">
        <f t="shared" si="16"/>
        <v>43252</v>
      </c>
      <c r="H48" s="2783">
        <f t="shared" si="16"/>
        <v>43221</v>
      </c>
      <c r="I48" s="2783">
        <f t="shared" si="16"/>
        <v>43191</v>
      </c>
      <c r="J48" s="2783">
        <f t="shared" si="16"/>
        <v>43160</v>
      </c>
      <c r="K48" s="2783">
        <f t="shared" si="16"/>
        <v>43132</v>
      </c>
      <c r="L48" s="2783">
        <f t="shared" si="16"/>
        <v>43101</v>
      </c>
      <c r="M48" s="2783">
        <f t="shared" si="16"/>
        <v>43070</v>
      </c>
      <c r="N48" s="2783">
        <f t="shared" si="16"/>
        <v>43040</v>
      </c>
      <c r="O48" s="2783">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78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86" t="s">
        <v>798</v>
      </c>
      <c r="D4" s="3487"/>
      <c r="E4" s="3488" t="s">
        <v>799</v>
      </c>
      <c r="F4" s="3489"/>
      <c r="G4" s="3486" t="s">
        <v>800</v>
      </c>
      <c r="H4" s="3487"/>
      <c r="I4" s="3486" t="s">
        <v>801</v>
      </c>
      <c r="J4" s="3487"/>
      <c r="K4" s="514" t="s">
        <v>802</v>
      </c>
      <c r="L4" s="2133"/>
      <c r="M4" s="2134"/>
      <c r="N4" s="2134"/>
      <c r="O4" s="2134"/>
      <c r="P4" s="3490" t="s">
        <v>803</v>
      </c>
      <c r="Q4" s="3491"/>
      <c r="R4" s="3496" t="s">
        <v>799</v>
      </c>
      <c r="S4" s="3497"/>
      <c r="T4" s="3496" t="s">
        <v>800</v>
      </c>
      <c r="U4" s="3497"/>
      <c r="V4" s="3502" t="s">
        <v>801</v>
      </c>
      <c r="W4" s="3502"/>
      <c r="X4" s="1567"/>
      <c r="Y4" s="3496" t="s">
        <v>803</v>
      </c>
      <c r="Z4" s="3497"/>
      <c r="AA4" s="3483" t="s">
        <v>799</v>
      </c>
      <c r="AB4" s="3484" t="s">
        <v>800</v>
      </c>
      <c r="AC4" s="3483" t="s">
        <v>801</v>
      </c>
    </row>
    <row r="5" spans="1:29" ht="15">
      <c r="A5" s="515"/>
      <c r="B5" s="516"/>
      <c r="C5" s="3510" t="s">
        <v>2926</v>
      </c>
      <c r="D5" s="3506"/>
      <c r="E5" s="3524" t="s">
        <v>2927</v>
      </c>
      <c r="F5" s="3514"/>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507" t="s">
        <v>530</v>
      </c>
      <c r="Q7" s="3509"/>
      <c r="R7" s="1568" t="s">
        <v>8</v>
      </c>
      <c r="S7" s="1569">
        <f t="shared" ref="S7:S14" si="0">F7</f>
        <v>0</v>
      </c>
      <c r="T7" s="1568" t="s">
        <v>8</v>
      </c>
      <c r="U7" s="1569">
        <f t="shared" ref="U7:U14" si="1">H7</f>
        <v>0</v>
      </c>
      <c r="V7" s="1568" t="s">
        <v>8</v>
      </c>
      <c r="W7" s="1569">
        <f t="shared" ref="W7:W14"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34" si="3">D8/F8</f>
        <v>#DIV/0!</v>
      </c>
      <c r="AB8" s="1571" t="e">
        <f t="shared" ref="AB8:AB34" si="4">D8/H8</f>
        <v>#DIV/0!</v>
      </c>
      <c r="AC8" s="1571" t="e">
        <f t="shared" ref="AC8:AC34" si="5">D8/J8</f>
        <v>#DIV/0!</v>
      </c>
    </row>
    <row r="9" spans="1:29" s="1219"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73" t="s">
        <v>535</v>
      </c>
      <c r="Q9" s="1151" t="str">
        <f t="shared" ref="Q9:Q14" si="6">B9</f>
        <v>用途</v>
      </c>
      <c r="R9" s="1568" t="s">
        <v>8</v>
      </c>
      <c r="S9" s="1569">
        <f t="shared" si="0"/>
        <v>100</v>
      </c>
      <c r="T9" s="1568" t="s">
        <v>8</v>
      </c>
      <c r="U9" s="1569">
        <f t="shared" si="1"/>
        <v>100</v>
      </c>
      <c r="V9" s="1568" t="s">
        <v>8</v>
      </c>
      <c r="W9" s="1569">
        <f t="shared" si="2"/>
        <v>100</v>
      </c>
      <c r="X9" s="1570"/>
      <c r="Y9" s="3434" t="s">
        <v>536</v>
      </c>
      <c r="Z9" s="1150"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73"/>
      <c r="Q11" s="1151">
        <f t="shared" si="6"/>
        <v>111</v>
      </c>
      <c r="R11" s="1568" t="s">
        <v>8</v>
      </c>
      <c r="S11" s="1569">
        <f t="shared" si="0"/>
        <v>100</v>
      </c>
      <c r="T11" s="1568" t="s">
        <v>8</v>
      </c>
      <c r="U11" s="1569">
        <f t="shared" si="1"/>
        <v>100</v>
      </c>
      <c r="V11" s="1568" t="s">
        <v>8</v>
      </c>
      <c r="W11" s="1569">
        <f t="shared" si="2"/>
        <v>100</v>
      </c>
      <c r="X11" s="1570"/>
      <c r="Y11" s="3434"/>
      <c r="Z11" s="1150">
        <f t="shared" si="7"/>
        <v>111</v>
      </c>
      <c r="AA11" s="1571">
        <f t="shared" si="3"/>
        <v>1</v>
      </c>
      <c r="AB11" s="1571">
        <f t="shared" si="4"/>
        <v>1</v>
      </c>
      <c r="AC11" s="1571">
        <f t="shared" si="5"/>
        <v>1</v>
      </c>
    </row>
    <row r="12" spans="1:29" s="1219"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6.75">
      <c r="A14" s="2889" t="s">
        <v>2755</v>
      </c>
      <c r="B14" s="166" t="s">
        <v>543</v>
      </c>
      <c r="C14" s="921" t="str">
        <f>IF(B1="工业",估价对象房地状况!G4,估价对象房地状况!C6)</f>
        <v>估价对象周边有445路、516路、659路、983路等多条公交线路经过，距14号线地铁（将台站）约300米，道路状况较好、公共交通通达情况较好、综合评价交通便捷度较好。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78" t="s">
        <v>540</v>
      </c>
      <c r="Q14" s="1572" t="str">
        <f t="shared" si="6"/>
        <v>交通便捷度</v>
      </c>
      <c r="R14" s="1573" t="s">
        <v>8</v>
      </c>
      <c r="S14" s="1574">
        <f t="shared" si="0"/>
        <v>100</v>
      </c>
      <c r="T14" s="1573" t="s">
        <v>8</v>
      </c>
      <c r="U14" s="1574">
        <f t="shared" si="1"/>
        <v>100</v>
      </c>
      <c r="V14" s="1573" t="s">
        <v>8</v>
      </c>
      <c r="W14" s="1574">
        <f t="shared" si="2"/>
        <v>100</v>
      </c>
      <c r="X14" s="1567"/>
      <c r="Y14" s="347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79"/>
      <c r="Q15" s="1572"/>
      <c r="R15" s="1573"/>
      <c r="S15" s="1574"/>
      <c r="T15" s="1573"/>
      <c r="U15" s="1574"/>
      <c r="V15" s="1573"/>
      <c r="W15" s="1574"/>
      <c r="X15" s="1567"/>
      <c r="Y15" s="3479"/>
      <c r="Z15" s="1575"/>
      <c r="AA15" s="1576">
        <v>1</v>
      </c>
      <c r="AB15" s="1576">
        <v>1</v>
      </c>
      <c r="AC15" s="1576">
        <v>1</v>
      </c>
    </row>
    <row r="16" spans="1:29" ht="42.75">
      <c r="A16" s="532"/>
      <c r="B16" s="2582" t="s">
        <v>2547</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79"/>
      <c r="Q16" s="1572" t="str">
        <f>B16</f>
        <v>公共配套设施</v>
      </c>
      <c r="R16" s="1573" t="s">
        <v>8</v>
      </c>
      <c r="S16" s="1574">
        <f>F16</f>
        <v>100</v>
      </c>
      <c r="T16" s="1573" t="s">
        <v>8</v>
      </c>
      <c r="U16" s="1574">
        <f>H16</f>
        <v>100</v>
      </c>
      <c r="V16" s="1573" t="s">
        <v>8</v>
      </c>
      <c r="W16" s="1574">
        <f>J16</f>
        <v>100</v>
      </c>
      <c r="X16" s="1567"/>
      <c r="Y16" s="347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79"/>
      <c r="Q17" s="1572"/>
      <c r="R17" s="1573"/>
      <c r="S17" s="1574"/>
      <c r="T17" s="1573"/>
      <c r="U17" s="1574"/>
      <c r="V17" s="1573"/>
      <c r="W17" s="1574"/>
      <c r="X17" s="1567"/>
      <c r="Y17" s="3479"/>
      <c r="Z17" s="1575"/>
      <c r="AA17" s="1576">
        <v>1</v>
      </c>
      <c r="AB17" s="1576">
        <v>1</v>
      </c>
      <c r="AC17" s="1576">
        <v>1</v>
      </c>
    </row>
    <row r="18" spans="1:29" ht="42.75">
      <c r="A18" s="532"/>
      <c r="B18" s="2570" t="s">
        <v>2559</v>
      </c>
      <c r="C18" s="872" t="str">
        <f>IF(B1="工业",估价对象房地状况!G6,估价对象房地状况!C8)</f>
        <v>估价对象所在区域基础设施水平达到三通一平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79"/>
      <c r="Q18" s="2558" t="str">
        <f>B18</f>
        <v>基础设施水平</v>
      </c>
      <c r="R18" s="1573" t="s">
        <v>8</v>
      </c>
      <c r="S18" s="1574">
        <f>F18</f>
        <v>100</v>
      </c>
      <c r="T18" s="1573" t="s">
        <v>8</v>
      </c>
      <c r="U18" s="1574">
        <f>H18</f>
        <v>100</v>
      </c>
      <c r="V18" s="1573" t="s">
        <v>8</v>
      </c>
      <c r="W18" s="1574">
        <f>J18</f>
        <v>100</v>
      </c>
      <c r="X18" s="2560"/>
      <c r="Y18" s="3479"/>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79"/>
      <c r="Q19" s="2558"/>
      <c r="R19" s="1573"/>
      <c r="S19" s="1574"/>
      <c r="T19" s="1573"/>
      <c r="U19" s="1574"/>
      <c r="V19" s="1573"/>
      <c r="W19" s="1574"/>
      <c r="X19" s="2560"/>
      <c r="Y19" s="3479"/>
      <c r="Z19" s="2559"/>
      <c r="AA19" s="1576">
        <v>1</v>
      </c>
      <c r="AB19" s="1576">
        <v>1</v>
      </c>
      <c r="AC19" s="1576">
        <v>1</v>
      </c>
    </row>
    <row r="20" spans="1:29" ht="57">
      <c r="A20" s="532"/>
      <c r="B20" s="871" t="s">
        <v>804</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79"/>
      <c r="Q20" s="1572" t="str">
        <f>B20</f>
        <v>自然及人文环境</v>
      </c>
      <c r="R20" s="1573" t="s">
        <v>8</v>
      </c>
      <c r="S20" s="1574">
        <f>F20</f>
        <v>100</v>
      </c>
      <c r="T20" s="1573" t="s">
        <v>8</v>
      </c>
      <c r="U20" s="1574">
        <f>H20</f>
        <v>100</v>
      </c>
      <c r="V20" s="1573" t="s">
        <v>8</v>
      </c>
      <c r="W20" s="1574">
        <f>J20</f>
        <v>100</v>
      </c>
      <c r="X20" s="1567"/>
      <c r="Y20" s="347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79"/>
      <c r="Q21" s="1572"/>
      <c r="R21" s="1573"/>
      <c r="S21" s="1574"/>
      <c r="T21" s="1573"/>
      <c r="U21" s="1574"/>
      <c r="V21" s="1573"/>
      <c r="W21" s="1574"/>
      <c r="X21" s="1567"/>
      <c r="Y21" s="347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79"/>
      <c r="Q22" s="1572" t="str">
        <f>B22</f>
        <v>楼层</v>
      </c>
      <c r="R22" s="1573" t="s">
        <v>8</v>
      </c>
      <c r="S22" s="1574">
        <f>F22</f>
        <v>100</v>
      </c>
      <c r="T22" s="1573" t="s">
        <v>8</v>
      </c>
      <c r="U22" s="1574">
        <f>H22</f>
        <v>100</v>
      </c>
      <c r="V22" s="1573" t="s">
        <v>8</v>
      </c>
      <c r="W22" s="1574">
        <f>J22</f>
        <v>100</v>
      </c>
      <c r="X22" s="1567"/>
      <c r="Y22" s="347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79"/>
      <c r="Q23" s="1572">
        <f>B23</f>
        <v>111</v>
      </c>
      <c r="R23" s="1573" t="s">
        <v>8</v>
      </c>
      <c r="S23" s="1574">
        <f>F23</f>
        <v>100</v>
      </c>
      <c r="T23" s="1573" t="s">
        <v>8</v>
      </c>
      <c r="U23" s="1574">
        <f>H23</f>
        <v>100</v>
      </c>
      <c r="V23" s="1573" t="s">
        <v>8</v>
      </c>
      <c r="W23" s="1574">
        <f>J23</f>
        <v>100</v>
      </c>
      <c r="X23" s="1567"/>
      <c r="Y23" s="347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79"/>
      <c r="Q24" s="1572">
        <f t="shared" ref="Q24:Q34" si="11">B24</f>
        <v>111</v>
      </c>
      <c r="R24" s="1573" t="s">
        <v>8</v>
      </c>
      <c r="S24" s="1574">
        <f>F24</f>
        <v>100</v>
      </c>
      <c r="T24" s="1573" t="s">
        <v>8</v>
      </c>
      <c r="U24" s="1574">
        <f>H24</f>
        <v>100</v>
      </c>
      <c r="V24" s="1573" t="s">
        <v>8</v>
      </c>
      <c r="W24" s="1574">
        <f>J24</f>
        <v>100</v>
      </c>
      <c r="X24" s="1567"/>
      <c r="Y24" s="3479"/>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79"/>
      <c r="Q25" s="1151">
        <f t="shared" si="11"/>
        <v>111</v>
      </c>
      <c r="R25" s="1568" t="s">
        <v>8</v>
      </c>
      <c r="S25" s="1569">
        <f>F25</f>
        <v>100</v>
      </c>
      <c r="T25" s="1568" t="s">
        <v>8</v>
      </c>
      <c r="U25" s="1569">
        <f>H25</f>
        <v>100</v>
      </c>
      <c r="V25" s="1568" t="s">
        <v>8</v>
      </c>
      <c r="W25" s="1569">
        <f>J25</f>
        <v>100</v>
      </c>
      <c r="X25" s="1570"/>
      <c r="Y25" s="3479"/>
      <c r="Z25" s="1150">
        <f>Q25</f>
        <v>111</v>
      </c>
      <c r="AA25" s="1576">
        <f>D25/F25</f>
        <v>1</v>
      </c>
      <c r="AB25" s="1576">
        <f>D25/H25</f>
        <v>1</v>
      </c>
      <c r="AC25" s="1576">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81" t="s">
        <v>821</v>
      </c>
      <c r="Z26" s="1575" t="str">
        <f t="shared" ref="Z26:Z34" si="15">Q26</f>
        <v>公共部分装修</v>
      </c>
      <c r="AA26" s="1576">
        <f t="shared" si="3"/>
        <v>1</v>
      </c>
      <c r="AB26" s="1576">
        <f t="shared" si="4"/>
        <v>1</v>
      </c>
      <c r="AC26" s="1576">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1"/>
      <c r="Q27" s="1605" t="str">
        <f t="shared" si="11"/>
        <v>成新率</v>
      </c>
      <c r="R27" s="1577" t="s">
        <v>8</v>
      </c>
      <c r="S27" s="1578" t="e">
        <f t="shared" si="12"/>
        <v>#N/A</v>
      </c>
      <c r="T27" s="1577" t="s">
        <v>8</v>
      </c>
      <c r="U27" s="1578" t="e">
        <f t="shared" si="13"/>
        <v>#N/A</v>
      </c>
      <c r="V27" s="1577" t="s">
        <v>8</v>
      </c>
      <c r="W27" s="1578" t="e">
        <f t="shared" si="14"/>
        <v>#N/A</v>
      </c>
      <c r="X27" s="1579"/>
      <c r="Y27" s="348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1"/>
      <c r="Q28" s="1572" t="str">
        <f t="shared" si="11"/>
        <v>物业等级</v>
      </c>
      <c r="R28" s="1573" t="s">
        <v>8</v>
      </c>
      <c r="S28" s="1574">
        <f t="shared" si="12"/>
        <v>100</v>
      </c>
      <c r="T28" s="1573" t="s">
        <v>8</v>
      </c>
      <c r="U28" s="1574">
        <f t="shared" si="13"/>
        <v>100</v>
      </c>
      <c r="V28" s="1573" t="s">
        <v>8</v>
      </c>
      <c r="W28" s="1574">
        <f t="shared" si="14"/>
        <v>100</v>
      </c>
      <c r="X28" s="1567"/>
      <c r="Y28" s="348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1"/>
      <c r="Q29" s="1572" t="str">
        <f t="shared" si="11"/>
        <v>有无电梯</v>
      </c>
      <c r="R29" s="1573" t="s">
        <v>8</v>
      </c>
      <c r="S29" s="1574">
        <f t="shared" si="12"/>
        <v>100</v>
      </c>
      <c r="T29" s="1573" t="s">
        <v>8</v>
      </c>
      <c r="U29" s="1574">
        <f t="shared" si="13"/>
        <v>100</v>
      </c>
      <c r="V29" s="1573" t="s">
        <v>8</v>
      </c>
      <c r="W29" s="1574">
        <f t="shared" si="14"/>
        <v>100</v>
      </c>
      <c r="X29" s="1567"/>
      <c r="Y29" s="348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1"/>
      <c r="Q30" s="1572" t="str">
        <f t="shared" si="11"/>
        <v>建筑面积</v>
      </c>
      <c r="R30" s="1573" t="s">
        <v>8</v>
      </c>
      <c r="S30" s="1574" t="e">
        <f t="shared" si="12"/>
        <v>#N/A</v>
      </c>
      <c r="T30" s="1573" t="s">
        <v>8</v>
      </c>
      <c r="U30" s="1574" t="e">
        <f t="shared" si="13"/>
        <v>#N/A</v>
      </c>
      <c r="V30" s="1573" t="s">
        <v>8</v>
      </c>
      <c r="W30" s="1574" t="e">
        <f t="shared" si="14"/>
        <v>#N/A</v>
      </c>
      <c r="X30" s="1567"/>
      <c r="Y30" s="3481"/>
      <c r="Z30" s="1575" t="str">
        <f t="shared" si="15"/>
        <v>建筑面积</v>
      </c>
      <c r="AA30" s="1576" t="e">
        <f t="shared" si="3"/>
        <v>#N/A</v>
      </c>
      <c r="AB30" s="1576" t="e">
        <f t="shared" si="4"/>
        <v>#N/A</v>
      </c>
      <c r="AC30" s="1576" t="e">
        <f t="shared" si="5"/>
        <v>#N/A</v>
      </c>
    </row>
    <row r="31" spans="1:29" s="1219"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1"/>
      <c r="Q31" s="1151" t="str">
        <f t="shared" si="11"/>
        <v>是否封闭</v>
      </c>
      <c r="R31" s="1568" t="s">
        <v>8</v>
      </c>
      <c r="S31" s="1569">
        <f t="shared" si="12"/>
        <v>100</v>
      </c>
      <c r="T31" s="1568" t="s">
        <v>8</v>
      </c>
      <c r="U31" s="1569">
        <f t="shared" si="13"/>
        <v>100</v>
      </c>
      <c r="V31" s="1568" t="s">
        <v>8</v>
      </c>
      <c r="W31" s="1569">
        <f t="shared" si="14"/>
        <v>100</v>
      </c>
      <c r="X31" s="1570"/>
      <c r="Y31" s="348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1" t="s">
        <v>550</v>
      </c>
      <c r="Q32" s="1572">
        <f t="shared" si="11"/>
        <v>111</v>
      </c>
      <c r="R32" s="1573" t="s">
        <v>8</v>
      </c>
      <c r="S32" s="1574">
        <f t="shared" si="12"/>
        <v>100</v>
      </c>
      <c r="T32" s="1573" t="s">
        <v>8</v>
      </c>
      <c r="U32" s="1574">
        <f t="shared" si="13"/>
        <v>100</v>
      </c>
      <c r="V32" s="1573" t="s">
        <v>8</v>
      </c>
      <c r="W32" s="1574">
        <f t="shared" si="14"/>
        <v>100</v>
      </c>
      <c r="X32" s="1567"/>
      <c r="Y32" s="348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1"/>
      <c r="Q33" s="1572">
        <f t="shared" si="11"/>
        <v>111</v>
      </c>
      <c r="R33" s="1573" t="s">
        <v>8</v>
      </c>
      <c r="S33" s="1574">
        <f t="shared" si="12"/>
        <v>100</v>
      </c>
      <c r="T33" s="1573" t="s">
        <v>8</v>
      </c>
      <c r="U33" s="1574">
        <f t="shared" si="13"/>
        <v>100</v>
      </c>
      <c r="V33" s="1573" t="s">
        <v>8</v>
      </c>
      <c r="W33" s="1574">
        <f t="shared" si="14"/>
        <v>100</v>
      </c>
      <c r="X33" s="1567"/>
      <c r="Y33" s="348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1"/>
      <c r="Q34" s="1572">
        <f t="shared" si="11"/>
        <v>111</v>
      </c>
      <c r="R34" s="1573" t="s">
        <v>8</v>
      </c>
      <c r="S34" s="1574">
        <f t="shared" si="12"/>
        <v>100</v>
      </c>
      <c r="T34" s="1573" t="s">
        <v>8</v>
      </c>
      <c r="U34" s="1574">
        <f t="shared" si="13"/>
        <v>100</v>
      </c>
      <c r="V34" s="1573" t="s">
        <v>8</v>
      </c>
      <c r="W34" s="1574">
        <f t="shared" si="14"/>
        <v>100</v>
      </c>
      <c r="X34" s="1567"/>
      <c r="Y34" s="3481"/>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473" t="str">
        <f>A35</f>
        <v>成交单价（元/平方米）</v>
      </c>
      <c r="Q35" s="3473"/>
      <c r="R35" s="3474">
        <f>E35</f>
        <v>0</v>
      </c>
      <c r="S35" s="3474"/>
      <c r="T35" s="3474">
        <f>G35</f>
        <v>0</v>
      </c>
      <c r="U35" s="3474"/>
      <c r="V35" s="3474">
        <f>I35</f>
        <v>0</v>
      </c>
      <c r="W35" s="3474"/>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473" t="str">
        <f>A36</f>
        <v>比较价格（元/平方米）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9"/>
      <c r="Y36" s="1559"/>
      <c r="Z36" s="1559"/>
      <c r="AA36" s="1559"/>
      <c r="AB36" s="1559"/>
      <c r="AC36" s="1559"/>
    </row>
    <row r="37" spans="1:29" ht="15.75" thickBot="1">
      <c r="A37" s="621" t="s">
        <v>2932</v>
      </c>
      <c r="B37" s="622"/>
      <c r="C37" s="2615" t="e">
        <f>R37</f>
        <v>#DIV/0!</v>
      </c>
      <c r="D37" s="2615"/>
      <c r="E37" s="2615"/>
      <c r="F37" s="2615"/>
      <c r="G37" s="2615"/>
      <c r="H37" s="2615"/>
      <c r="I37" s="2615"/>
      <c r="J37" s="2615"/>
      <c r="K37" s="1613"/>
      <c r="L37" s="2144"/>
      <c r="M37" s="2145"/>
      <c r="N37" s="2145"/>
      <c r="O37" s="2145"/>
      <c r="P37" s="3475" t="str">
        <f>A37</f>
        <v>估价对象XX用房的比较价格（楼面单价，元/平方米）</v>
      </c>
      <c r="Q37" s="3476"/>
      <c r="R37" s="3477" t="e">
        <f>IF(F1="售价",ROUND(AVERAGE(R36:V36),0),ROUND(AVERAGE(R36:V36),1))</f>
        <v>#DIV/0!</v>
      </c>
      <c r="S37" s="3477"/>
      <c r="T37" s="3477"/>
      <c r="U37" s="3477"/>
      <c r="V37" s="3477"/>
      <c r="W37" s="347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1" t="str">
        <f>YEAR(C7)&amp;"-"&amp;MONTH(C7)</f>
        <v>2018-10</v>
      </c>
      <c r="D46" s="2783">
        <f>EDATE(C46,-1)</f>
        <v>43344</v>
      </c>
      <c r="E46" s="2783">
        <f t="shared" ref="E46:O46" si="16">EDATE(D46,-1)</f>
        <v>43313</v>
      </c>
      <c r="F46" s="2783">
        <f t="shared" si="16"/>
        <v>43282</v>
      </c>
      <c r="G46" s="2783">
        <f t="shared" si="16"/>
        <v>43252</v>
      </c>
      <c r="H46" s="2783">
        <f t="shared" si="16"/>
        <v>43221</v>
      </c>
      <c r="I46" s="2783">
        <f t="shared" si="16"/>
        <v>43191</v>
      </c>
      <c r="J46" s="2783">
        <f t="shared" si="16"/>
        <v>43160</v>
      </c>
      <c r="K46" s="2783">
        <f t="shared" si="16"/>
        <v>43132</v>
      </c>
      <c r="L46" s="2783">
        <f t="shared" si="16"/>
        <v>43101</v>
      </c>
      <c r="M46" s="2783">
        <f t="shared" si="16"/>
        <v>43070</v>
      </c>
      <c r="N46" s="2783">
        <f t="shared" si="16"/>
        <v>43040</v>
      </c>
      <c r="O46" s="2783">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49"/>
    <col min="20" max="35" width="9" style="257"/>
    <col min="36" max="16384" width="9" style="1249"/>
  </cols>
  <sheetData>
    <row r="1" spans="1:45" s="257" customFormat="1" ht="14.25" customHeight="1" thickBot="1">
      <c r="A1" s="365"/>
      <c r="B1" s="2234" t="s">
        <v>2304</v>
      </c>
      <c r="C1" s="3566" t="s">
        <v>2305</v>
      </c>
      <c r="D1" s="3567"/>
      <c r="E1" s="3567"/>
      <c r="F1" s="3567"/>
      <c r="G1" s="3567"/>
      <c r="H1" s="3567"/>
      <c r="I1" s="3567"/>
      <c r="J1" s="3567"/>
      <c r="K1" s="3567"/>
      <c r="L1" s="3567"/>
      <c r="M1" s="3567"/>
      <c r="N1" s="3567"/>
      <c r="O1" s="3567"/>
      <c r="P1" s="3567"/>
      <c r="Q1" s="3567"/>
      <c r="R1" s="3567"/>
      <c r="S1" s="3568"/>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63" t="s">
        <v>20</v>
      </c>
      <c r="D22" s="3564"/>
      <c r="E22" s="3564"/>
      <c r="F22" s="3564"/>
      <c r="G22" s="3564"/>
      <c r="H22" s="3564"/>
      <c r="I22" s="3564"/>
      <c r="J22" s="3564"/>
      <c r="K22" s="3564"/>
      <c r="L22" s="3564"/>
      <c r="M22" s="3564"/>
      <c r="N22" s="3564"/>
      <c r="O22" s="3564"/>
      <c r="P22" s="3564"/>
      <c r="Q22" s="356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43388</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E31" sqref="E31:F31"/>
    </sheetView>
  </sheetViews>
  <sheetFormatPr defaultRowHeight="13.5"/>
  <sheetData>
    <row r="1" spans="1:1">
      <c r="A1" s="3213"/>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3021" t="s">
        <v>2843</v>
      </c>
      <c r="B1" s="3021">
        <f>SUM(B14:B23)</f>
        <v>400500</v>
      </c>
      <c r="C1" s="3022"/>
      <c r="D1" s="3022"/>
      <c r="E1" s="3022"/>
      <c r="F1" s="3022"/>
    </row>
    <row r="2" spans="1:9" ht="16.5">
      <c r="A2" s="3021" t="s">
        <v>2844</v>
      </c>
      <c r="B2" s="3021">
        <f>SUM(C14:C23)</f>
        <v>78298.679999999993</v>
      </c>
      <c r="C2" s="3022"/>
      <c r="D2" s="3022"/>
      <c r="E2" s="3022"/>
      <c r="F2" s="3022"/>
    </row>
    <row r="3" spans="1:9" ht="16.5">
      <c r="A3" s="3021" t="s">
        <v>2845</v>
      </c>
      <c r="B3" s="3023">
        <f>项目基本情况!D3</f>
        <v>43388</v>
      </c>
      <c r="C3" s="3022"/>
      <c r="D3" s="3022"/>
      <c r="E3" s="3022"/>
      <c r="F3" s="3022"/>
    </row>
    <row r="4" spans="1:9" ht="33">
      <c r="A4" s="3021" t="s">
        <v>2846</v>
      </c>
      <c r="B4" s="3021" t="s">
        <v>2847</v>
      </c>
      <c r="C4" s="3021" t="s">
        <v>2848</v>
      </c>
      <c r="D4" s="3021" t="s">
        <v>2849</v>
      </c>
      <c r="E4" s="3022"/>
      <c r="F4" s="3022"/>
    </row>
    <row r="5" spans="1:9" ht="16.5">
      <c r="A5" s="3021" t="s">
        <v>2850</v>
      </c>
      <c r="B5" s="3021">
        <f ca="1">SUM(D14:D23)</f>
        <v>640033</v>
      </c>
      <c r="C5" s="3021">
        <f ca="1">ROUND(B5*10000/$B$1,0)</f>
        <v>15981</v>
      </c>
      <c r="D5" s="3021">
        <f ca="1">ROUND(B5*10000/$B$2,0)</f>
        <v>81743</v>
      </c>
      <c r="E5" s="3022"/>
      <c r="F5" s="3022"/>
    </row>
    <row r="6" spans="1:9" ht="16.5">
      <c r="A6" s="3021" t="s">
        <v>2851</v>
      </c>
      <c r="B6" s="3021">
        <f>SUM(G14:G23)</f>
        <v>0</v>
      </c>
      <c r="C6" s="3021">
        <f t="shared" ref="C6:C8" si="0">ROUND(B6*10000/$B$1,0)</f>
        <v>0</v>
      </c>
      <c r="D6" s="3021">
        <f t="shared" ref="D6:D8" si="1">ROUND(B6*10000/$B$2,0)</f>
        <v>0</v>
      </c>
      <c r="E6" s="3022"/>
      <c r="F6" s="3022"/>
    </row>
    <row r="7" spans="1:9" ht="16.5">
      <c r="A7" s="3021" t="s">
        <v>2852</v>
      </c>
      <c r="B7" s="3021">
        <f>SUM(H14:H23)</f>
        <v>0</v>
      </c>
      <c r="C7" s="3021">
        <f t="shared" si="0"/>
        <v>0</v>
      </c>
      <c r="D7" s="3021">
        <f t="shared" si="1"/>
        <v>0</v>
      </c>
      <c r="E7" s="3022"/>
      <c r="F7" s="3022"/>
    </row>
    <row r="8" spans="1:9" ht="16.5">
      <c r="A8" s="3021" t="s">
        <v>2853</v>
      </c>
      <c r="B8" s="3021">
        <f>SUM(I14:I23)</f>
        <v>0</v>
      </c>
      <c r="C8" s="3021">
        <f t="shared" si="0"/>
        <v>0</v>
      </c>
      <c r="D8" s="3021">
        <f t="shared" si="1"/>
        <v>0</v>
      </c>
      <c r="E8" s="3022"/>
      <c r="F8" s="3022"/>
    </row>
    <row r="9" spans="1:9" ht="16.5">
      <c r="A9" s="3021" t="s">
        <v>2854</v>
      </c>
      <c r="B9" s="3024"/>
      <c r="C9" s="3022"/>
      <c r="D9" s="3022"/>
      <c r="E9" s="3022"/>
      <c r="F9" s="3022"/>
    </row>
    <row r="10" spans="1:9" ht="16.5">
      <c r="A10" s="3021" t="s">
        <v>2855</v>
      </c>
      <c r="B10" s="3024"/>
      <c r="C10" s="3022"/>
      <c r="D10" s="3022"/>
      <c r="E10" s="3022"/>
      <c r="F10" s="3022"/>
    </row>
    <row r="11" spans="1:9" ht="16.5">
      <c r="A11" s="3021" t="s">
        <v>2872</v>
      </c>
      <c r="B11" s="3024"/>
      <c r="C11" s="3022"/>
      <c r="D11" s="3022"/>
      <c r="E11" s="3022"/>
      <c r="F11" s="3022"/>
    </row>
    <row r="12" spans="1:9" ht="16.5">
      <c r="A12" s="3022"/>
      <c r="B12" s="3022"/>
      <c r="C12" s="3022"/>
      <c r="D12" s="3022"/>
      <c r="E12" s="3022"/>
      <c r="F12" s="3022"/>
    </row>
    <row r="13" spans="1:9" ht="33">
      <c r="A13" s="3027" t="s">
        <v>2871</v>
      </c>
      <c r="B13" s="3025" t="s">
        <v>2843</v>
      </c>
      <c r="C13" s="3025" t="s">
        <v>2844</v>
      </c>
      <c r="D13" s="3025" t="s">
        <v>2856</v>
      </c>
      <c r="E13" s="3021" t="s">
        <v>2870</v>
      </c>
      <c r="F13" s="3021" t="s">
        <v>2849</v>
      </c>
      <c r="G13" s="3025" t="s">
        <v>2857</v>
      </c>
      <c r="H13" s="3025" t="s">
        <v>2858</v>
      </c>
      <c r="I13" s="3025" t="s">
        <v>2859</v>
      </c>
    </row>
    <row r="14" spans="1:9" ht="16.5">
      <c r="A14" s="3028" t="s">
        <v>2869</v>
      </c>
      <c r="B14" s="3025">
        <f>'结果表-办公'!L38</f>
        <v>400500</v>
      </c>
      <c r="C14" s="3025">
        <f>'结果表-办公'!K38</f>
        <v>78298.679999999993</v>
      </c>
      <c r="D14" s="3025">
        <f ca="1">'结果表-办公'!C42</f>
        <v>640033</v>
      </c>
      <c r="E14" s="3025">
        <f ca="1">ROUND(D14*10000/B14,0)</f>
        <v>15981</v>
      </c>
      <c r="F14" s="3025">
        <f ca="1">ROUND(D14*10000/C14,0)</f>
        <v>81743</v>
      </c>
      <c r="G14" s="3025" t="str">
        <f>'结果表-办公'!C44</f>
        <v>——</v>
      </c>
      <c r="H14" s="3025" t="str">
        <f>'结果表-办公'!C45</f>
        <v>——</v>
      </c>
      <c r="I14" s="3025" t="str">
        <f>'结果表-办公'!C46</f>
        <v>——</v>
      </c>
    </row>
    <row r="15" spans="1:9" ht="16.5">
      <c r="A15" s="3028" t="s">
        <v>2860</v>
      </c>
      <c r="B15" s="3029"/>
      <c r="C15" s="3029"/>
      <c r="D15" s="3029"/>
      <c r="E15" s="3025" t="e">
        <f t="shared" ref="E15:E23" si="2">ROUND(D15*10000/B15,0)</f>
        <v>#DIV/0!</v>
      </c>
      <c r="F15" s="3025" t="e">
        <f t="shared" ref="F15:F23" si="3">ROUND(D15*10000/C15,0)</f>
        <v>#DIV/0!</v>
      </c>
      <c r="G15" s="3026"/>
      <c r="H15" s="3026"/>
      <c r="I15" s="3029"/>
    </row>
    <row r="16" spans="1:9" ht="16.5">
      <c r="A16" s="3028" t="s">
        <v>2861</v>
      </c>
      <c r="B16" s="3029"/>
      <c r="C16" s="3029"/>
      <c r="D16" s="3029"/>
      <c r="E16" s="3025" t="e">
        <f t="shared" si="2"/>
        <v>#DIV/0!</v>
      </c>
      <c r="F16" s="3025" t="e">
        <f t="shared" si="3"/>
        <v>#DIV/0!</v>
      </c>
      <c r="G16" s="3026"/>
      <c r="H16" s="3026"/>
      <c r="I16" s="3029"/>
    </row>
    <row r="17" spans="1:9" ht="16.5">
      <c r="A17" s="3028" t="s">
        <v>2862</v>
      </c>
      <c r="B17" s="3029"/>
      <c r="C17" s="3029"/>
      <c r="D17" s="3029"/>
      <c r="E17" s="3025" t="e">
        <f t="shared" si="2"/>
        <v>#DIV/0!</v>
      </c>
      <c r="F17" s="3025" t="e">
        <f t="shared" si="3"/>
        <v>#DIV/0!</v>
      </c>
      <c r="G17" s="3026"/>
      <c r="H17" s="3026"/>
      <c r="I17" s="3029"/>
    </row>
    <row r="18" spans="1:9" ht="16.5">
      <c r="A18" s="3028" t="s">
        <v>2863</v>
      </c>
      <c r="B18" s="3029"/>
      <c r="C18" s="3029"/>
      <c r="D18" s="3029"/>
      <c r="E18" s="3025" t="e">
        <f t="shared" si="2"/>
        <v>#DIV/0!</v>
      </c>
      <c r="F18" s="3025" t="e">
        <f t="shared" si="3"/>
        <v>#DIV/0!</v>
      </c>
      <c r="G18" s="3029"/>
      <c r="H18" s="3029"/>
      <c r="I18" s="3029"/>
    </row>
    <row r="19" spans="1:9" ht="16.5">
      <c r="A19" s="3028" t="s">
        <v>2864</v>
      </c>
      <c r="B19" s="3029"/>
      <c r="C19" s="3029"/>
      <c r="D19" s="3029"/>
      <c r="E19" s="3025" t="e">
        <f t="shared" si="2"/>
        <v>#DIV/0!</v>
      </c>
      <c r="F19" s="3025" t="e">
        <f t="shared" si="3"/>
        <v>#DIV/0!</v>
      </c>
      <c r="G19" s="3029"/>
      <c r="H19" s="3029"/>
      <c r="I19" s="3029"/>
    </row>
    <row r="20" spans="1:9" ht="16.5">
      <c r="A20" s="3028" t="s">
        <v>2865</v>
      </c>
      <c r="B20" s="3029"/>
      <c r="C20" s="3029"/>
      <c r="D20" s="3029"/>
      <c r="E20" s="3025" t="e">
        <f t="shared" si="2"/>
        <v>#DIV/0!</v>
      </c>
      <c r="F20" s="3025" t="e">
        <f t="shared" si="3"/>
        <v>#DIV/0!</v>
      </c>
      <c r="G20" s="3029"/>
      <c r="H20" s="3029"/>
      <c r="I20" s="3029"/>
    </row>
    <row r="21" spans="1:9" ht="16.5">
      <c r="A21" s="3028" t="s">
        <v>2866</v>
      </c>
      <c r="B21" s="3029"/>
      <c r="C21" s="3029"/>
      <c r="D21" s="3029"/>
      <c r="E21" s="3025" t="e">
        <f t="shared" si="2"/>
        <v>#DIV/0!</v>
      </c>
      <c r="F21" s="3025" t="e">
        <f t="shared" si="3"/>
        <v>#DIV/0!</v>
      </c>
      <c r="G21" s="3029"/>
      <c r="H21" s="3029"/>
      <c r="I21" s="3029"/>
    </row>
    <row r="22" spans="1:9" ht="16.5">
      <c r="A22" s="3028" t="s">
        <v>2867</v>
      </c>
      <c r="B22" s="3029"/>
      <c r="C22" s="3029"/>
      <c r="D22" s="3029"/>
      <c r="E22" s="3025" t="e">
        <f t="shared" si="2"/>
        <v>#DIV/0!</v>
      </c>
      <c r="F22" s="3025" t="e">
        <f t="shared" si="3"/>
        <v>#DIV/0!</v>
      </c>
      <c r="G22" s="3029"/>
      <c r="H22" s="3029"/>
      <c r="I22" s="3029"/>
    </row>
    <row r="23" spans="1:9" ht="16.5">
      <c r="A23" s="3028" t="s">
        <v>2868</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K66"/>
  <sheetViews>
    <sheetView topLeftCell="C37" workbookViewId="0">
      <selection activeCell="L69" sqref="L69"/>
    </sheetView>
  </sheetViews>
  <sheetFormatPr defaultRowHeight="13.5"/>
  <sheetData>
    <row r="66" spans="11:11">
      <c r="K66" s="3213" t="s">
        <v>3057</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
  <sheetViews>
    <sheetView topLeftCell="A58" workbookViewId="0">
      <selection activeCell="Q22" sqref="Q22"/>
    </sheetView>
  </sheetViews>
  <sheetFormatPr defaultRowHeight="13.5"/>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N12"/>
  <sheetViews>
    <sheetView workbookViewId="0">
      <selection activeCell="P31" sqref="P31"/>
    </sheetView>
  </sheetViews>
  <sheetFormatPr defaultRowHeight="13.5"/>
  <sheetData>
    <row r="1" spans="1:14">
      <c r="A1" s="3213" t="s">
        <v>3089</v>
      </c>
      <c r="B1" s="3213">
        <f>B3+J3</f>
        <v>400500</v>
      </c>
    </row>
    <row r="3" spans="1:14">
      <c r="A3" s="3220" t="s">
        <v>3075</v>
      </c>
      <c r="B3" s="3228">
        <v>230500</v>
      </c>
      <c r="D3" s="3226"/>
      <c r="E3" s="3225" t="s">
        <v>3076</v>
      </c>
      <c r="F3" s="3225" t="s">
        <v>3077</v>
      </c>
      <c r="G3" s="3225" t="s">
        <v>3078</v>
      </c>
      <c r="I3" s="3227" t="s">
        <v>3087</v>
      </c>
      <c r="J3" s="3229">
        <v>170000</v>
      </c>
      <c r="L3" s="3226"/>
      <c r="M3" s="3225" t="s">
        <v>3076</v>
      </c>
      <c r="N3" s="3225" t="s">
        <v>3077</v>
      </c>
    </row>
    <row r="4" spans="1:14">
      <c r="A4" s="3223" t="s">
        <v>3076</v>
      </c>
      <c r="B4" s="3221">
        <v>33267</v>
      </c>
      <c r="D4" s="3225" t="s">
        <v>3079</v>
      </c>
      <c r="E4" s="3223">
        <v>3127</v>
      </c>
      <c r="F4" s="3222">
        <v>49980</v>
      </c>
      <c r="G4" s="3222"/>
      <c r="I4" s="3223" t="s">
        <v>3076</v>
      </c>
      <c r="J4" s="3221">
        <v>23598</v>
      </c>
      <c r="L4" s="3225" t="s">
        <v>3079</v>
      </c>
      <c r="M4" s="3221"/>
      <c r="N4" s="3222">
        <v>42893</v>
      </c>
    </row>
    <row r="5" spans="1:14">
      <c r="A5" s="3224" t="s">
        <v>3077</v>
      </c>
      <c r="B5" s="3222">
        <v>196879</v>
      </c>
      <c r="D5" s="3225" t="s">
        <v>3080</v>
      </c>
      <c r="E5" s="3223">
        <v>3840</v>
      </c>
      <c r="F5" s="3222">
        <v>48763</v>
      </c>
      <c r="G5" s="3222"/>
      <c r="I5" s="3223" t="s">
        <v>3088</v>
      </c>
      <c r="J5" s="3221">
        <v>28590</v>
      </c>
      <c r="L5" s="3225" t="s">
        <v>3080</v>
      </c>
      <c r="M5" s="3221"/>
      <c r="N5" s="3222">
        <v>36653</v>
      </c>
    </row>
    <row r="6" spans="1:14">
      <c r="A6" s="3224" t="s">
        <v>3078</v>
      </c>
      <c r="B6" s="3222">
        <v>354</v>
      </c>
      <c r="D6" s="3225" t="s">
        <v>3081</v>
      </c>
      <c r="E6" s="3221">
        <v>3930</v>
      </c>
      <c r="F6" s="3222">
        <v>48524</v>
      </c>
      <c r="G6" s="3222"/>
      <c r="I6" s="3224" t="s">
        <v>3077</v>
      </c>
      <c r="J6" s="3222">
        <v>116871</v>
      </c>
      <c r="L6" s="3225" t="s">
        <v>3081</v>
      </c>
      <c r="M6" s="3221"/>
      <c r="N6" s="3222">
        <v>37325</v>
      </c>
    </row>
    <row r="7" spans="1:14">
      <c r="D7" s="3225" t="s">
        <v>3082</v>
      </c>
      <c r="E7" s="3221">
        <v>4628</v>
      </c>
      <c r="F7" s="3222">
        <v>49613</v>
      </c>
      <c r="G7" s="3222"/>
      <c r="I7" s="3224" t="s">
        <v>3078</v>
      </c>
      <c r="J7" s="3222">
        <v>941</v>
      </c>
      <c r="L7" s="3225" t="s">
        <v>3082</v>
      </c>
      <c r="M7" s="3221">
        <v>28590</v>
      </c>
      <c r="N7" s="3222"/>
    </row>
    <row r="8" spans="1:14">
      <c r="D8" s="3225" t="s">
        <v>3083</v>
      </c>
      <c r="E8" s="3221">
        <v>5705</v>
      </c>
      <c r="F8" s="3222"/>
      <c r="G8" s="3219"/>
      <c r="L8" s="3225" t="s">
        <v>3083</v>
      </c>
      <c r="M8" s="3221">
        <v>23598</v>
      </c>
      <c r="N8" s="3222">
        <v>941</v>
      </c>
    </row>
    <row r="9" spans="1:14">
      <c r="D9" s="3225"/>
      <c r="E9" s="3221">
        <v>1874</v>
      </c>
      <c r="F9" s="3222"/>
      <c r="G9" s="3222"/>
      <c r="L9" s="3225"/>
      <c r="M9" s="3226">
        <f>SUM(M7:M8)</f>
        <v>52188</v>
      </c>
      <c r="N9" s="3226">
        <f>SUM(N4:N8)</f>
        <v>117812</v>
      </c>
    </row>
    <row r="10" spans="1:14">
      <c r="D10" s="3225" t="s">
        <v>3084</v>
      </c>
      <c r="E10" s="3221">
        <v>5185</v>
      </c>
      <c r="F10" s="3222"/>
      <c r="G10" s="3222"/>
    </row>
    <row r="11" spans="1:14">
      <c r="D11" s="3225" t="s">
        <v>3085</v>
      </c>
      <c r="E11" s="3221">
        <v>4978</v>
      </c>
      <c r="F11" s="3222"/>
      <c r="G11" s="3222">
        <v>354</v>
      </c>
    </row>
    <row r="12" spans="1:14">
      <c r="D12" s="3225" t="s">
        <v>3086</v>
      </c>
      <c r="E12" s="3226">
        <f>SUM(E4:E11)</f>
        <v>33267</v>
      </c>
      <c r="F12" s="3226">
        <f>SUM(F4:F7)</f>
        <v>196880</v>
      </c>
      <c r="G12" s="3226">
        <v>354</v>
      </c>
    </row>
  </sheetData>
  <phoneticPr fontId="228"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W40" sqref="W40"/>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2" customFormat="1">
      <c r="B1" s="3575" t="s">
        <v>2577</v>
      </c>
      <c r="C1" s="3575"/>
      <c r="D1" s="3575"/>
      <c r="E1" s="3575"/>
      <c r="F1" s="3575"/>
      <c r="G1" s="3574" t="s">
        <v>2578</v>
      </c>
      <c r="H1" s="3574"/>
      <c r="I1" s="3574"/>
      <c r="J1" s="3574"/>
      <c r="K1" s="3574"/>
      <c r="L1" s="3574"/>
      <c r="N1" s="3574" t="s">
        <v>2579</v>
      </c>
      <c r="O1" s="3574"/>
      <c r="P1" s="3574"/>
      <c r="Q1" s="3574"/>
      <c r="R1" s="2633"/>
      <c r="S1" s="3574" t="s">
        <v>2580</v>
      </c>
      <c r="T1" s="3574"/>
      <c r="U1" s="3574"/>
      <c r="V1" s="3574"/>
      <c r="X1" s="3573" t="s">
        <v>2640</v>
      </c>
      <c r="Y1" s="3574"/>
      <c r="Z1" s="3574"/>
      <c r="AA1" s="3574"/>
      <c r="AB1" s="3574"/>
      <c r="AD1" s="3573" t="s">
        <v>2644</v>
      </c>
      <c r="AE1" s="3574"/>
      <c r="AF1" s="3574"/>
      <c r="AG1" s="3574"/>
      <c r="AH1" s="3574"/>
    </row>
    <row r="2" spans="1:34" s="2735" customFormat="1" ht="14.25" thickBot="1">
      <c r="B2" s="2743" t="s">
        <v>2581</v>
      </c>
      <c r="C2" s="2743" t="s">
        <v>2642</v>
      </c>
      <c r="D2" s="2736" t="s">
        <v>1645</v>
      </c>
      <c r="E2" s="2736" t="s">
        <v>1950</v>
      </c>
      <c r="F2" s="2743" t="s">
        <v>2643</v>
      </c>
      <c r="G2" s="2739"/>
      <c r="H2" s="2738"/>
      <c r="I2" s="2743" t="s">
        <v>2954</v>
      </c>
      <c r="J2" s="2736" t="s">
        <v>2956</v>
      </c>
      <c r="K2" s="2736" t="s">
        <v>2957</v>
      </c>
      <c r="L2" s="2743" t="s">
        <v>2958</v>
      </c>
      <c r="N2" s="2743" t="s">
        <v>2581</v>
      </c>
      <c r="O2" s="2736" t="s">
        <v>2955</v>
      </c>
      <c r="P2" s="2736" t="s">
        <v>1950</v>
      </c>
      <c r="Q2" s="2743" t="s">
        <v>2643</v>
      </c>
      <c r="R2" s="2737"/>
      <c r="S2" s="2743" t="s">
        <v>2581</v>
      </c>
      <c r="T2" s="2736" t="s">
        <v>2955</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10" customFormat="1" ht="14.25">
      <c r="A3" s="3122" t="s">
        <v>2967</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9"/>
      <c r="X4" s="2733"/>
      <c r="Y4" s="2733"/>
      <c r="Z4" s="2733"/>
      <c r="AA4" s="2733"/>
      <c r="AB4" s="2733"/>
      <c r="AD4" s="2653"/>
      <c r="AE4" s="2653"/>
      <c r="AF4" s="2653"/>
      <c r="AG4" s="2653"/>
      <c r="AH4" s="2653"/>
    </row>
    <row r="5" spans="1:34" s="3091" customFormat="1">
      <c r="A5" s="3089" t="s">
        <v>2979</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2018</v>
      </c>
      <c r="H5" s="3090">
        <v>4</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20" t="s">
        <v>2968</v>
      </c>
      <c r="X5" s="3094">
        <f>ROUND(SUMPRODUCT(PRODUCT(1+N6:N$24)),4)</f>
        <v>1.54</v>
      </c>
      <c r="Y5" s="3094">
        <f>ROUND(SUMPRODUCT(PRODUCT(1+O6:O$24)),4)</f>
        <v>1.3547</v>
      </c>
      <c r="Z5" s="3094">
        <f t="shared" ref="Z5" si="10">Y5</f>
        <v>1.3547</v>
      </c>
      <c r="AA5" s="3094">
        <f>ROUND(SUMPRODUCT(PRODUCT(1+P6:P$24)),4)</f>
        <v>1.605</v>
      </c>
      <c r="AB5" s="3094">
        <f>ROUND(SUMPRODUCT(PRODUCT(1+Q6:Q$24)),4)</f>
        <v>1.3265</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40" customFormat="1" ht="13.5" thickBot="1">
      <c r="A6" s="2634" t="s">
        <v>2977</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109"/>
      <c r="H6" s="2638">
        <v>3</v>
      </c>
      <c r="I6" s="2638">
        <v>1.51</v>
      </c>
      <c r="J6" s="2638">
        <v>1.41</v>
      </c>
      <c r="K6" s="2638">
        <v>1.52</v>
      </c>
      <c r="L6" s="2649">
        <v>1.74</v>
      </c>
      <c r="M6" s="2642"/>
      <c r="N6" s="2643">
        <f t="shared" ref="N6" si="16">I6/100</f>
        <v>1.5100000000000001E-2</v>
      </c>
      <c r="O6" s="2644">
        <f t="shared" ref="O6" si="17">J6/100</f>
        <v>1.41E-2</v>
      </c>
      <c r="P6" s="2644">
        <f t="shared" ref="P6" si="18">K6/100</f>
        <v>1.52E-2</v>
      </c>
      <c r="Q6" s="2644">
        <f t="shared" ref="Q6" si="19">L6/100</f>
        <v>1.7399999999999999E-2</v>
      </c>
      <c r="R6" s="2645"/>
      <c r="S6" s="2651"/>
      <c r="T6" s="2652"/>
      <c r="U6" s="2652"/>
      <c r="V6" s="2652"/>
      <c r="W6" s="2642"/>
      <c r="X6" s="2733">
        <f>ROUND(SUMPRODUCT(PRODUCT(1+N6:N$23)),4)</f>
        <v>1.4956</v>
      </c>
      <c r="Y6" s="2733">
        <f>ROUND(SUMPRODUCT(PRODUCT(1+O6:O$23)),4)</f>
        <v>1.3237000000000001</v>
      </c>
      <c r="Z6" s="2733">
        <f t="shared" ref="Z6" si="20">Y6</f>
        <v>1.3237000000000001</v>
      </c>
      <c r="AA6" s="2733">
        <f>ROUND(SUMPRODUCT(PRODUCT(1+P6:P$23)),4)</f>
        <v>1.554</v>
      </c>
      <c r="AB6" s="2733">
        <f>ROUND(SUMPRODUCT(PRODUCT(1+Q6:Q$23)),4)</f>
        <v>1.3087</v>
      </c>
      <c r="AC6" s="2642"/>
      <c r="AD6" s="2653">
        <f>ROUND(AVERAGE(I6:I$24)/100,4)</f>
        <v>2.3099999999999999E-2</v>
      </c>
      <c r="AE6" s="2653">
        <f>ROUND(AVERAGE(J6:J$24)/100,4)</f>
        <v>1.61E-2</v>
      </c>
      <c r="AF6" s="2653">
        <f t="shared" ref="AF6" si="21">AE6</f>
        <v>1.61E-2</v>
      </c>
      <c r="AG6" s="2653">
        <f>ROUND(AVERAGE(K6:K$24)/100,4)</f>
        <v>2.53E-2</v>
      </c>
      <c r="AH6" s="2653">
        <f>ROUND(AVERAGE(L6:L$24)/100,4)</f>
        <v>1.4999999999999999E-2</v>
      </c>
    </row>
    <row r="7" spans="1:34" s="2740" customFormat="1" ht="13.5" thickBot="1">
      <c r="A7" s="2634" t="s">
        <v>2978</v>
      </c>
      <c r="B7" s="2648">
        <f>B8*(1+N7)</f>
        <v>453.11529869999993</v>
      </c>
      <c r="C7" s="2648">
        <f t="shared" ref="C7" si="22">C8*(1+O7)</f>
        <v>336.47787264000004</v>
      </c>
      <c r="D7" s="2648">
        <f t="shared" ref="D7" si="23">C7</f>
        <v>336.47787264000004</v>
      </c>
      <c r="E7" s="2648">
        <f t="shared" ref="E7" si="24">E8*(1+P7)</f>
        <v>647.35186823999993</v>
      </c>
      <c r="F7" s="2648">
        <f t="shared" ref="F7" si="25">F8*(1+Q7)</f>
        <v>295.73229452000004</v>
      </c>
      <c r="G7" s="3109"/>
      <c r="H7" s="2638">
        <v>2</v>
      </c>
      <c r="I7" s="2638">
        <v>1.49</v>
      </c>
      <c r="J7" s="2638">
        <v>0.96</v>
      </c>
      <c r="K7" s="2638">
        <v>1.58</v>
      </c>
      <c r="L7" s="2649">
        <v>2.44</v>
      </c>
      <c r="M7" s="2642"/>
      <c r="N7" s="2643">
        <f t="shared" ref="N7" si="26">I7/100</f>
        <v>1.49E-2</v>
      </c>
      <c r="O7" s="2644">
        <f t="shared" ref="O7" si="27">J7/100</f>
        <v>9.5999999999999992E-3</v>
      </c>
      <c r="P7" s="2644">
        <f t="shared" ref="P7" si="28">K7/100</f>
        <v>1.5800000000000002E-2</v>
      </c>
      <c r="Q7" s="2644">
        <f t="shared" ref="Q7" si="29">L7/100</f>
        <v>2.4399999999999998E-2</v>
      </c>
      <c r="R7" s="2645"/>
      <c r="S7" s="2651"/>
      <c r="T7" s="2652"/>
      <c r="U7" s="2652"/>
      <c r="V7" s="2652"/>
      <c r="W7" s="2642"/>
      <c r="X7" s="2733">
        <f>ROUND(SUMPRODUCT(PRODUCT(1+N7:N$23)),4)</f>
        <v>1.4733000000000001</v>
      </c>
      <c r="Y7" s="2733">
        <f>ROUND(SUMPRODUCT(PRODUCT(1+O7:O$23)),4)</f>
        <v>1.3052999999999999</v>
      </c>
      <c r="Z7" s="2733">
        <f t="shared" ref="Z7" si="30">Y7</f>
        <v>1.3052999999999999</v>
      </c>
      <c r="AA7" s="2733">
        <f>ROUND(SUMPRODUCT(PRODUCT(1+P7:P$23)),4)</f>
        <v>1.5306999999999999</v>
      </c>
      <c r="AB7" s="2733">
        <f>ROUND(SUMPRODUCT(PRODUCT(1+Q7:Q$23)),4)</f>
        <v>1.2863</v>
      </c>
      <c r="AC7" s="2642"/>
      <c r="AD7" s="2653">
        <f>ROUND(AVERAGE(I7:I$24)/100,4)</f>
        <v>2.35E-2</v>
      </c>
      <c r="AE7" s="2653">
        <f>ROUND(AVERAGE(J7:J$24)/100,4)</f>
        <v>1.6199999999999999E-2</v>
      </c>
      <c r="AF7" s="2653">
        <f t="shared" ref="AF7" si="31">AE7</f>
        <v>1.6199999999999999E-2</v>
      </c>
      <c r="AG7" s="2653">
        <f>ROUND(AVERAGE(K7:K$24)/100,4)</f>
        <v>2.5899999999999999E-2</v>
      </c>
      <c r="AH7" s="2653">
        <f>ROUND(AVERAGE(L7:L$24)/100,4)</f>
        <v>1.49E-2</v>
      </c>
    </row>
    <row r="8" spans="1:34" s="2740" customFormat="1" ht="13.5" thickBot="1">
      <c r="A8" s="2634" t="s">
        <v>2974</v>
      </c>
      <c r="B8" s="2648">
        <f>B9*(1+N8)</f>
        <v>446.46299999999997</v>
      </c>
      <c r="C8" s="2648">
        <f t="shared" ref="C8" si="32">C9*(1+O8)</f>
        <v>333.27840000000003</v>
      </c>
      <c r="D8" s="2648">
        <f t="shared" ref="D8:D13" si="33">C8</f>
        <v>333.27840000000003</v>
      </c>
      <c r="E8" s="2648">
        <f t="shared" ref="E8" si="34">E9*(1+P8)</f>
        <v>637.28279999999995</v>
      </c>
      <c r="F8" s="2648">
        <f t="shared" ref="F8" si="35">F9*(1+Q8)</f>
        <v>288.68830000000003</v>
      </c>
      <c r="G8" s="3109"/>
      <c r="H8" s="2638">
        <v>1</v>
      </c>
      <c r="I8" s="2638">
        <v>1.7</v>
      </c>
      <c r="J8" s="2638">
        <v>1.92</v>
      </c>
      <c r="K8" s="2638">
        <v>1.64</v>
      </c>
      <c r="L8" s="2649">
        <v>2.0099999999999998</v>
      </c>
      <c r="M8" s="2642"/>
      <c r="N8" s="2643">
        <f t="shared" ref="N8:N13" si="36">I8/100</f>
        <v>1.7000000000000001E-2</v>
      </c>
      <c r="O8" s="2644">
        <f t="shared" ref="O8" si="37">J8/100</f>
        <v>1.9199999999999998E-2</v>
      </c>
      <c r="P8" s="2644">
        <f t="shared" ref="P8" si="38">K8/100</f>
        <v>1.6399999999999998E-2</v>
      </c>
      <c r="Q8" s="2644">
        <f t="shared" ref="Q8" si="39">L8/100</f>
        <v>2.0099999999999996E-2</v>
      </c>
      <c r="R8" s="2645"/>
      <c r="S8" s="2651">
        <f>B8/B9-1</f>
        <v>1.6999999999999904E-2</v>
      </c>
      <c r="T8" s="2652">
        <f>C8/C9-1</f>
        <v>1.9200000000000106E-2</v>
      </c>
      <c r="U8" s="2652">
        <f>E8/E9-1</f>
        <v>1.639999999999997E-2</v>
      </c>
      <c r="V8" s="2652">
        <f>F8/F9-1</f>
        <v>2.0100000000000007E-2</v>
      </c>
      <c r="W8" s="2642"/>
      <c r="X8" s="2733">
        <f>ROUND(SUMPRODUCT(PRODUCT(1+N8:N$23)),4)</f>
        <v>1.4517</v>
      </c>
      <c r="Y8" s="2733">
        <f>ROUND(SUMPRODUCT(PRODUCT(1+O8:O$23)),4)</f>
        <v>1.2928999999999999</v>
      </c>
      <c r="Z8" s="2733">
        <f t="shared" ref="Z8" si="40">Y8</f>
        <v>1.2928999999999999</v>
      </c>
      <c r="AA8" s="2733">
        <f>ROUND(SUMPRODUCT(PRODUCT(1+P8:P$23)),4)</f>
        <v>1.5068999999999999</v>
      </c>
      <c r="AB8" s="2733">
        <f>ROUND(SUMPRODUCT(PRODUCT(1+Q8:Q$23)),4)</f>
        <v>1.2557</v>
      </c>
      <c r="AC8" s="2642"/>
      <c r="AD8" s="2653">
        <f>ROUND(AVERAGE(I8:I$24)/100,4)</f>
        <v>2.4E-2</v>
      </c>
      <c r="AE8" s="2653">
        <f>ROUND(AVERAGE(J8:J$24)/100,4)</f>
        <v>1.66E-2</v>
      </c>
      <c r="AF8" s="2653">
        <f t="shared" ref="AF8" si="41">AE8</f>
        <v>1.66E-2</v>
      </c>
      <c r="AG8" s="2653">
        <f>ROUND(AVERAGE(K8:K$24)/100,4)</f>
        <v>2.6499999999999999E-2</v>
      </c>
      <c r="AH8" s="2653">
        <f>ROUND(AVERAGE(L8:L$24)/100,4)</f>
        <v>1.43E-2</v>
      </c>
    </row>
    <row r="9" spans="1:34">
      <c r="A9" s="2634" t="s">
        <v>2965</v>
      </c>
      <c r="B9" s="3124">
        <v>439</v>
      </c>
      <c r="C9" s="3124">
        <v>327</v>
      </c>
      <c r="D9" s="3124">
        <f t="shared" si="33"/>
        <v>327</v>
      </c>
      <c r="E9" s="3124">
        <v>627</v>
      </c>
      <c r="F9" s="3125">
        <v>283</v>
      </c>
      <c r="G9" s="3107">
        <v>2017</v>
      </c>
      <c r="H9" s="2635">
        <v>4</v>
      </c>
      <c r="I9" s="2635">
        <v>1.71</v>
      </c>
      <c r="J9" s="2635">
        <v>1.78</v>
      </c>
      <c r="K9" s="2635">
        <v>1.71</v>
      </c>
      <c r="L9" s="2636">
        <v>1.43</v>
      </c>
      <c r="N9" s="2656">
        <f t="shared" si="36"/>
        <v>1.7100000000000001E-2</v>
      </c>
      <c r="O9" s="2657">
        <f t="shared" ref="O9" si="42">J9/100</f>
        <v>1.78E-2</v>
      </c>
      <c r="P9" s="2657">
        <f t="shared" ref="P9" si="43">K9/100</f>
        <v>1.7100000000000001E-2</v>
      </c>
      <c r="Q9" s="2657">
        <f t="shared" ref="Q9" si="44">L9/100</f>
        <v>1.43E-2</v>
      </c>
      <c r="R9" s="2645"/>
      <c r="S9" s="2646"/>
      <c r="T9" s="2647"/>
      <c r="U9" s="2647"/>
      <c r="V9" s="2647"/>
      <c r="X9" s="2733">
        <f>ROUND(SUMPRODUCT(PRODUCT(1+N9:N$23)),4)</f>
        <v>1.4274</v>
      </c>
      <c r="Y9" s="2733">
        <f>ROUND(SUMPRODUCT(PRODUCT(1+O9:O$23)),4)</f>
        <v>1.2685</v>
      </c>
      <c r="Z9" s="2733">
        <f t="shared" si="0"/>
        <v>1.2685</v>
      </c>
      <c r="AA9" s="2733">
        <f>ROUND(SUMPRODUCT(PRODUCT(1+P9:P$23)),4)</f>
        <v>1.4825999999999999</v>
      </c>
      <c r="AB9" s="2733">
        <f>ROUND(SUMPRODUCT(PRODUCT(1+Q9:Q$23)),4)</f>
        <v>1.2309000000000001</v>
      </c>
      <c r="AD9" s="2653">
        <f>ROUND(AVERAGE(I9:I$24)/100,4)</f>
        <v>2.4500000000000001E-2</v>
      </c>
      <c r="AE9" s="2653">
        <f>ROUND(AVERAGE(J9:J$24)/100,4)</f>
        <v>1.6500000000000001E-2</v>
      </c>
      <c r="AF9" s="2653">
        <f t="shared" si="1"/>
        <v>1.6500000000000001E-2</v>
      </c>
      <c r="AG9" s="2653">
        <f>ROUND(AVERAGE(K9:K$24)/100,4)</f>
        <v>2.7099999999999999E-2</v>
      </c>
      <c r="AH9" s="2653">
        <f>ROUND(AVERAGE(L9:L$24)/100,4)</f>
        <v>1.3899999999999999E-2</v>
      </c>
    </row>
    <row r="10" spans="1:34" s="2740" customFormat="1" ht="13.5" thickBot="1">
      <c r="A10" s="2634" t="s">
        <v>2969</v>
      </c>
      <c r="B10" s="2648">
        <f t="shared" ref="B10:C12" si="45">B11*(1+N10)</f>
        <v>431.80730811680002</v>
      </c>
      <c r="C10" s="2648">
        <f t="shared" si="45"/>
        <v>320.57880516480003</v>
      </c>
      <c r="D10" s="2648">
        <f t="shared" si="33"/>
        <v>320.57880516480003</v>
      </c>
      <c r="E10" s="2648">
        <f t="shared" ref="E10:F12" si="46">E11*(1+P10)</f>
        <v>615.96110553196797</v>
      </c>
      <c r="F10" s="2648">
        <f t="shared" si="46"/>
        <v>279.46777300108801</v>
      </c>
      <c r="G10" s="3109"/>
      <c r="H10" s="2638">
        <v>3</v>
      </c>
      <c r="I10" s="2638">
        <v>2.98</v>
      </c>
      <c r="J10" s="2638">
        <v>2.11</v>
      </c>
      <c r="K10" s="2638">
        <v>3.24</v>
      </c>
      <c r="L10" s="2649">
        <v>1.72</v>
      </c>
      <c r="M10" s="2642"/>
      <c r="N10" s="2643">
        <f t="shared" si="36"/>
        <v>2.98E-2</v>
      </c>
      <c r="O10" s="2661">
        <f t="shared" ref="O10:O11" si="47">J10/100</f>
        <v>2.1099999999999997E-2</v>
      </c>
      <c r="P10" s="2661">
        <f t="shared" ref="P10:P11" si="48">K10/100</f>
        <v>3.2400000000000005E-2</v>
      </c>
      <c r="Q10" s="2661">
        <f t="shared" ref="Q10:Q11" si="49">L10/100</f>
        <v>1.72E-2</v>
      </c>
      <c r="R10" s="2645"/>
      <c r="S10" s="2651"/>
      <c r="T10" s="2652"/>
      <c r="U10" s="2652"/>
      <c r="V10" s="2652"/>
      <c r="W10" s="2642"/>
      <c r="X10" s="2733">
        <f>ROUND(SUMPRODUCT(PRODUCT(1+N10:N$23)),4)</f>
        <v>1.4034</v>
      </c>
      <c r="Y10" s="2733">
        <f>ROUND(SUMPRODUCT(PRODUCT(1+O10:O$23)),4)</f>
        <v>1.2463</v>
      </c>
      <c r="Z10" s="2733">
        <f t="shared" si="0"/>
        <v>1.2463</v>
      </c>
      <c r="AA10" s="2733">
        <f>ROUND(SUMPRODUCT(PRODUCT(1+P10:P$23)),4)</f>
        <v>1.4577</v>
      </c>
      <c r="AB10" s="2733">
        <f>ROUND(SUMPRODUCT(PRODUCT(1+Q10:Q$23)),4)</f>
        <v>1.2136</v>
      </c>
      <c r="AC10" s="2642"/>
      <c r="AD10" s="2653">
        <f>ROUND(AVERAGE(I10:I$24)/100,4)</f>
        <v>2.4899999999999999E-2</v>
      </c>
      <c r="AE10" s="2653">
        <f>ROUND(AVERAGE(J10:J$24)/100,4)</f>
        <v>1.6400000000000001E-2</v>
      </c>
      <c r="AF10" s="2653">
        <f t="shared" si="1"/>
        <v>1.6400000000000001E-2</v>
      </c>
      <c r="AG10" s="2653">
        <f>ROUND(AVERAGE(K10:K$24)/100,4)</f>
        <v>2.7799999999999998E-2</v>
      </c>
      <c r="AH10" s="2653">
        <f>ROUND(AVERAGE(L10:L$24)/100,4)</f>
        <v>1.3899999999999999E-2</v>
      </c>
    </row>
    <row r="11" spans="1:34" s="2632" customFormat="1">
      <c r="A11" s="2634" t="s">
        <v>2582</v>
      </c>
      <c r="B11" s="2648">
        <f t="shared" si="45"/>
        <v>419.31181600000002</v>
      </c>
      <c r="C11" s="2648">
        <f t="shared" si="45"/>
        <v>313.95436800000004</v>
      </c>
      <c r="D11" s="2648">
        <f t="shared" si="33"/>
        <v>313.95436800000004</v>
      </c>
      <c r="E11" s="2648">
        <f t="shared" si="46"/>
        <v>596.63028431999999</v>
      </c>
      <c r="F11" s="2648">
        <f t="shared" si="46"/>
        <v>274.74220703999998</v>
      </c>
      <c r="G11" s="3108"/>
      <c r="H11" s="2639">
        <v>2</v>
      </c>
      <c r="I11" s="2639">
        <v>3.4</v>
      </c>
      <c r="J11" s="2639">
        <v>2</v>
      </c>
      <c r="K11" s="2639">
        <v>3.82</v>
      </c>
      <c r="L11" s="2650">
        <v>1.68</v>
      </c>
      <c r="N11" s="2643">
        <f t="shared" si="36"/>
        <v>3.4000000000000002E-2</v>
      </c>
      <c r="O11" s="2661">
        <f t="shared" si="47"/>
        <v>0.02</v>
      </c>
      <c r="P11" s="2661">
        <f t="shared" si="48"/>
        <v>3.8199999999999998E-2</v>
      </c>
      <c r="Q11" s="2661">
        <f t="shared" si="49"/>
        <v>1.6799999999999999E-2</v>
      </c>
      <c r="R11" s="2633"/>
      <c r="S11" s="2637"/>
      <c r="T11" s="2633"/>
      <c r="U11" s="2633"/>
      <c r="V11" s="2633"/>
      <c r="X11" s="2733">
        <f>ROUND(SUMPRODUCT(PRODUCT(1+N11:N$23)),4)</f>
        <v>1.3628</v>
      </c>
      <c r="Y11" s="2733">
        <f>ROUND(SUMPRODUCT(PRODUCT(1+O11:O$23)),4)</f>
        <v>1.2205999999999999</v>
      </c>
      <c r="Z11" s="2733">
        <f t="shared" si="0"/>
        <v>1.2205999999999999</v>
      </c>
      <c r="AA11" s="2733">
        <f>ROUND(SUMPRODUCT(PRODUCT(1+P11:P$23)),4)</f>
        <v>1.4118999999999999</v>
      </c>
      <c r="AB11" s="2733">
        <f>ROUND(SUMPRODUCT(PRODUCT(1+Q11:Q$23)),4)</f>
        <v>1.1930000000000001</v>
      </c>
      <c r="AD11" s="2653">
        <f>ROUND(AVERAGE(I11:I$24)/100,4)</f>
        <v>2.46E-2</v>
      </c>
      <c r="AE11" s="2653">
        <f>ROUND(AVERAGE(J11:J$24)/100,4)</f>
        <v>1.6E-2</v>
      </c>
      <c r="AF11" s="2653">
        <f t="shared" si="1"/>
        <v>1.6E-2</v>
      </c>
      <c r="AG11" s="2653">
        <f>ROUND(AVERAGE(K11:K$24)/100,4)</f>
        <v>2.75E-2</v>
      </c>
      <c r="AH11" s="2653">
        <f>ROUND(AVERAGE(L11:L$24)/100,4)</f>
        <v>1.37E-2</v>
      </c>
    </row>
    <row r="12" spans="1:34" s="2740" customFormat="1" ht="13.5" thickBot="1">
      <c r="A12" s="2634" t="s">
        <v>2583</v>
      </c>
      <c r="B12" s="2648">
        <f t="shared" si="45"/>
        <v>405.524</v>
      </c>
      <c r="C12" s="2648">
        <f t="shared" si="45"/>
        <v>307.79840000000002</v>
      </c>
      <c r="D12" s="2648">
        <f t="shared" si="33"/>
        <v>307.79840000000002</v>
      </c>
      <c r="E12" s="2648">
        <f t="shared" si="46"/>
        <v>574.67759999999998</v>
      </c>
      <c r="F12" s="2648">
        <f t="shared" si="46"/>
        <v>270.20280000000002</v>
      </c>
      <c r="G12" s="3109"/>
      <c r="H12" s="2638">
        <v>1</v>
      </c>
      <c r="I12" s="2638">
        <v>3.45</v>
      </c>
      <c r="J12" s="2638">
        <v>1.92</v>
      </c>
      <c r="K12" s="2638">
        <v>3.92</v>
      </c>
      <c r="L12" s="2649">
        <v>1.58</v>
      </c>
      <c r="M12" s="2642"/>
      <c r="N12" s="2651">
        <f t="shared" si="36"/>
        <v>3.4500000000000003E-2</v>
      </c>
      <c r="O12" s="2652">
        <f t="shared" ref="O12" si="50">J12/100</f>
        <v>1.9199999999999998E-2</v>
      </c>
      <c r="P12" s="2652">
        <f t="shared" ref="P12" si="51">K12/100</f>
        <v>3.9199999999999999E-2</v>
      </c>
      <c r="Q12" s="2652">
        <f t="shared" ref="Q12" si="52">L12/100</f>
        <v>1.5800000000000002E-2</v>
      </c>
      <c r="R12" s="2645"/>
      <c r="S12" s="2651">
        <f>B12/B13-1</f>
        <v>3.4499999999999975E-2</v>
      </c>
      <c r="T12" s="2652">
        <f>C12/C13-1</f>
        <v>1.9200000000000106E-2</v>
      </c>
      <c r="U12" s="2652">
        <f>E12/E13-1</f>
        <v>3.9199999999999902E-2</v>
      </c>
      <c r="V12" s="2652">
        <f>F12/F13-1</f>
        <v>1.5800000000000036E-2</v>
      </c>
      <c r="W12" s="2642"/>
      <c r="X12" s="2733">
        <f>ROUND(SUMPRODUCT(PRODUCT(1+N12:N$23)),4)</f>
        <v>1.3180000000000001</v>
      </c>
      <c r="Y12" s="2733">
        <f>ROUND(SUMPRODUCT(PRODUCT(1+O12:O$23)),4)</f>
        <v>1.1966000000000001</v>
      </c>
      <c r="Z12" s="2733">
        <f t="shared" si="0"/>
        <v>1.1966000000000001</v>
      </c>
      <c r="AA12" s="2733">
        <f>ROUND(SUMPRODUCT(PRODUCT(1+P12:P$23)),4)</f>
        <v>1.36</v>
      </c>
      <c r="AB12" s="2733">
        <f>ROUND(SUMPRODUCT(PRODUCT(1+Q12:Q$23)),4)</f>
        <v>1.1733</v>
      </c>
      <c r="AC12" s="2642"/>
      <c r="AD12" s="2653">
        <f>ROUND(AVERAGE(I12:I$24)/100,4)</f>
        <v>2.3900000000000001E-2</v>
      </c>
      <c r="AE12" s="2653">
        <f>ROUND(AVERAGE(J12:J$24)/100,4)</f>
        <v>1.5699999999999999E-2</v>
      </c>
      <c r="AF12" s="2653">
        <f t="shared" si="1"/>
        <v>1.5699999999999999E-2</v>
      </c>
      <c r="AG12" s="2653">
        <f>ROUND(AVERAGE(K12:K$24)/100,4)</f>
        <v>2.6599999999999999E-2</v>
      </c>
      <c r="AH12" s="2653">
        <f>ROUND(AVERAGE(L12:L$24)/100,4)</f>
        <v>1.34E-2</v>
      </c>
    </row>
    <row r="13" spans="1:34">
      <c r="A13" s="2634" t="s">
        <v>971</v>
      </c>
      <c r="B13" s="2640">
        <v>392</v>
      </c>
      <c r="C13" s="2640">
        <v>302</v>
      </c>
      <c r="D13" s="2640">
        <f t="shared" si="33"/>
        <v>302</v>
      </c>
      <c r="E13" s="2640">
        <v>553</v>
      </c>
      <c r="F13" s="2641">
        <v>266</v>
      </c>
      <c r="G13" s="3572">
        <v>2016</v>
      </c>
      <c r="H13" s="2635">
        <v>4</v>
      </c>
      <c r="I13" s="2635">
        <v>4.5599999999999996</v>
      </c>
      <c r="J13" s="2635">
        <v>2.15</v>
      </c>
      <c r="K13" s="2635">
        <v>5.32</v>
      </c>
      <c r="L13" s="2636">
        <v>1.57</v>
      </c>
      <c r="N13" s="2643">
        <f t="shared" si="36"/>
        <v>4.5599999999999995E-2</v>
      </c>
      <c r="O13" s="2644">
        <f t="shared" ref="O13:Q28" si="53">J13/100</f>
        <v>2.1499999999999998E-2</v>
      </c>
      <c r="P13" s="2644">
        <f t="shared" si="53"/>
        <v>5.3200000000000004E-2</v>
      </c>
      <c r="Q13" s="2644">
        <f t="shared" si="53"/>
        <v>1.5700000000000002E-2</v>
      </c>
      <c r="R13" s="2645"/>
      <c r="S13" s="2646"/>
      <c r="T13" s="2647"/>
      <c r="U13" s="2647"/>
      <c r="V13" s="2647"/>
      <c r="X13" s="2733">
        <f>ROUND(SUMPRODUCT(PRODUCT(1+N13:N$23)),4)</f>
        <v>1.274</v>
      </c>
      <c r="Y13" s="2733">
        <f>ROUND(SUMPRODUCT(PRODUCT(1+O13:O$23)),4)</f>
        <v>1.1740999999999999</v>
      </c>
      <c r="Z13" s="2733">
        <f t="shared" si="0"/>
        <v>1.1740999999999999</v>
      </c>
      <c r="AA13" s="2733">
        <f>ROUND(SUMPRODUCT(PRODUCT(1+P13:P$23)),4)</f>
        <v>1.3087</v>
      </c>
      <c r="AB13" s="2733">
        <f>ROUND(SUMPRODUCT(PRODUCT(1+Q13:Q$23)),4)</f>
        <v>1.1551</v>
      </c>
      <c r="AD13" s="2653">
        <f>ROUND(AVERAGE(I13:I$24)/100,4)</f>
        <v>2.3E-2</v>
      </c>
      <c r="AE13" s="2653">
        <f>ROUND(AVERAGE(J13:J$24)/100,4)</f>
        <v>1.55E-2</v>
      </c>
      <c r="AF13" s="2653">
        <f t="shared" si="1"/>
        <v>1.55E-2</v>
      </c>
      <c r="AG13" s="2653">
        <f>ROUND(AVERAGE(K13:K$24)/100,4)</f>
        <v>2.5600000000000001E-2</v>
      </c>
      <c r="AH13" s="2653">
        <f>ROUND(AVERAGE(L13:L$24)/100,4)</f>
        <v>1.32E-2</v>
      </c>
    </row>
    <row r="14" spans="1:34">
      <c r="A14" s="2634" t="s">
        <v>970</v>
      </c>
      <c r="B14" s="2648">
        <f t="shared" ref="B14:C16" si="54">B13/(1+N13)</f>
        <v>374.90436113236416</v>
      </c>
      <c r="C14" s="2648">
        <f t="shared" si="54"/>
        <v>295.64366128242779</v>
      </c>
      <c r="D14" s="2648">
        <f t="shared" ref="D14:D73" si="55">C14</f>
        <v>295.64366128242779</v>
      </c>
      <c r="E14" s="2648">
        <f t="shared" ref="E14:F16" si="56">E13/(1+P13)</f>
        <v>525.06646410938095</v>
      </c>
      <c r="F14" s="2648">
        <f t="shared" si="56"/>
        <v>261.88835286009646</v>
      </c>
      <c r="G14" s="3570"/>
      <c r="H14" s="2638">
        <v>3</v>
      </c>
      <c r="I14" s="2638">
        <v>4.12</v>
      </c>
      <c r="J14" s="2638">
        <v>2</v>
      </c>
      <c r="K14" s="2638">
        <v>4.79</v>
      </c>
      <c r="L14" s="2649">
        <v>1.97</v>
      </c>
      <c r="N14" s="2643">
        <f t="shared" ref="N14:Q48" si="57">I14/100</f>
        <v>4.1200000000000001E-2</v>
      </c>
      <c r="O14" s="2644">
        <f t="shared" si="53"/>
        <v>0.02</v>
      </c>
      <c r="P14" s="2644">
        <f t="shared" si="53"/>
        <v>4.7899999999999998E-2</v>
      </c>
      <c r="Q14" s="2644">
        <f t="shared" si="53"/>
        <v>1.9699999999999999E-2</v>
      </c>
      <c r="R14" s="2645"/>
      <c r="S14" s="2643"/>
      <c r="T14" s="2644"/>
      <c r="U14" s="2644"/>
      <c r="V14" s="2644"/>
      <c r="X14" s="2733">
        <f>ROUND(SUMPRODUCT(PRODUCT(1+N14:N$23)),4)</f>
        <v>1.2184999999999999</v>
      </c>
      <c r="Y14" s="2733">
        <f>ROUND(SUMPRODUCT(PRODUCT(1+O14:O$23)),4)</f>
        <v>1.1494</v>
      </c>
      <c r="Z14" s="2733">
        <f t="shared" si="0"/>
        <v>1.1494</v>
      </c>
      <c r="AA14" s="2733">
        <f>ROUND(SUMPRODUCT(PRODUCT(1+P14:P$23)),4)</f>
        <v>1.2425999999999999</v>
      </c>
      <c r="AB14" s="2733">
        <f>ROUND(SUMPRODUCT(PRODUCT(1+Q14:Q$23)),4)</f>
        <v>1.1372</v>
      </c>
      <c r="AD14" s="2653">
        <f>ROUND(AVERAGE(I14:I$24)/100,4)</f>
        <v>2.0899999999999998E-2</v>
      </c>
      <c r="AE14" s="2653">
        <f>ROUND(AVERAGE(J14:J$24)/100,4)</f>
        <v>1.49E-2</v>
      </c>
      <c r="AF14" s="2653">
        <f t="shared" si="1"/>
        <v>1.49E-2</v>
      </c>
      <c r="AG14" s="2653">
        <f>ROUND(AVERAGE(K14:K$24)/100,4)</f>
        <v>2.3099999999999999E-2</v>
      </c>
      <c r="AH14" s="2653">
        <f>ROUND(AVERAGE(L14:L$24)/100,4)</f>
        <v>1.2999999999999999E-2</v>
      </c>
    </row>
    <row r="15" spans="1:34">
      <c r="A15" s="2634" t="s">
        <v>960</v>
      </c>
      <c r="B15" s="2648">
        <f t="shared" si="54"/>
        <v>360.06949782209392</v>
      </c>
      <c r="C15" s="2648">
        <f t="shared" si="54"/>
        <v>289.84672674747821</v>
      </c>
      <c r="D15" s="2648">
        <f t="shared" si="55"/>
        <v>289.84672674747821</v>
      </c>
      <c r="E15" s="2648">
        <f t="shared" si="56"/>
        <v>501.06543001181495</v>
      </c>
      <c r="F15" s="2648">
        <f t="shared" si="56"/>
        <v>256.82882500744967</v>
      </c>
      <c r="G15" s="3570"/>
      <c r="H15" s="2639">
        <v>2</v>
      </c>
      <c r="I15" s="2639">
        <v>3.85</v>
      </c>
      <c r="J15" s="2639">
        <v>1.95</v>
      </c>
      <c r="K15" s="2639">
        <v>4.4800000000000004</v>
      </c>
      <c r="L15" s="2650">
        <v>1.41</v>
      </c>
      <c r="N15" s="2643">
        <f t="shared" si="57"/>
        <v>3.85E-2</v>
      </c>
      <c r="O15" s="2644">
        <f t="shared" si="53"/>
        <v>1.95E-2</v>
      </c>
      <c r="P15" s="2644">
        <f t="shared" si="53"/>
        <v>4.4800000000000006E-2</v>
      </c>
      <c r="Q15" s="2644">
        <f t="shared" si="53"/>
        <v>1.41E-2</v>
      </c>
      <c r="R15" s="2645"/>
      <c r="S15" s="2643"/>
      <c r="T15" s="2644"/>
      <c r="U15" s="2644"/>
      <c r="V15" s="2644"/>
      <c r="X15" s="2733">
        <f>ROUND(SUMPRODUCT(PRODUCT(1+N15:N$23)),4)</f>
        <v>1.1702999999999999</v>
      </c>
      <c r="Y15" s="2733">
        <f>ROUND(SUMPRODUCT(PRODUCT(1+O15:O$23)),4)</f>
        <v>1.1269</v>
      </c>
      <c r="Z15" s="2733">
        <f t="shared" si="0"/>
        <v>1.1269</v>
      </c>
      <c r="AA15" s="2733">
        <f>ROUND(SUMPRODUCT(PRODUCT(1+P15:P$23)),4)</f>
        <v>1.1858</v>
      </c>
      <c r="AB15" s="2733">
        <f>ROUND(SUMPRODUCT(PRODUCT(1+Q15:Q$23)),4)</f>
        <v>1.1152</v>
      </c>
      <c r="AD15" s="2653">
        <f>ROUND(AVERAGE(I15:I$24)/100,4)</f>
        <v>1.89E-2</v>
      </c>
      <c r="AE15" s="2653">
        <f>ROUND(AVERAGE(J15:J$24)/100,4)</f>
        <v>1.44E-2</v>
      </c>
      <c r="AF15" s="2653">
        <f t="shared" si="1"/>
        <v>1.44E-2</v>
      </c>
      <c r="AG15" s="2653">
        <f>ROUND(AVERAGE(K15:K$24)/100,4)</f>
        <v>2.06E-2</v>
      </c>
      <c r="AH15" s="2653">
        <f>ROUND(AVERAGE(L15:L$24)/100,4)</f>
        <v>1.23E-2</v>
      </c>
    </row>
    <row r="16" spans="1:34" ht="13.5" thickBot="1">
      <c r="A16" s="2634" t="s">
        <v>969</v>
      </c>
      <c r="B16" s="2648">
        <f t="shared" si="54"/>
        <v>346.720748986128</v>
      </c>
      <c r="C16" s="2648">
        <f t="shared" si="54"/>
        <v>284.30282172386285</v>
      </c>
      <c r="D16" s="2648">
        <f t="shared" si="55"/>
        <v>284.30282172386285</v>
      </c>
      <c r="E16" s="2648">
        <f t="shared" si="56"/>
        <v>479.58023546306947</v>
      </c>
      <c r="F16" s="2648">
        <f t="shared" si="56"/>
        <v>253.25788877571213</v>
      </c>
      <c r="G16" s="3571"/>
      <c r="H16" s="2638">
        <v>1</v>
      </c>
      <c r="I16" s="2638">
        <v>4.09</v>
      </c>
      <c r="J16" s="2638">
        <v>2.93</v>
      </c>
      <c r="K16" s="2638">
        <v>4.54</v>
      </c>
      <c r="L16" s="2649">
        <v>1.48</v>
      </c>
      <c r="N16" s="2643">
        <f t="shared" si="57"/>
        <v>4.0899999999999999E-2</v>
      </c>
      <c r="O16" s="2644">
        <f t="shared" si="53"/>
        <v>2.9300000000000003E-2</v>
      </c>
      <c r="P16" s="2644">
        <f t="shared" si="53"/>
        <v>4.5400000000000003E-2</v>
      </c>
      <c r="Q16" s="2644">
        <f t="shared" si="53"/>
        <v>1.4800000000000001E-2</v>
      </c>
      <c r="R16" s="2645"/>
      <c r="S16" s="2651">
        <f>B16/B17-1</f>
        <v>4.1203450408792808E-2</v>
      </c>
      <c r="T16" s="2652">
        <f>C16/C17-1</f>
        <v>2.6363977342465095E-2</v>
      </c>
      <c r="U16" s="2652">
        <f>E16/E17-1</f>
        <v>4.4837114298626357E-2</v>
      </c>
      <c r="V16" s="2652">
        <f>F16/F17-1</f>
        <v>1.7099954922538574E-2</v>
      </c>
      <c r="X16" s="2733">
        <f>ROUND(SUMPRODUCT(PRODUCT(1+N16:N$23)),4)</f>
        <v>1.1269</v>
      </c>
      <c r="Y16" s="2733">
        <f>ROUND(SUMPRODUCT(PRODUCT(1+O16:O$23)),4)</f>
        <v>1.1052999999999999</v>
      </c>
      <c r="Z16" s="2733">
        <f t="shared" si="0"/>
        <v>1.1052999999999999</v>
      </c>
      <c r="AA16" s="2733">
        <f>ROUND(SUMPRODUCT(PRODUCT(1+P16:P$23)),4)</f>
        <v>1.1349</v>
      </c>
      <c r="AB16" s="2733">
        <f>ROUND(SUMPRODUCT(PRODUCT(1+Q16:Q$23)),4)</f>
        <v>1.0996999999999999</v>
      </c>
      <c r="AD16" s="2653">
        <f>ROUND(AVERAGE(I16:I$24)/100,4)</f>
        <v>1.67E-2</v>
      </c>
      <c r="AE16" s="2653">
        <f>ROUND(AVERAGE(J16:J$24)/100,4)</f>
        <v>1.38E-2</v>
      </c>
      <c r="AF16" s="2653">
        <f t="shared" si="1"/>
        <v>1.38E-2</v>
      </c>
      <c r="AG16" s="2653">
        <f>ROUND(AVERAGE(K16:K$24)/100,4)</f>
        <v>1.7899999999999999E-2</v>
      </c>
      <c r="AH16" s="2653">
        <f>ROUND(AVERAGE(L16:L$24)/100,4)</f>
        <v>1.21E-2</v>
      </c>
    </row>
    <row r="17" spans="1:34" ht="13.5" thickBot="1">
      <c r="A17" s="2634" t="s">
        <v>968</v>
      </c>
      <c r="B17" s="2640">
        <v>333</v>
      </c>
      <c r="C17" s="2640">
        <v>277</v>
      </c>
      <c r="D17" s="2640">
        <f t="shared" si="55"/>
        <v>277</v>
      </c>
      <c r="E17" s="2640">
        <v>459</v>
      </c>
      <c r="F17" s="2641">
        <v>249</v>
      </c>
      <c r="G17" s="3569">
        <v>2015</v>
      </c>
      <c r="H17" s="2654">
        <v>4</v>
      </c>
      <c r="I17" s="2654">
        <v>1.63</v>
      </c>
      <c r="J17" s="2654">
        <v>1.1100000000000001</v>
      </c>
      <c r="K17" s="2654">
        <v>1.77</v>
      </c>
      <c r="L17" s="2655">
        <v>1.89</v>
      </c>
      <c r="N17" s="2656">
        <f t="shared" si="57"/>
        <v>1.6299999999999999E-2</v>
      </c>
      <c r="O17" s="2657">
        <f t="shared" si="53"/>
        <v>1.11E-2</v>
      </c>
      <c r="P17" s="2657">
        <f t="shared" si="53"/>
        <v>1.77E-2</v>
      </c>
      <c r="Q17" s="2657">
        <f t="shared" si="53"/>
        <v>1.89E-2</v>
      </c>
      <c r="R17" s="2645"/>
      <c r="X17" s="2733">
        <f>ROUND(SUMPRODUCT(PRODUCT(1+N17:N$23)),4)</f>
        <v>1.0826</v>
      </c>
      <c r="Y17" s="2733">
        <f>ROUND(SUMPRODUCT(PRODUCT(1+O17:O$23)),4)</f>
        <v>1.0738000000000001</v>
      </c>
      <c r="Z17" s="2733">
        <f t="shared" si="0"/>
        <v>1.0738000000000001</v>
      </c>
      <c r="AA17" s="2733">
        <f>ROUND(SUMPRODUCT(PRODUCT(1+P17:P$23)),4)</f>
        <v>1.0855999999999999</v>
      </c>
      <c r="AB17" s="2733">
        <f>ROUND(SUMPRODUCT(PRODUCT(1+Q17:Q$23)),4)</f>
        <v>1.0837000000000001</v>
      </c>
      <c r="AD17" s="2653">
        <f>ROUND(AVERAGE(I17:I$24)/100,4)</f>
        <v>1.37E-2</v>
      </c>
      <c r="AE17" s="2653">
        <f>ROUND(AVERAGE(J17:J$24)/100,4)</f>
        <v>1.1900000000000001E-2</v>
      </c>
      <c r="AF17" s="2653">
        <f t="shared" si="1"/>
        <v>1.1900000000000001E-2</v>
      </c>
      <c r="AG17" s="2653">
        <f>ROUND(AVERAGE(K17:K$24)/100,4)</f>
        <v>1.4500000000000001E-2</v>
      </c>
      <c r="AH17" s="2653">
        <f>ROUND(AVERAGE(L17:L$24)/100,4)</f>
        <v>1.18E-2</v>
      </c>
    </row>
    <row r="18" spans="1:34">
      <c r="A18" s="2634" t="s">
        <v>967</v>
      </c>
      <c r="B18" s="2648">
        <f t="shared" ref="B18:C20" si="58">B17/(1+N17)</f>
        <v>327.65915576109415</v>
      </c>
      <c r="C18" s="2648">
        <f t="shared" si="58"/>
        <v>273.95905449510434</v>
      </c>
      <c r="D18" s="2648">
        <f t="shared" si="55"/>
        <v>273.95905449510434</v>
      </c>
      <c r="E18" s="2648">
        <f t="shared" ref="E18:F20" si="59">E17/(1+P17)</f>
        <v>451.01699911565294</v>
      </c>
      <c r="F18" s="2648">
        <f t="shared" si="59"/>
        <v>244.38119540681129</v>
      </c>
      <c r="G18" s="3570"/>
      <c r="H18" s="2659">
        <v>3</v>
      </c>
      <c r="I18" s="2659">
        <v>1.65</v>
      </c>
      <c r="J18" s="2659">
        <v>0.92</v>
      </c>
      <c r="K18" s="2659">
        <v>1.88</v>
      </c>
      <c r="L18" s="2660">
        <v>1.26</v>
      </c>
      <c r="N18" s="2643">
        <f t="shared" si="57"/>
        <v>1.6500000000000001E-2</v>
      </c>
      <c r="O18" s="2661">
        <f t="shared" si="53"/>
        <v>9.1999999999999998E-3</v>
      </c>
      <c r="P18" s="2661">
        <f t="shared" si="53"/>
        <v>1.8799999999999997E-2</v>
      </c>
      <c r="Q18" s="2661">
        <f t="shared" si="53"/>
        <v>1.26E-2</v>
      </c>
      <c r="R18" s="2645"/>
      <c r="S18" s="2643"/>
      <c r="T18" s="2644"/>
      <c r="U18" s="2644"/>
      <c r="V18" s="2644"/>
      <c r="X18" s="2733">
        <f>ROUND(SUMPRODUCT(PRODUCT(1+N18:N$23)),4)</f>
        <v>1.0651999999999999</v>
      </c>
      <c r="Y18" s="2733">
        <f>ROUND(SUMPRODUCT(PRODUCT(1+O18:O$23)),4)</f>
        <v>1.0621</v>
      </c>
      <c r="Z18" s="2733">
        <f t="shared" si="0"/>
        <v>1.0621</v>
      </c>
      <c r="AA18" s="2733">
        <f>ROUND(SUMPRODUCT(PRODUCT(1+P18:P$23)),4)</f>
        <v>1.0668</v>
      </c>
      <c r="AB18" s="2733">
        <f>ROUND(SUMPRODUCT(PRODUCT(1+Q18:Q$23)),4)</f>
        <v>1.0636000000000001</v>
      </c>
      <c r="AD18" s="2653">
        <f>ROUND(AVERAGE(I18:I$24)/100,4)</f>
        <v>1.3299999999999999E-2</v>
      </c>
      <c r="AE18" s="2653">
        <f>ROUND(AVERAGE(J18:J$24)/100,4)</f>
        <v>1.2E-2</v>
      </c>
      <c r="AF18" s="2653">
        <f t="shared" si="1"/>
        <v>1.2E-2</v>
      </c>
      <c r="AG18" s="2653">
        <f>ROUND(AVERAGE(K18:K$24)/100,4)</f>
        <v>1.4E-2</v>
      </c>
      <c r="AH18" s="2653">
        <f>ROUND(AVERAGE(L18:L$24)/100,4)</f>
        <v>1.0800000000000001E-2</v>
      </c>
    </row>
    <row r="19" spans="1:34">
      <c r="A19" s="2634" t="s">
        <v>966</v>
      </c>
      <c r="B19" s="2648">
        <f t="shared" si="58"/>
        <v>322.34053690220776</v>
      </c>
      <c r="C19" s="2648">
        <f t="shared" si="58"/>
        <v>271.46160770422546</v>
      </c>
      <c r="D19" s="2648">
        <f t="shared" si="55"/>
        <v>271.46160770422546</v>
      </c>
      <c r="E19" s="2648">
        <f t="shared" si="59"/>
        <v>442.69434542172456</v>
      </c>
      <c r="F19" s="2648">
        <f t="shared" si="59"/>
        <v>241.34030753190925</v>
      </c>
      <c r="G19" s="3570"/>
      <c r="H19" s="2639">
        <v>2</v>
      </c>
      <c r="I19" s="2639">
        <v>0.77</v>
      </c>
      <c r="J19" s="2639">
        <v>0.69</v>
      </c>
      <c r="K19" s="2639">
        <v>0.8</v>
      </c>
      <c r="L19" s="2650">
        <v>0.88</v>
      </c>
      <c r="N19" s="2643">
        <f t="shared" si="57"/>
        <v>7.7000000000000002E-3</v>
      </c>
      <c r="O19" s="2661">
        <f t="shared" si="53"/>
        <v>6.8999999999999999E-3</v>
      </c>
      <c r="P19" s="2661">
        <f t="shared" si="53"/>
        <v>8.0000000000000002E-3</v>
      </c>
      <c r="Q19" s="2661">
        <f t="shared" si="53"/>
        <v>8.8000000000000005E-3</v>
      </c>
      <c r="R19" s="2645"/>
      <c r="S19" s="2643"/>
      <c r="T19" s="2644"/>
      <c r="U19" s="2644"/>
      <c r="V19" s="2644"/>
      <c r="X19" s="2733">
        <f>ROUND(SUMPRODUCT(PRODUCT(1+N19:N$23)),4)</f>
        <v>1.048</v>
      </c>
      <c r="Y19" s="2733">
        <f>ROUND(SUMPRODUCT(PRODUCT(1+O19:O$23)),4)</f>
        <v>1.0524</v>
      </c>
      <c r="Z19" s="2733">
        <f t="shared" si="0"/>
        <v>1.0524</v>
      </c>
      <c r="AA19" s="2733">
        <f>ROUND(SUMPRODUCT(PRODUCT(1+P19:P$23)),4)</f>
        <v>1.0470999999999999</v>
      </c>
      <c r="AB19" s="2733">
        <f>ROUND(SUMPRODUCT(PRODUCT(1+Q19:Q$23)),4)</f>
        <v>1.0504</v>
      </c>
      <c r="AD19" s="2653">
        <f>ROUND(AVERAGE(I19:I$24)/100,4)</f>
        <v>1.2800000000000001E-2</v>
      </c>
      <c r="AE19" s="2653">
        <f>ROUND(AVERAGE(J19:J$24)/100,4)</f>
        <v>1.2500000000000001E-2</v>
      </c>
      <c r="AF19" s="2653">
        <f t="shared" si="1"/>
        <v>1.2500000000000001E-2</v>
      </c>
      <c r="AG19" s="2653">
        <f>ROUND(AVERAGE(K19:K$24)/100,4)</f>
        <v>1.32E-2</v>
      </c>
      <c r="AH19" s="2653">
        <f>ROUND(AVERAGE(L19:L$24)/100,4)</f>
        <v>1.0500000000000001E-2</v>
      </c>
    </row>
    <row r="20" spans="1:34">
      <c r="A20" s="2634" t="s">
        <v>965</v>
      </c>
      <c r="B20" s="2648">
        <f t="shared" si="58"/>
        <v>319.87748030386797</v>
      </c>
      <c r="C20" s="2648">
        <f t="shared" si="58"/>
        <v>269.60135833173649</v>
      </c>
      <c r="D20" s="2648">
        <f t="shared" si="55"/>
        <v>269.60135833173649</v>
      </c>
      <c r="E20" s="2648">
        <f t="shared" si="59"/>
        <v>439.18089823583784</v>
      </c>
      <c r="F20" s="2648">
        <f t="shared" si="59"/>
        <v>239.23503918706311</v>
      </c>
      <c r="G20" s="3571"/>
      <c r="H20" s="2638">
        <v>1</v>
      </c>
      <c r="I20" s="2638">
        <v>0.51</v>
      </c>
      <c r="J20" s="2638">
        <v>0.54</v>
      </c>
      <c r="K20" s="2638">
        <v>0.48</v>
      </c>
      <c r="L20" s="2649">
        <v>0.93</v>
      </c>
      <c r="N20" s="2651">
        <f t="shared" si="57"/>
        <v>5.1000000000000004E-3</v>
      </c>
      <c r="O20" s="2652">
        <f t="shared" si="53"/>
        <v>5.4000000000000003E-3</v>
      </c>
      <c r="P20" s="2652">
        <f t="shared" si="53"/>
        <v>4.7999999999999996E-3</v>
      </c>
      <c r="Q20" s="2652">
        <f t="shared" si="53"/>
        <v>9.300000000000001E-3</v>
      </c>
      <c r="R20" s="2645"/>
      <c r="S20" s="2651">
        <f>B20/B21-1</f>
        <v>5.9040261127922822E-3</v>
      </c>
      <c r="T20" s="2652">
        <f>C20/C21-1</f>
        <v>5.9752176557332781E-3</v>
      </c>
      <c r="U20" s="2652">
        <f>E20/E21-1</f>
        <v>4.9906138119859556E-3</v>
      </c>
      <c r="V20" s="2652">
        <f>F20/F21-1</f>
        <v>9.4305450930933787E-3</v>
      </c>
      <c r="X20" s="2733">
        <f>ROUND(SUMPRODUCT(PRODUCT(1+N20:N$23)),4)</f>
        <v>1.0399</v>
      </c>
      <c r="Y20" s="2733">
        <f>ROUND(SUMPRODUCT(PRODUCT(1+O20:O$23)),4)</f>
        <v>1.0451999999999999</v>
      </c>
      <c r="Z20" s="2733">
        <f t="shared" si="0"/>
        <v>1.0451999999999999</v>
      </c>
      <c r="AA20" s="2733">
        <f>ROUND(SUMPRODUCT(PRODUCT(1+P20:P$23)),4)</f>
        <v>1.0387999999999999</v>
      </c>
      <c r="AB20" s="2733">
        <f>ROUND(SUMPRODUCT(PRODUCT(1+Q20:Q$23)),4)</f>
        <v>1.0411999999999999</v>
      </c>
      <c r="AD20" s="2653">
        <f>ROUND(AVERAGE(I20:I$24)/100,4)</f>
        <v>1.38E-2</v>
      </c>
      <c r="AE20" s="2653">
        <f>ROUND(AVERAGE(J20:J$24)/100,4)</f>
        <v>1.3599999999999999E-2</v>
      </c>
      <c r="AF20" s="2653">
        <f t="shared" si="1"/>
        <v>1.3599999999999999E-2</v>
      </c>
      <c r="AG20" s="2653">
        <f>ROUND(AVERAGE(K20:K$24)/100,4)</f>
        <v>1.4200000000000001E-2</v>
      </c>
      <c r="AH20" s="2653">
        <f>ROUND(AVERAGE(L20:L$24)/100,4)</f>
        <v>1.0800000000000001E-2</v>
      </c>
    </row>
    <row r="21" spans="1:34" ht="13.5" thickBot="1">
      <c r="A21" s="2634" t="s">
        <v>964</v>
      </c>
      <c r="B21" s="2662">
        <v>318</v>
      </c>
      <c r="C21" s="2662">
        <v>268</v>
      </c>
      <c r="D21" s="2662">
        <f t="shared" si="55"/>
        <v>268</v>
      </c>
      <c r="E21" s="2662">
        <v>437</v>
      </c>
      <c r="F21" s="2663">
        <v>237</v>
      </c>
      <c r="G21" s="3569">
        <v>2014</v>
      </c>
      <c r="H21" s="2654">
        <v>4</v>
      </c>
      <c r="I21" s="2654">
        <v>0.21</v>
      </c>
      <c r="J21" s="2654">
        <v>0.41</v>
      </c>
      <c r="K21" s="2654">
        <v>0.12</v>
      </c>
      <c r="L21" s="2655">
        <v>0.89</v>
      </c>
      <c r="N21" s="2643">
        <f t="shared" si="57"/>
        <v>2.0999999999999999E-3</v>
      </c>
      <c r="O21" s="2644">
        <f t="shared" si="53"/>
        <v>4.0999999999999995E-3</v>
      </c>
      <c r="P21" s="2644">
        <f t="shared" si="53"/>
        <v>1.1999999999999999E-3</v>
      </c>
      <c r="Q21" s="2644">
        <f t="shared" si="53"/>
        <v>8.8999999999999999E-3</v>
      </c>
      <c r="R21" s="2645"/>
      <c r="S21" s="2646"/>
      <c r="T21" s="2647"/>
      <c r="U21" s="2647"/>
      <c r="V21" s="2647"/>
      <c r="X21" s="2733">
        <f>ROUND(SUMPRODUCT(PRODUCT(1+N21:N$23)),4)</f>
        <v>1.0347</v>
      </c>
      <c r="Y21" s="2733">
        <f>ROUND(SUMPRODUCT(PRODUCT(1+O21:O$23)),4)</f>
        <v>1.0395000000000001</v>
      </c>
      <c r="Z21" s="2733">
        <f t="shared" si="0"/>
        <v>1.0395000000000001</v>
      </c>
      <c r="AA21" s="2733">
        <f>ROUND(SUMPRODUCT(PRODUCT(1+P21:P$23)),4)</f>
        <v>1.0338000000000001</v>
      </c>
      <c r="AB21" s="2733">
        <f>ROUND(SUMPRODUCT(PRODUCT(1+Q21:Q$23)),4)</f>
        <v>1.0316000000000001</v>
      </c>
      <c r="AD21" s="2653">
        <f>ROUND(AVERAGE(I21:I$24)/100,4)</f>
        <v>1.6E-2</v>
      </c>
      <c r="AE21" s="2653">
        <f>ROUND(AVERAGE(J21:J$24)/100,4)</f>
        <v>1.5599999999999999E-2</v>
      </c>
      <c r="AF21" s="2653">
        <f t="shared" si="1"/>
        <v>1.5599999999999999E-2</v>
      </c>
      <c r="AG21" s="2653">
        <f>ROUND(AVERAGE(K21:K$24)/100,4)</f>
        <v>1.66E-2</v>
      </c>
      <c r="AH21" s="2653">
        <f>ROUND(AVERAGE(L21:L$24)/100,4)</f>
        <v>1.12E-2</v>
      </c>
    </row>
    <row r="22" spans="1:34">
      <c r="A22" s="2634" t="s">
        <v>963</v>
      </c>
      <c r="B22" s="2648">
        <f t="shared" ref="B22:C24" si="60">B21/(1+N21)</f>
        <v>317.33359944117353</v>
      </c>
      <c r="C22" s="2648">
        <f t="shared" si="60"/>
        <v>266.90568668459315</v>
      </c>
      <c r="D22" s="2648">
        <f t="shared" si="55"/>
        <v>266.90568668459315</v>
      </c>
      <c r="E22" s="2648">
        <f t="shared" ref="E22:F24" si="61">E21/(1+P21)</f>
        <v>436.47622852576905</v>
      </c>
      <c r="F22" s="2648">
        <f t="shared" si="61"/>
        <v>234.90930716622066</v>
      </c>
      <c r="G22" s="3570"/>
      <c r="H22" s="2664">
        <v>3</v>
      </c>
      <c r="I22" s="2664">
        <v>0.83</v>
      </c>
      <c r="J22" s="2664">
        <v>1.47</v>
      </c>
      <c r="K22" s="2664">
        <v>0.65</v>
      </c>
      <c r="L22" s="2665">
        <v>0.72</v>
      </c>
      <c r="N22" s="2643">
        <f t="shared" si="57"/>
        <v>8.3000000000000001E-3</v>
      </c>
      <c r="O22" s="2644">
        <f t="shared" si="53"/>
        <v>1.47E-2</v>
      </c>
      <c r="P22" s="2644">
        <f t="shared" si="53"/>
        <v>6.5000000000000006E-3</v>
      </c>
      <c r="Q22" s="2644">
        <f t="shared" si="53"/>
        <v>7.1999999999999998E-3</v>
      </c>
      <c r="R22" s="2645"/>
      <c r="S22" s="2643"/>
      <c r="T22" s="2644"/>
      <c r="U22" s="2644"/>
      <c r="V22" s="2644"/>
      <c r="X22" s="2733">
        <f>ROUND(SUMPRODUCT(PRODUCT(1+N22:N$23)),4)</f>
        <v>1.0325</v>
      </c>
      <c r="Y22" s="2733">
        <f>ROUND(SUMPRODUCT(PRODUCT(1+O22:O$23)),4)</f>
        <v>1.0353000000000001</v>
      </c>
      <c r="Z22" s="2733">
        <f t="shared" ref="Z22:Z23" si="62">Y22</f>
        <v>1.0353000000000001</v>
      </c>
      <c r="AA22" s="2733">
        <f>ROUND(SUMPRODUCT(PRODUCT(1+P22:P$23)),4)</f>
        <v>1.0326</v>
      </c>
      <c r="AB22" s="2733">
        <f>ROUND(SUMPRODUCT(PRODUCT(1+Q22:Q$23)),4)</f>
        <v>1.0225</v>
      </c>
      <c r="AD22" s="2653">
        <f>ROUND(AVERAGE(I22:I$24)/100,4)</f>
        <v>2.07E-2</v>
      </c>
      <c r="AE22" s="2653">
        <f>ROUND(AVERAGE(J22:J$24)/100,4)</f>
        <v>1.95E-2</v>
      </c>
      <c r="AF22" s="2653">
        <f t="shared" si="1"/>
        <v>1.95E-2</v>
      </c>
      <c r="AG22" s="2653">
        <f>ROUND(AVERAGE(K22:K$24)/100,4)</f>
        <v>2.1700000000000001E-2</v>
      </c>
      <c r="AH22" s="2653">
        <f>ROUND(AVERAGE(L22:L$24)/100,4)</f>
        <v>1.2E-2</v>
      </c>
    </row>
    <row r="23" spans="1:34" ht="13.5" thickBot="1">
      <c r="A23" s="2634" t="s">
        <v>962</v>
      </c>
      <c r="B23" s="2648">
        <f t="shared" si="60"/>
        <v>314.72141172386546</v>
      </c>
      <c r="C23" s="2648">
        <f t="shared" si="60"/>
        <v>263.03901319069001</v>
      </c>
      <c r="D23" s="2648">
        <f t="shared" si="55"/>
        <v>263.03901319069001</v>
      </c>
      <c r="E23" s="2648">
        <f t="shared" si="61"/>
        <v>433.65745506782821</v>
      </c>
      <c r="F23" s="2648">
        <f t="shared" si="61"/>
        <v>233.23005080045735</v>
      </c>
      <c r="G23" s="3570"/>
      <c r="H23" s="2654">
        <v>2</v>
      </c>
      <c r="I23" s="2654">
        <v>2.4</v>
      </c>
      <c r="J23" s="2654">
        <v>2.0299999999999998</v>
      </c>
      <c r="K23" s="2654">
        <v>2.59</v>
      </c>
      <c r="L23" s="2655">
        <v>1.52</v>
      </c>
      <c r="N23" s="2643">
        <f t="shared" si="57"/>
        <v>2.4E-2</v>
      </c>
      <c r="O23" s="2644">
        <f t="shared" si="53"/>
        <v>2.0299999999999999E-2</v>
      </c>
      <c r="P23" s="2644">
        <f t="shared" si="53"/>
        <v>2.5899999999999999E-2</v>
      </c>
      <c r="Q23" s="2644">
        <f t="shared" si="53"/>
        <v>1.52E-2</v>
      </c>
      <c r="R23" s="2645"/>
      <c r="S23" s="2643"/>
      <c r="T23" s="2644"/>
      <c r="U23" s="2644"/>
      <c r="V23" s="2644"/>
      <c r="X23" s="2733">
        <f>1+N23</f>
        <v>1.024</v>
      </c>
      <c r="Y23" s="2733">
        <f>1+O23</f>
        <v>1.0203</v>
      </c>
      <c r="Z23" s="2733">
        <f t="shared" si="62"/>
        <v>1.0203</v>
      </c>
      <c r="AA23" s="2733">
        <f>1+P23</f>
        <v>1.0259</v>
      </c>
      <c r="AB23" s="2733">
        <f>1+Q23</f>
        <v>1.0152000000000001</v>
      </c>
      <c r="AD23" s="2653">
        <f>ROUND(AVERAGE(I23:I$24)/100,4)</f>
        <v>2.69E-2</v>
      </c>
      <c r="AE23" s="2653">
        <f>ROUND(AVERAGE(J23:J$24)/100,4)</f>
        <v>2.1899999999999999E-2</v>
      </c>
      <c r="AF23" s="2653">
        <f t="shared" ref="AF23" si="63">AE23</f>
        <v>2.1899999999999999E-2</v>
      </c>
      <c r="AG23" s="2653">
        <f>ROUND(AVERAGE(K23:K$24)/100,4)</f>
        <v>2.9399999999999999E-2</v>
      </c>
      <c r="AH23" s="2653">
        <f>ROUND(AVERAGE(L23:L$24)/100,4)</f>
        <v>1.44E-2</v>
      </c>
    </row>
    <row r="24" spans="1:34" s="2670" customFormat="1" ht="13.5" thickBot="1">
      <c r="A24" s="2666" t="s">
        <v>961</v>
      </c>
      <c r="B24" s="2667">
        <f t="shared" si="60"/>
        <v>307.34512863658733</v>
      </c>
      <c r="C24" s="2667">
        <f t="shared" si="60"/>
        <v>257.80556031626975</v>
      </c>
      <c r="D24" s="2667">
        <f t="shared" si="55"/>
        <v>257.80556031626975</v>
      </c>
      <c r="E24" s="2667">
        <f t="shared" si="61"/>
        <v>422.70928459677179</v>
      </c>
      <c r="F24" s="2667">
        <f t="shared" si="61"/>
        <v>229.73803270336617</v>
      </c>
      <c r="G24" s="3571"/>
      <c r="H24" s="2668">
        <v>1</v>
      </c>
      <c r="I24" s="2668">
        <v>2.97</v>
      </c>
      <c r="J24" s="2668">
        <v>2.34</v>
      </c>
      <c r="K24" s="2668">
        <v>3.28</v>
      </c>
      <c r="L24" s="2669">
        <v>1.36</v>
      </c>
      <c r="N24" s="2671">
        <f t="shared" si="57"/>
        <v>2.9700000000000001E-2</v>
      </c>
      <c r="O24" s="2672">
        <f t="shared" si="53"/>
        <v>2.3399999999999997E-2</v>
      </c>
      <c r="P24" s="2672">
        <f t="shared" si="53"/>
        <v>3.2799999999999996E-2</v>
      </c>
      <c r="Q24" s="2672">
        <f t="shared" si="53"/>
        <v>1.3600000000000001E-2</v>
      </c>
      <c r="R24" s="2673"/>
      <c r="S24" s="2674">
        <f>B24/B25-1</f>
        <v>2.7910129219355539E-2</v>
      </c>
      <c r="T24" s="2675">
        <f>C24/C25-1</f>
        <v>2.3037937762975247E-2</v>
      </c>
      <c r="U24" s="2675">
        <f>E24/E25-1</f>
        <v>3.3519033243940788E-2</v>
      </c>
      <c r="V24" s="2675">
        <f>F24/F25-1</f>
        <v>1.2061818076502862E-2</v>
      </c>
      <c r="W24" s="2742" t="s">
        <v>2641</v>
      </c>
      <c r="X24" s="2744">
        <v>1</v>
      </c>
      <c r="Y24" s="2744">
        <v>1</v>
      </c>
      <c r="Z24" s="2744">
        <v>1</v>
      </c>
      <c r="AA24" s="2744">
        <v>1</v>
      </c>
      <c r="AB24" s="2744">
        <v>1</v>
      </c>
      <c r="AD24" s="2985">
        <f>I24/100</f>
        <v>2.9700000000000001E-2</v>
      </c>
      <c r="AE24" s="2985">
        <f>J24/100</f>
        <v>2.3399999999999997E-2</v>
      </c>
      <c r="AF24" s="2985">
        <f>AE24</f>
        <v>2.3399999999999997E-2</v>
      </c>
      <c r="AG24" s="2985">
        <f>K24/100</f>
        <v>3.2799999999999996E-2</v>
      </c>
      <c r="AH24" s="2985">
        <f>L24/100</f>
        <v>1.3600000000000001E-2</v>
      </c>
    </row>
    <row r="25" spans="1:34" ht="13.5" thickBot="1">
      <c r="A25" s="2634" t="s">
        <v>2584</v>
      </c>
      <c r="B25" s="2640">
        <v>299</v>
      </c>
      <c r="C25" s="2640">
        <v>252</v>
      </c>
      <c r="D25" s="2640">
        <f t="shared" si="55"/>
        <v>252</v>
      </c>
      <c r="E25" s="2640">
        <v>409</v>
      </c>
      <c r="F25" s="2641">
        <v>227</v>
      </c>
      <c r="G25" s="3576">
        <v>2013</v>
      </c>
      <c r="H25" s="2676">
        <v>4</v>
      </c>
      <c r="I25" s="2676">
        <v>1.83</v>
      </c>
      <c r="J25" s="2676">
        <v>1.68</v>
      </c>
      <c r="K25" s="2676">
        <v>1.97</v>
      </c>
      <c r="L25" s="2677">
        <v>0.87</v>
      </c>
      <c r="N25" s="2656">
        <f t="shared" si="57"/>
        <v>1.83E-2</v>
      </c>
      <c r="O25" s="2657">
        <f t="shared" si="53"/>
        <v>1.6799999999999999E-2</v>
      </c>
      <c r="P25" s="2657">
        <f t="shared" si="53"/>
        <v>1.9699999999999999E-2</v>
      </c>
      <c r="Q25" s="2657">
        <f t="shared" si="53"/>
        <v>8.6999999999999994E-3</v>
      </c>
      <c r="R25" s="2645"/>
      <c r="S25" s="2646"/>
      <c r="T25" s="2647"/>
      <c r="U25" s="2647"/>
      <c r="V25" s="2647"/>
      <c r="X25" s="2647"/>
      <c r="Y25" s="2647"/>
      <c r="Z25" s="2647"/>
    </row>
    <row r="26" spans="1:34">
      <c r="A26" s="2634" t="s">
        <v>2585</v>
      </c>
      <c r="B26" s="2648">
        <f t="shared" ref="B26:C28" si="64">B25/(1+N25)</f>
        <v>293.62663262299913</v>
      </c>
      <c r="C26" s="2648">
        <f t="shared" si="64"/>
        <v>247.83634933123525</v>
      </c>
      <c r="D26" s="2648">
        <f t="shared" si="55"/>
        <v>247.83634933123525</v>
      </c>
      <c r="E26" s="2648">
        <f t="shared" ref="E26:F28" si="65">E25/(1+P25)</f>
        <v>401.09836226341076</v>
      </c>
      <c r="F26" s="2648">
        <f t="shared" si="65"/>
        <v>225.04213343908003</v>
      </c>
      <c r="G26" s="3577"/>
      <c r="H26" s="2659">
        <v>3</v>
      </c>
      <c r="I26" s="2659">
        <v>1.86</v>
      </c>
      <c r="J26" s="2659">
        <v>1.72</v>
      </c>
      <c r="K26" s="2659">
        <v>1.98</v>
      </c>
      <c r="L26" s="2660">
        <v>0.88</v>
      </c>
      <c r="N26" s="2643">
        <f t="shared" si="57"/>
        <v>1.8600000000000002E-2</v>
      </c>
      <c r="O26" s="2661">
        <f t="shared" si="53"/>
        <v>1.72E-2</v>
      </c>
      <c r="P26" s="2661">
        <f t="shared" si="53"/>
        <v>1.9799999999999998E-2</v>
      </c>
      <c r="Q26" s="2661">
        <f t="shared" si="53"/>
        <v>8.8000000000000005E-3</v>
      </c>
      <c r="R26" s="2645"/>
      <c r="S26" s="2643"/>
      <c r="T26" s="2644"/>
      <c r="U26" s="2644"/>
      <c r="V26" s="2644"/>
    </row>
    <row r="27" spans="1:34">
      <c r="A27" s="2634" t="s">
        <v>2586</v>
      </c>
      <c r="B27" s="2648">
        <f t="shared" si="64"/>
        <v>288.2649053828776</v>
      </c>
      <c r="C27" s="2648">
        <f t="shared" si="64"/>
        <v>243.64564425013293</v>
      </c>
      <c r="D27" s="2648">
        <f t="shared" si="55"/>
        <v>243.64564425013293</v>
      </c>
      <c r="E27" s="2648">
        <f t="shared" si="65"/>
        <v>393.31080825986544</v>
      </c>
      <c r="F27" s="2648">
        <f t="shared" si="65"/>
        <v>223.07903790551154</v>
      </c>
      <c r="G27" s="3577"/>
      <c r="H27" s="2639">
        <v>2</v>
      </c>
      <c r="I27" s="2639">
        <v>2.04</v>
      </c>
      <c r="J27" s="2639">
        <v>2.33</v>
      </c>
      <c r="K27" s="2639">
        <v>2.0699999999999998</v>
      </c>
      <c r="L27" s="2650">
        <v>0.69</v>
      </c>
      <c r="N27" s="2643">
        <f t="shared" si="57"/>
        <v>2.0400000000000001E-2</v>
      </c>
      <c r="O27" s="2661">
        <f t="shared" si="53"/>
        <v>2.3300000000000001E-2</v>
      </c>
      <c r="P27" s="2661">
        <f t="shared" si="53"/>
        <v>2.07E-2</v>
      </c>
      <c r="Q27" s="2661">
        <f t="shared" si="53"/>
        <v>6.8999999999999999E-3</v>
      </c>
      <c r="R27" s="2645"/>
      <c r="S27" s="2643"/>
      <c r="T27" s="2644"/>
      <c r="U27" s="2644"/>
      <c r="V27" s="2644"/>
      <c r="X27" s="2745"/>
      <c r="Y27" s="2747"/>
    </row>
    <row r="28" spans="1:34">
      <c r="A28" s="2634" t="s">
        <v>2587</v>
      </c>
      <c r="B28" s="2648">
        <f t="shared" si="64"/>
        <v>282.50186729015837</v>
      </c>
      <c r="C28" s="2648">
        <f t="shared" si="64"/>
        <v>238.09796174155468</v>
      </c>
      <c r="D28" s="2648">
        <f t="shared" si="55"/>
        <v>238.09796174155468</v>
      </c>
      <c r="E28" s="2648">
        <f t="shared" si="65"/>
        <v>385.33438646014054</v>
      </c>
      <c r="F28" s="2648">
        <f t="shared" si="65"/>
        <v>221.55034055567739</v>
      </c>
      <c r="G28" s="3578"/>
      <c r="H28" s="2638">
        <v>1</v>
      </c>
      <c r="I28" s="2638">
        <v>1.67</v>
      </c>
      <c r="J28" s="2638">
        <v>1.31</v>
      </c>
      <c r="K28" s="2638">
        <v>1.85</v>
      </c>
      <c r="L28" s="2649">
        <v>0.96</v>
      </c>
      <c r="N28" s="2651">
        <f t="shared" si="57"/>
        <v>1.67E-2</v>
      </c>
      <c r="O28" s="2652">
        <f t="shared" si="53"/>
        <v>1.3100000000000001E-2</v>
      </c>
      <c r="P28" s="2652">
        <f t="shared" si="53"/>
        <v>1.8500000000000003E-2</v>
      </c>
      <c r="Q28" s="2652">
        <f t="shared" si="53"/>
        <v>9.5999999999999992E-3</v>
      </c>
      <c r="R28" s="2645"/>
      <c r="S28" s="2651">
        <f>B28/B29-1</f>
        <v>1.6193767230785472E-2</v>
      </c>
      <c r="T28" s="2652">
        <f>C28/C29-1</f>
        <v>1.7512657015190891E-2</v>
      </c>
      <c r="U28" s="2652">
        <f>E28/E29-1</f>
        <v>1.6713420739157048E-2</v>
      </c>
      <c r="V28" s="2652">
        <f>F28/F29-1</f>
        <v>7.0470025258062563E-3</v>
      </c>
      <c r="X28" s="2746"/>
      <c r="Y28" s="2653"/>
      <c r="Z28" s="2653"/>
    </row>
    <row r="29" spans="1:34" ht="13.5" thickBot="1">
      <c r="A29" s="2634" t="s">
        <v>2588</v>
      </c>
      <c r="B29" s="2678">
        <v>278</v>
      </c>
      <c r="C29" s="2678">
        <v>234</v>
      </c>
      <c r="D29" s="2678">
        <f t="shared" si="55"/>
        <v>234</v>
      </c>
      <c r="E29" s="2678">
        <v>379</v>
      </c>
      <c r="F29" s="2679">
        <v>220</v>
      </c>
      <c r="G29" s="3569">
        <v>2012</v>
      </c>
      <c r="H29" s="2654">
        <v>4</v>
      </c>
      <c r="I29" s="2654">
        <v>0.91</v>
      </c>
      <c r="J29" s="2654">
        <v>0.68</v>
      </c>
      <c r="K29" s="2654">
        <v>0.98</v>
      </c>
      <c r="L29" s="2655">
        <v>0.9</v>
      </c>
      <c r="N29" s="2643">
        <f t="shared" si="57"/>
        <v>9.1000000000000004E-3</v>
      </c>
      <c r="O29" s="2644">
        <f t="shared" si="57"/>
        <v>6.8000000000000005E-3</v>
      </c>
      <c r="P29" s="2644">
        <f t="shared" si="57"/>
        <v>9.7999999999999997E-3</v>
      </c>
      <c r="Q29" s="2644">
        <f t="shared" si="57"/>
        <v>9.0000000000000011E-3</v>
      </c>
      <c r="R29" s="2645"/>
      <c r="S29" s="2646"/>
      <c r="T29" s="2647"/>
      <c r="U29" s="2647"/>
      <c r="V29" s="2647"/>
      <c r="X29" s="2647"/>
      <c r="Y29" s="2647"/>
      <c r="Z29" s="2647"/>
    </row>
    <row r="30" spans="1:34">
      <c r="A30" s="2634" t="s">
        <v>2589</v>
      </c>
      <c r="B30" s="2648">
        <f>B29/(1+N29)</f>
        <v>275.49301357645425</v>
      </c>
      <c r="C30" s="2648">
        <f>C29/(1+O29)</f>
        <v>232.41954707985698</v>
      </c>
      <c r="D30" s="2648">
        <f t="shared" si="55"/>
        <v>232.41954707985698</v>
      </c>
      <c r="E30" s="2648">
        <f t="shared" ref="E30:F32" si="66">E29/(1+P29)</f>
        <v>375.32184591008121</v>
      </c>
      <c r="F30" s="2648">
        <f t="shared" si="66"/>
        <v>218.03766105054513</v>
      </c>
      <c r="G30" s="3570"/>
      <c r="H30" s="2659">
        <v>3</v>
      </c>
      <c r="I30" s="2659">
        <v>0.09</v>
      </c>
      <c r="J30" s="2659">
        <v>0.28999999999999998</v>
      </c>
      <c r="K30" s="2659">
        <v>-0.01</v>
      </c>
      <c r="L30" s="2660">
        <v>0.57999999999999996</v>
      </c>
      <c r="N30" s="2643">
        <f t="shared" si="57"/>
        <v>8.9999999999999998E-4</v>
      </c>
      <c r="O30" s="2644">
        <f t="shared" si="57"/>
        <v>2.8999999999999998E-3</v>
      </c>
      <c r="P30" s="2644">
        <f t="shared" si="57"/>
        <v>-1E-4</v>
      </c>
      <c r="Q30" s="2644">
        <f t="shared" si="57"/>
        <v>5.7999999999999996E-3</v>
      </c>
      <c r="R30" s="2645"/>
      <c r="S30" s="2643"/>
      <c r="T30" s="2644"/>
      <c r="U30" s="2644"/>
      <c r="V30" s="2644"/>
    </row>
    <row r="31" spans="1:34">
      <c r="A31" s="2634" t="s">
        <v>2590</v>
      </c>
      <c r="B31" s="2648">
        <f>B30/(1+N30)</f>
        <v>275.24529281292263</v>
      </c>
      <c r="C31" s="2648">
        <f>C30/(1+O30)</f>
        <v>231.74747938962707</v>
      </c>
      <c r="D31" s="2648">
        <f t="shared" si="55"/>
        <v>231.74747938962707</v>
      </c>
      <c r="E31" s="2648">
        <f t="shared" si="66"/>
        <v>375.35938184826603</v>
      </c>
      <c r="F31" s="2648">
        <f t="shared" si="66"/>
        <v>216.78033510692495</v>
      </c>
      <c r="G31" s="3570"/>
      <c r="H31" s="2639">
        <v>2</v>
      </c>
      <c r="I31" s="2639">
        <v>0.02</v>
      </c>
      <c r="J31" s="2639">
        <v>0.12</v>
      </c>
      <c r="K31" s="2639">
        <v>-0.08</v>
      </c>
      <c r="L31" s="2650">
        <v>1.24</v>
      </c>
      <c r="N31" s="2643">
        <f t="shared" si="57"/>
        <v>2.0000000000000001E-4</v>
      </c>
      <c r="O31" s="2644">
        <f t="shared" si="57"/>
        <v>1.1999999999999999E-3</v>
      </c>
      <c r="P31" s="2644">
        <f t="shared" si="57"/>
        <v>-8.0000000000000004E-4</v>
      </c>
      <c r="Q31" s="2644">
        <f t="shared" si="57"/>
        <v>1.24E-2</v>
      </c>
      <c r="R31" s="2645"/>
      <c r="S31" s="2643"/>
      <c r="T31" s="2644"/>
      <c r="U31" s="2644"/>
      <c r="V31" s="2644"/>
    </row>
    <row r="32" spans="1:34" ht="13.5" thickBot="1">
      <c r="A32" s="2634" t="s">
        <v>2591</v>
      </c>
      <c r="B32" s="2648">
        <f>B31/(1+N31)</f>
        <v>275.19025476197027</v>
      </c>
      <c r="C32" s="2680">
        <v>232</v>
      </c>
      <c r="D32" s="2680">
        <f t="shared" si="55"/>
        <v>232</v>
      </c>
      <c r="E32" s="2648">
        <f t="shared" si="66"/>
        <v>375.65990977608692</v>
      </c>
      <c r="F32" s="2648">
        <f t="shared" si="66"/>
        <v>214.12518283971252</v>
      </c>
      <c r="G32" s="3571"/>
      <c r="H32" s="2638">
        <v>1</v>
      </c>
      <c r="I32" s="2638">
        <v>0.02</v>
      </c>
      <c r="J32" s="2638">
        <v>0.13</v>
      </c>
      <c r="K32" s="2638">
        <v>-0.04</v>
      </c>
      <c r="L32" s="2649">
        <v>0.46</v>
      </c>
      <c r="N32" s="2643">
        <f t="shared" si="57"/>
        <v>2.0000000000000001E-4</v>
      </c>
      <c r="O32" s="2644">
        <f t="shared" si="57"/>
        <v>1.2999999999999999E-3</v>
      </c>
      <c r="P32" s="2644">
        <f t="shared" si="57"/>
        <v>-4.0000000000000002E-4</v>
      </c>
      <c r="Q32" s="2644">
        <f t="shared" si="57"/>
        <v>4.5999999999999999E-3</v>
      </c>
      <c r="R32" s="2645"/>
      <c r="S32" s="2651">
        <f>B32/B33-1</f>
        <v>6.9183549807361189E-4</v>
      </c>
      <c r="T32" s="2652">
        <f>C32/C33-1</f>
        <v>0</v>
      </c>
      <c r="U32" s="2652">
        <f>E32/E33-1</f>
        <v>-9.0449527636460303E-4</v>
      </c>
      <c r="V32" s="2652">
        <f>F32/F33-1</f>
        <v>5.2825485432512753E-3</v>
      </c>
      <c r="X32" s="2653"/>
      <c r="Y32" s="2653"/>
      <c r="Z32" s="2653"/>
    </row>
    <row r="33" spans="1:26" ht="13.5" thickBot="1">
      <c r="A33" s="2634" t="s">
        <v>2592</v>
      </c>
      <c r="B33" s="2640">
        <v>275</v>
      </c>
      <c r="C33" s="2640">
        <v>232</v>
      </c>
      <c r="D33" s="2640">
        <f t="shared" si="55"/>
        <v>232</v>
      </c>
      <c r="E33" s="2640">
        <v>376</v>
      </c>
      <c r="F33" s="2641">
        <v>213</v>
      </c>
      <c r="G33" s="3569">
        <v>2011</v>
      </c>
      <c r="H33" s="2654">
        <v>4</v>
      </c>
      <c r="I33" s="2654">
        <v>-0.2</v>
      </c>
      <c r="J33" s="2654">
        <v>0.04</v>
      </c>
      <c r="K33" s="2654">
        <v>-0.34</v>
      </c>
      <c r="L33" s="2655">
        <v>0.46</v>
      </c>
      <c r="N33" s="2656">
        <f t="shared" si="57"/>
        <v>-2E-3</v>
      </c>
      <c r="O33" s="2657">
        <f t="shared" si="57"/>
        <v>4.0000000000000002E-4</v>
      </c>
      <c r="P33" s="2657">
        <f t="shared" si="57"/>
        <v>-3.4000000000000002E-3</v>
      </c>
      <c r="Q33" s="2657">
        <f t="shared" si="57"/>
        <v>4.5999999999999999E-3</v>
      </c>
      <c r="R33" s="2645"/>
      <c r="S33" s="2646"/>
      <c r="T33" s="2647"/>
      <c r="U33" s="2647"/>
      <c r="V33" s="2647"/>
      <c r="X33" s="2647"/>
      <c r="Y33" s="2647"/>
      <c r="Z33" s="2647"/>
    </row>
    <row r="34" spans="1:26">
      <c r="A34" s="2634" t="s">
        <v>2593</v>
      </c>
      <c r="B34" s="2648">
        <f t="shared" ref="B34:C36" si="67">B33/(1+N33)</f>
        <v>275.55110220440883</v>
      </c>
      <c r="C34" s="2648">
        <f t="shared" si="67"/>
        <v>231.90723710515795</v>
      </c>
      <c r="D34" s="2648">
        <f t="shared" si="55"/>
        <v>231.90723710515795</v>
      </c>
      <c r="E34" s="2648">
        <f t="shared" ref="E34:F36" si="68">E33/(1+P33)</f>
        <v>377.28276138872161</v>
      </c>
      <c r="F34" s="2648">
        <f t="shared" si="68"/>
        <v>212.02468644236512</v>
      </c>
      <c r="G34" s="3570">
        <v>2011</v>
      </c>
      <c r="H34" s="2659">
        <v>3</v>
      </c>
      <c r="I34" s="2659">
        <v>0.13</v>
      </c>
      <c r="J34" s="2659">
        <v>0.75</v>
      </c>
      <c r="K34" s="2659">
        <v>-0.08</v>
      </c>
      <c r="L34" s="2660">
        <v>0.53</v>
      </c>
      <c r="N34" s="2643">
        <f t="shared" si="57"/>
        <v>1.2999999999999999E-3</v>
      </c>
      <c r="O34" s="2661">
        <f t="shared" si="57"/>
        <v>7.4999999999999997E-3</v>
      </c>
      <c r="P34" s="2661">
        <f t="shared" si="57"/>
        <v>-8.0000000000000004E-4</v>
      </c>
      <c r="Q34" s="2661">
        <f t="shared" si="57"/>
        <v>5.3E-3</v>
      </c>
      <c r="R34" s="2645"/>
      <c r="S34" s="2643"/>
      <c r="T34" s="2644"/>
      <c r="U34" s="2644"/>
      <c r="V34" s="2644"/>
    </row>
    <row r="35" spans="1:26">
      <c r="A35" s="2634" t="s">
        <v>2594</v>
      </c>
      <c r="B35" s="2648">
        <f t="shared" si="67"/>
        <v>275.19335084830601</v>
      </c>
      <c r="C35" s="2648">
        <f t="shared" si="67"/>
        <v>230.18088050139744</v>
      </c>
      <c r="D35" s="2648">
        <f t="shared" si="55"/>
        <v>230.18088050139744</v>
      </c>
      <c r="E35" s="2648">
        <f t="shared" si="68"/>
        <v>377.58482925212331</v>
      </c>
      <c r="F35" s="2648">
        <f t="shared" si="68"/>
        <v>210.90687997847917</v>
      </c>
      <c r="G35" s="3570">
        <v>2011</v>
      </c>
      <c r="H35" s="2639">
        <v>2</v>
      </c>
      <c r="I35" s="2639">
        <v>-0.4</v>
      </c>
      <c r="J35" s="2639">
        <v>0.17</v>
      </c>
      <c r="K35" s="2639">
        <v>-0.57999999999999996</v>
      </c>
      <c r="L35" s="2650">
        <v>-0.2</v>
      </c>
      <c r="N35" s="2643">
        <f t="shared" si="57"/>
        <v>-4.0000000000000001E-3</v>
      </c>
      <c r="O35" s="2661">
        <f t="shared" si="57"/>
        <v>1.7000000000000001E-3</v>
      </c>
      <c r="P35" s="2661">
        <f t="shared" si="57"/>
        <v>-5.7999999999999996E-3</v>
      </c>
      <c r="Q35" s="2661">
        <f t="shared" si="57"/>
        <v>-2E-3</v>
      </c>
      <c r="R35" s="2645"/>
      <c r="S35" s="2643"/>
      <c r="T35" s="2644"/>
      <c r="U35" s="2644"/>
      <c r="V35" s="2644"/>
    </row>
    <row r="36" spans="1:26" ht="13.5" thickBot="1">
      <c r="A36" s="2634" t="s">
        <v>2595</v>
      </c>
      <c r="B36" s="2648">
        <f t="shared" si="67"/>
        <v>276.29854502841971</v>
      </c>
      <c r="C36" s="2648">
        <f t="shared" si="67"/>
        <v>229.79023709833027</v>
      </c>
      <c r="D36" s="2648">
        <f t="shared" si="55"/>
        <v>229.79023709833027</v>
      </c>
      <c r="E36" s="2648">
        <f t="shared" si="68"/>
        <v>379.78759731655936</v>
      </c>
      <c r="F36" s="2648">
        <f t="shared" si="68"/>
        <v>211.32953905659235</v>
      </c>
      <c r="G36" s="3571">
        <v>2011</v>
      </c>
      <c r="H36" s="2638">
        <v>1</v>
      </c>
      <c r="I36" s="2638">
        <v>2.65</v>
      </c>
      <c r="J36" s="2638">
        <v>3.76</v>
      </c>
      <c r="K36" s="2638">
        <v>1.89</v>
      </c>
      <c r="L36" s="2649">
        <v>7.95</v>
      </c>
      <c r="N36" s="2651">
        <f t="shared" si="57"/>
        <v>2.6499999999999999E-2</v>
      </c>
      <c r="O36" s="2652">
        <f t="shared" si="57"/>
        <v>3.7599999999999995E-2</v>
      </c>
      <c r="P36" s="2652">
        <f t="shared" si="57"/>
        <v>1.89E-2</v>
      </c>
      <c r="Q36" s="2652">
        <f t="shared" si="57"/>
        <v>7.9500000000000001E-2</v>
      </c>
      <c r="R36" s="2645"/>
      <c r="S36" s="2651">
        <f>B36/B37-1</f>
        <v>2.713213765211786E-2</v>
      </c>
      <c r="T36" s="2652">
        <f>C36/C37-1</f>
        <v>3.9774828499231862E-2</v>
      </c>
      <c r="U36" s="2652">
        <f>E36/E37-1</f>
        <v>1.8197311840641772E-2</v>
      </c>
      <c r="V36" s="2652">
        <f>F36/F37-1</f>
        <v>7.8211933962205826E-2</v>
      </c>
      <c r="X36" s="2653"/>
      <c r="Y36" s="2653"/>
      <c r="Z36" s="2653"/>
    </row>
    <row r="37" spans="1:26" ht="13.5" thickBot="1">
      <c r="A37" s="2634" t="s">
        <v>2596</v>
      </c>
      <c r="B37" s="2640">
        <v>269</v>
      </c>
      <c r="C37" s="2640">
        <v>221</v>
      </c>
      <c r="D37" s="2640">
        <f t="shared" si="55"/>
        <v>221</v>
      </c>
      <c r="E37" s="2640">
        <v>373</v>
      </c>
      <c r="F37" s="2641">
        <v>196</v>
      </c>
      <c r="G37" s="3569">
        <v>2010</v>
      </c>
      <c r="H37" s="2654">
        <v>4</v>
      </c>
      <c r="I37" s="2654">
        <v>5.72</v>
      </c>
      <c r="J37" s="2654">
        <v>6.57</v>
      </c>
      <c r="K37" s="2654">
        <v>5.72</v>
      </c>
      <c r="L37" s="2655">
        <v>2.72</v>
      </c>
      <c r="N37" s="2643">
        <f t="shared" si="57"/>
        <v>5.7200000000000001E-2</v>
      </c>
      <c r="O37" s="2644">
        <f t="shared" si="57"/>
        <v>6.5700000000000008E-2</v>
      </c>
      <c r="P37" s="2644">
        <f t="shared" si="57"/>
        <v>5.7200000000000001E-2</v>
      </c>
      <c r="Q37" s="2644">
        <f t="shared" si="57"/>
        <v>2.7200000000000002E-2</v>
      </c>
      <c r="R37" s="2645"/>
      <c r="S37" s="2646"/>
      <c r="T37" s="2647"/>
      <c r="U37" s="2647"/>
      <c r="V37" s="2647"/>
      <c r="X37" s="2647"/>
      <c r="Y37" s="2647"/>
      <c r="Z37" s="2647"/>
    </row>
    <row r="38" spans="1:26">
      <c r="A38" s="2634" t="s">
        <v>2597</v>
      </c>
      <c r="B38" s="2648">
        <f t="shared" ref="B38:C40" si="69">B37/(1+N37)</f>
        <v>254.44570563753314</v>
      </c>
      <c r="C38" s="2648">
        <f t="shared" si="69"/>
        <v>207.37543398705074</v>
      </c>
      <c r="D38" s="2648">
        <f t="shared" si="55"/>
        <v>207.37543398705074</v>
      </c>
      <c r="E38" s="2648">
        <f t="shared" ref="E38:F40" si="70">E37/(1+P37)</f>
        <v>352.81876655315932</v>
      </c>
      <c r="F38" s="2648">
        <f t="shared" si="70"/>
        <v>190.809968847352</v>
      </c>
      <c r="G38" s="3570">
        <v>2010</v>
      </c>
      <c r="H38" s="2659">
        <v>3</v>
      </c>
      <c r="I38" s="2659">
        <v>4.7300000000000004</v>
      </c>
      <c r="J38" s="2659">
        <v>3.9</v>
      </c>
      <c r="K38" s="2659">
        <v>5.03</v>
      </c>
      <c r="L38" s="2660">
        <v>4.21</v>
      </c>
      <c r="N38" s="2643">
        <f t="shared" si="57"/>
        <v>4.7300000000000002E-2</v>
      </c>
      <c r="O38" s="2644">
        <f t="shared" si="57"/>
        <v>3.9E-2</v>
      </c>
      <c r="P38" s="2644">
        <f t="shared" si="57"/>
        <v>5.0300000000000004E-2</v>
      </c>
      <c r="Q38" s="2644">
        <f t="shared" si="57"/>
        <v>4.2099999999999999E-2</v>
      </c>
      <c r="R38" s="2645"/>
      <c r="S38" s="2643"/>
      <c r="T38" s="2644"/>
      <c r="U38" s="2644"/>
      <c r="V38" s="2644"/>
    </row>
    <row r="39" spans="1:26">
      <c r="A39" s="2634" t="s">
        <v>2598</v>
      </c>
      <c r="B39" s="2648">
        <f t="shared" si="69"/>
        <v>242.95398227588385</v>
      </c>
      <c r="C39" s="2648">
        <f t="shared" si="69"/>
        <v>199.59137053614126</v>
      </c>
      <c r="D39" s="2648">
        <f t="shared" si="55"/>
        <v>199.59137053614126</v>
      </c>
      <c r="E39" s="2648">
        <f t="shared" si="70"/>
        <v>335.92189522342125</v>
      </c>
      <c r="F39" s="2648">
        <f t="shared" si="70"/>
        <v>183.10139991109489</v>
      </c>
      <c r="G39" s="3570">
        <v>2010</v>
      </c>
      <c r="H39" s="2639">
        <v>2</v>
      </c>
      <c r="I39" s="2639">
        <v>4.6900000000000004</v>
      </c>
      <c r="J39" s="2639">
        <v>3.55</v>
      </c>
      <c r="K39" s="2639">
        <v>5.07</v>
      </c>
      <c r="L39" s="2650">
        <v>4.2300000000000004</v>
      </c>
      <c r="N39" s="2643">
        <f t="shared" si="57"/>
        <v>4.6900000000000004E-2</v>
      </c>
      <c r="O39" s="2644">
        <f t="shared" si="57"/>
        <v>3.5499999999999997E-2</v>
      </c>
      <c r="P39" s="2644">
        <f t="shared" si="57"/>
        <v>5.0700000000000002E-2</v>
      </c>
      <c r="Q39" s="2644">
        <f t="shared" si="57"/>
        <v>4.2300000000000004E-2</v>
      </c>
      <c r="R39" s="2645"/>
      <c r="S39" s="2643"/>
      <c r="T39" s="2644"/>
      <c r="U39" s="2644"/>
      <c r="V39" s="2644"/>
    </row>
    <row r="40" spans="1:26" ht="13.5" thickBot="1">
      <c r="A40" s="2634" t="s">
        <v>2599</v>
      </c>
      <c r="B40" s="2648">
        <f t="shared" si="69"/>
        <v>232.06990378821649</v>
      </c>
      <c r="C40" s="2648">
        <f t="shared" si="69"/>
        <v>192.74878854286936</v>
      </c>
      <c r="D40" s="2648">
        <f t="shared" si="55"/>
        <v>192.74878854286936</v>
      </c>
      <c r="E40" s="2648">
        <f t="shared" si="70"/>
        <v>319.71247284992984</v>
      </c>
      <c r="F40" s="2648">
        <f t="shared" si="70"/>
        <v>175.67053622862409</v>
      </c>
      <c r="G40" s="3571">
        <v>2010</v>
      </c>
      <c r="H40" s="2638">
        <v>1</v>
      </c>
      <c r="I40" s="2638">
        <v>5.4</v>
      </c>
      <c r="J40" s="2638">
        <v>3.2</v>
      </c>
      <c r="K40" s="2638">
        <v>6.16</v>
      </c>
      <c r="L40" s="2649">
        <v>4.51</v>
      </c>
      <c r="N40" s="2643">
        <f t="shared" si="57"/>
        <v>5.4000000000000006E-2</v>
      </c>
      <c r="O40" s="2644">
        <f t="shared" si="57"/>
        <v>3.2000000000000001E-2</v>
      </c>
      <c r="P40" s="2644">
        <f t="shared" si="57"/>
        <v>6.1600000000000002E-2</v>
      </c>
      <c r="Q40" s="2644">
        <f t="shared" si="57"/>
        <v>4.5100000000000001E-2</v>
      </c>
      <c r="R40" s="2645"/>
      <c r="S40" s="2651">
        <f>B40/B41-1</f>
        <v>5.4863199037347599E-2</v>
      </c>
      <c r="T40" s="2652">
        <f>C40/C41-1</f>
        <v>3.0742184721226584E-2</v>
      </c>
      <c r="U40" s="2652">
        <f>E40/E41-1</f>
        <v>6.2167683886810154E-2</v>
      </c>
      <c r="V40" s="2652">
        <f>F40/F41-1</f>
        <v>4.5657953741810031E-2</v>
      </c>
      <c r="X40" s="2653"/>
      <c r="Y40" s="2653"/>
      <c r="Z40" s="2653"/>
    </row>
    <row r="41" spans="1:26" ht="13.5" thickBot="1">
      <c r="A41" s="2634" t="s">
        <v>2600</v>
      </c>
      <c r="B41" s="2640">
        <v>220</v>
      </c>
      <c r="C41" s="2640">
        <v>187</v>
      </c>
      <c r="D41" s="2640">
        <f t="shared" si="55"/>
        <v>187</v>
      </c>
      <c r="E41" s="2640">
        <v>301</v>
      </c>
      <c r="F41" s="2641">
        <v>168</v>
      </c>
      <c r="G41" s="3569">
        <v>2009</v>
      </c>
      <c r="H41" s="2654">
        <v>4</v>
      </c>
      <c r="I41" s="2654">
        <v>2.2999999999999998</v>
      </c>
      <c r="J41" s="2654">
        <v>1.04</v>
      </c>
      <c r="K41" s="2654">
        <v>2.84</v>
      </c>
      <c r="L41" s="2655">
        <v>0.67</v>
      </c>
      <c r="N41" s="2656">
        <f t="shared" si="57"/>
        <v>2.3E-2</v>
      </c>
      <c r="O41" s="2657">
        <f t="shared" si="57"/>
        <v>1.04E-2</v>
      </c>
      <c r="P41" s="2657">
        <f t="shared" si="57"/>
        <v>2.8399999999999998E-2</v>
      </c>
      <c r="Q41" s="2657">
        <f t="shared" si="57"/>
        <v>6.7000000000000002E-3</v>
      </c>
      <c r="R41" s="2645"/>
      <c r="S41" s="2646"/>
      <c r="T41" s="2647"/>
      <c r="U41" s="2647"/>
      <c r="V41" s="2647"/>
      <c r="X41" s="2647"/>
      <c r="Y41" s="2647"/>
      <c r="Z41" s="2647"/>
    </row>
    <row r="42" spans="1:26">
      <c r="A42" s="2634" t="s">
        <v>2601</v>
      </c>
      <c r="B42" s="2648">
        <f t="shared" ref="B42:C44" si="71">B41/(1+N41)</f>
        <v>215.05376344086022</v>
      </c>
      <c r="C42" s="2648">
        <f t="shared" si="71"/>
        <v>185.0752177355503</v>
      </c>
      <c r="D42" s="2648">
        <f t="shared" si="55"/>
        <v>185.0752177355503</v>
      </c>
      <c r="E42" s="2648">
        <f t="shared" ref="E42:F44" si="72">E41/(1+P41)</f>
        <v>292.68767016725008</v>
      </c>
      <c r="F42" s="2648">
        <f t="shared" si="72"/>
        <v>166.88189132810174</v>
      </c>
      <c r="G42" s="3570">
        <v>2009</v>
      </c>
      <c r="H42" s="2659">
        <v>3</v>
      </c>
      <c r="I42" s="2659">
        <v>2.1</v>
      </c>
      <c r="J42" s="2659">
        <v>1.86</v>
      </c>
      <c r="K42" s="2659">
        <v>2.29</v>
      </c>
      <c r="L42" s="2660">
        <v>0.85</v>
      </c>
      <c r="N42" s="2643">
        <f t="shared" si="57"/>
        <v>2.1000000000000001E-2</v>
      </c>
      <c r="O42" s="2661">
        <f t="shared" si="57"/>
        <v>1.8600000000000002E-2</v>
      </c>
      <c r="P42" s="2661">
        <f t="shared" si="57"/>
        <v>2.29E-2</v>
      </c>
      <c r="Q42" s="2661">
        <f t="shared" si="57"/>
        <v>8.5000000000000006E-3</v>
      </c>
      <c r="R42" s="2645"/>
      <c r="S42" s="2643"/>
      <c r="T42" s="2644"/>
      <c r="U42" s="2644"/>
      <c r="V42" s="2644"/>
    </row>
    <row r="43" spans="1:26">
      <c r="A43" s="2634" t="s">
        <v>2602</v>
      </c>
      <c r="B43" s="2648">
        <f t="shared" si="71"/>
        <v>210.630522469011</v>
      </c>
      <c r="C43" s="2648">
        <f t="shared" si="71"/>
        <v>181.69567812247232</v>
      </c>
      <c r="D43" s="2648">
        <f t="shared" si="55"/>
        <v>181.69567812247232</v>
      </c>
      <c r="E43" s="2648">
        <f t="shared" si="72"/>
        <v>286.13517466736738</v>
      </c>
      <c r="F43" s="2648">
        <f t="shared" si="72"/>
        <v>165.47535084591149</v>
      </c>
      <c r="G43" s="3570">
        <v>2009</v>
      </c>
      <c r="H43" s="2639">
        <v>2</v>
      </c>
      <c r="I43" s="2639">
        <v>0.86</v>
      </c>
      <c r="J43" s="2639">
        <v>-1.1299999999999999</v>
      </c>
      <c r="K43" s="2639">
        <v>1.79</v>
      </c>
      <c r="L43" s="2650">
        <v>-2.0699999999999998</v>
      </c>
      <c r="N43" s="2643">
        <f t="shared" si="57"/>
        <v>8.6E-3</v>
      </c>
      <c r="O43" s="2661">
        <f t="shared" si="57"/>
        <v>-1.1299999999999999E-2</v>
      </c>
      <c r="P43" s="2661">
        <f t="shared" si="57"/>
        <v>1.7899999999999999E-2</v>
      </c>
      <c r="Q43" s="2661">
        <f t="shared" si="57"/>
        <v>-2.07E-2</v>
      </c>
      <c r="R43" s="2645"/>
      <c r="S43" s="2643"/>
      <c r="T43" s="2644"/>
      <c r="U43" s="2644"/>
      <c r="V43" s="2644"/>
    </row>
    <row r="44" spans="1:26">
      <c r="A44" s="2634" t="s">
        <v>2603</v>
      </c>
      <c r="B44" s="2648">
        <f t="shared" si="71"/>
        <v>208.83454537875372</v>
      </c>
      <c r="C44" s="2648">
        <f t="shared" si="71"/>
        <v>183.77230517090351</v>
      </c>
      <c r="D44" s="2648">
        <f t="shared" si="55"/>
        <v>183.77230517090351</v>
      </c>
      <c r="E44" s="2648">
        <f t="shared" si="72"/>
        <v>281.10342338870947</v>
      </c>
      <c r="F44" s="2648">
        <f t="shared" si="72"/>
        <v>168.97309388942256</v>
      </c>
      <c r="G44" s="3571">
        <v>2009</v>
      </c>
      <c r="H44" s="2638">
        <v>1</v>
      </c>
      <c r="I44" s="2638">
        <v>-2.64</v>
      </c>
      <c r="J44" s="2638">
        <v>-2.5299999999999998</v>
      </c>
      <c r="K44" s="2638">
        <v>-3.02</v>
      </c>
      <c r="L44" s="2649">
        <v>1.52</v>
      </c>
      <c r="N44" s="2651">
        <f t="shared" si="57"/>
        <v>-2.64E-2</v>
      </c>
      <c r="O44" s="2652">
        <f t="shared" si="57"/>
        <v>-2.53E-2</v>
      </c>
      <c r="P44" s="2652">
        <f t="shared" si="57"/>
        <v>-3.0200000000000001E-2</v>
      </c>
      <c r="Q44" s="2652">
        <f t="shared" si="57"/>
        <v>1.52E-2</v>
      </c>
      <c r="R44" s="2645"/>
      <c r="S44" s="2651">
        <f>B44/B45-1</f>
        <v>-2.4137638417038754E-2</v>
      </c>
      <c r="T44" s="2652">
        <f>C44/C45-1</f>
        <v>-2.248773845264096E-2</v>
      </c>
      <c r="U44" s="2652">
        <f>E44/E45-1</f>
        <v>-2.7323794502735366E-2</v>
      </c>
      <c r="V44" s="2652">
        <f>F44/F45-1</f>
        <v>1.7910204153148035E-2</v>
      </c>
      <c r="X44" s="2653"/>
      <c r="Y44" s="2653"/>
      <c r="Z44" s="2653"/>
    </row>
    <row r="45" spans="1:26" ht="13.5" thickBot="1">
      <c r="A45" s="2634" t="s">
        <v>2604</v>
      </c>
      <c r="B45" s="2678">
        <v>214</v>
      </c>
      <c r="C45" s="2678">
        <v>188</v>
      </c>
      <c r="D45" s="2678">
        <f t="shared" si="55"/>
        <v>188</v>
      </c>
      <c r="E45" s="2678">
        <v>289</v>
      </c>
      <c r="F45" s="2679">
        <v>166</v>
      </c>
      <c r="G45" s="3569">
        <v>2008</v>
      </c>
      <c r="H45" s="2654">
        <v>4</v>
      </c>
      <c r="I45" s="2654">
        <v>1.73</v>
      </c>
      <c r="J45" s="2654">
        <v>0.03</v>
      </c>
      <c r="K45" s="2654">
        <v>2.59</v>
      </c>
      <c r="L45" s="2655">
        <v>-1.66</v>
      </c>
      <c r="N45" s="2643">
        <f t="shared" si="57"/>
        <v>1.7299999999999999E-2</v>
      </c>
      <c r="O45" s="2644">
        <f t="shared" si="57"/>
        <v>2.9999999999999997E-4</v>
      </c>
      <c r="P45" s="2644">
        <f t="shared" si="57"/>
        <v>2.5899999999999999E-2</v>
      </c>
      <c r="Q45" s="2644">
        <f t="shared" si="57"/>
        <v>-1.66E-2</v>
      </c>
      <c r="R45" s="2645"/>
      <c r="S45" s="2646"/>
      <c r="T45" s="2647"/>
      <c r="U45" s="2647"/>
      <c r="V45" s="2647"/>
      <c r="X45" s="2647"/>
      <c r="Y45" s="2647"/>
      <c r="Z45" s="2647"/>
    </row>
    <row r="46" spans="1:26">
      <c r="A46" s="2634" t="s">
        <v>2605</v>
      </c>
      <c r="B46" s="2648">
        <f t="shared" ref="B46:C48" si="73">B45/(1+N45)</f>
        <v>210.36075887152265</v>
      </c>
      <c r="C46" s="2648">
        <f t="shared" si="73"/>
        <v>187.94361691492554</v>
      </c>
      <c r="D46" s="2648">
        <f t="shared" si="55"/>
        <v>187.94361691492554</v>
      </c>
      <c r="E46" s="2648">
        <f t="shared" ref="E46:F48" si="74">E45/(1+P45)</f>
        <v>281.70386977288234</v>
      </c>
      <c r="F46" s="2648">
        <f t="shared" si="74"/>
        <v>168.80211511083994</v>
      </c>
      <c r="G46" s="3570">
        <v>2008</v>
      </c>
      <c r="H46" s="2659">
        <v>3</v>
      </c>
      <c r="I46" s="2659">
        <v>1.96</v>
      </c>
      <c r="J46" s="2659">
        <v>2.36</v>
      </c>
      <c r="K46" s="2659">
        <v>1.82</v>
      </c>
      <c r="L46" s="2660">
        <v>2.2200000000000002</v>
      </c>
      <c r="N46" s="2643">
        <f t="shared" si="57"/>
        <v>1.9599999999999999E-2</v>
      </c>
      <c r="O46" s="2644">
        <f t="shared" si="57"/>
        <v>2.3599999999999999E-2</v>
      </c>
      <c r="P46" s="2644">
        <f t="shared" si="57"/>
        <v>1.8200000000000001E-2</v>
      </c>
      <c r="Q46" s="2644">
        <f t="shared" si="57"/>
        <v>2.2200000000000001E-2</v>
      </c>
      <c r="R46" s="2645"/>
      <c r="S46" s="2643"/>
      <c r="T46" s="2644"/>
      <c r="U46" s="2644"/>
      <c r="V46" s="2644"/>
    </row>
    <row r="47" spans="1:26">
      <c r="A47" s="2634" t="s">
        <v>2606</v>
      </c>
      <c r="B47" s="2648">
        <f t="shared" si="73"/>
        <v>206.31694671589116</v>
      </c>
      <c r="C47" s="2648">
        <f t="shared" si="73"/>
        <v>183.61041121036101</v>
      </c>
      <c r="D47" s="2648">
        <f t="shared" si="55"/>
        <v>183.61041121036101</v>
      </c>
      <c r="E47" s="2648">
        <f t="shared" si="74"/>
        <v>276.66850301795557</v>
      </c>
      <c r="F47" s="2648">
        <f t="shared" si="74"/>
        <v>165.1360938278614</v>
      </c>
      <c r="G47" s="3570">
        <v>2008</v>
      </c>
      <c r="H47" s="2639">
        <v>2</v>
      </c>
      <c r="I47" s="2639">
        <v>4.93</v>
      </c>
      <c r="J47" s="2639">
        <v>7.38</v>
      </c>
      <c r="K47" s="2639">
        <v>3.98</v>
      </c>
      <c r="L47" s="2650">
        <v>6.86</v>
      </c>
      <c r="N47" s="2643">
        <f t="shared" si="57"/>
        <v>4.9299999999999997E-2</v>
      </c>
      <c r="O47" s="2644">
        <f t="shared" si="57"/>
        <v>7.3800000000000004E-2</v>
      </c>
      <c r="P47" s="2644">
        <f t="shared" si="57"/>
        <v>3.9800000000000002E-2</v>
      </c>
      <c r="Q47" s="2644">
        <f t="shared" si="57"/>
        <v>6.8600000000000008E-2</v>
      </c>
      <c r="R47" s="2645"/>
      <c r="S47" s="2643"/>
      <c r="T47" s="2644"/>
      <c r="U47" s="2644"/>
      <c r="V47" s="2644"/>
    </row>
    <row r="48" spans="1:26" s="2684" customFormat="1" ht="13.5" thickBot="1">
      <c r="A48" s="2634" t="s">
        <v>2607</v>
      </c>
      <c r="B48" s="2681">
        <f t="shared" si="73"/>
        <v>196.62341248059772</v>
      </c>
      <c r="C48" s="2681">
        <f t="shared" si="73"/>
        <v>170.99125648199012</v>
      </c>
      <c r="D48" s="2681">
        <f t="shared" si="55"/>
        <v>170.99125648199012</v>
      </c>
      <c r="E48" s="2681">
        <f t="shared" si="74"/>
        <v>266.07857570490052</v>
      </c>
      <c r="F48" s="2681">
        <f t="shared" si="74"/>
        <v>154.53499328828505</v>
      </c>
      <c r="G48" s="3571">
        <v>2008</v>
      </c>
      <c r="H48" s="2682">
        <v>1</v>
      </c>
      <c r="I48" s="2682">
        <v>4.1399999999999997</v>
      </c>
      <c r="J48" s="2682">
        <v>3.45</v>
      </c>
      <c r="K48" s="2682">
        <v>4.95</v>
      </c>
      <c r="L48" s="2683">
        <v>4.82</v>
      </c>
      <c r="N48" s="2685">
        <f t="shared" si="57"/>
        <v>4.1399999999999999E-2</v>
      </c>
      <c r="O48" s="2686">
        <f t="shared" si="57"/>
        <v>3.4500000000000003E-2</v>
      </c>
      <c r="P48" s="2686">
        <f t="shared" si="57"/>
        <v>4.9500000000000002E-2</v>
      </c>
      <c r="Q48" s="2686">
        <f t="shared" si="57"/>
        <v>4.82E-2</v>
      </c>
      <c r="R48" s="2687"/>
      <c r="S48" s="2685">
        <f>B48/B49-1</f>
        <v>4.5869215322328349E-2</v>
      </c>
      <c r="T48" s="2686">
        <f>C48/C49-1</f>
        <v>3.6310645345394743E-2</v>
      </c>
      <c r="U48" s="2686">
        <f>E48/E49-1</f>
        <v>4.7553447657088688E-2</v>
      </c>
      <c r="V48" s="2686">
        <f>F48/F49-1</f>
        <v>4.4155360055980086E-2</v>
      </c>
      <c r="X48" s="2688"/>
      <c r="Y48" s="2688"/>
      <c r="Z48" s="2688"/>
    </row>
    <row r="49" spans="1:26" ht="13.5" thickBot="1">
      <c r="A49" s="2634" t="s">
        <v>2608</v>
      </c>
      <c r="B49" s="2640">
        <v>188</v>
      </c>
      <c r="C49" s="2640">
        <v>165</v>
      </c>
      <c r="D49" s="2640">
        <f t="shared" si="55"/>
        <v>165</v>
      </c>
      <c r="E49" s="2640">
        <v>254</v>
      </c>
      <c r="F49" s="2641">
        <v>148</v>
      </c>
      <c r="G49" s="3569">
        <v>2007</v>
      </c>
      <c r="H49" s="2689">
        <v>4</v>
      </c>
      <c r="I49" s="2689">
        <v>5.51</v>
      </c>
      <c r="J49" s="2689">
        <v>4.8899999999999997</v>
      </c>
      <c r="K49" s="2689">
        <v>6.43</v>
      </c>
      <c r="L49" s="2690">
        <v>5.36</v>
      </c>
      <c r="N49" s="2691">
        <f t="shared" ref="N49:O52" si="75">B49/B50-1</f>
        <v>4.1339718365245526E-2</v>
      </c>
      <c r="O49" s="2692">
        <f t="shared" si="75"/>
        <v>4.0324492593776018E-2</v>
      </c>
      <c r="P49" s="2692">
        <f t="shared" ref="P49:Q52" si="76">E49/E50-1</f>
        <v>6.1625555347990968E-2</v>
      </c>
      <c r="Q49" s="2692">
        <f t="shared" si="76"/>
        <v>4.6757569250590603E-2</v>
      </c>
      <c r="R49" s="2645"/>
      <c r="S49" s="2646"/>
      <c r="T49" s="2647"/>
      <c r="U49" s="2647"/>
      <c r="V49" s="2647"/>
      <c r="X49" s="2647"/>
      <c r="Y49" s="2647"/>
      <c r="Z49" s="2647"/>
    </row>
    <row r="50" spans="1:26">
      <c r="A50" s="2634" t="s">
        <v>2609</v>
      </c>
      <c r="B50" s="2648">
        <f t="shared" ref="B50:C52" si="77">B51+(B$49-B$53)*I50/SUM(I$49:I$52)</f>
        <v>180.5366651097618</v>
      </c>
      <c r="C50" s="2648">
        <f t="shared" si="77"/>
        <v>158.60435967302453</v>
      </c>
      <c r="D50" s="2648">
        <f t="shared" si="55"/>
        <v>158.60435967302453</v>
      </c>
      <c r="E50" s="2648">
        <f t="shared" ref="E50:F52" si="78">E51+(E$49-E$53)*K50/SUM(K$49:K$52)</f>
        <v>239.25573260785075</v>
      </c>
      <c r="F50" s="2648">
        <f t="shared" si="78"/>
        <v>141.38899430740037</v>
      </c>
      <c r="G50" s="3570">
        <v>2007</v>
      </c>
      <c r="H50" s="2659">
        <v>3</v>
      </c>
      <c r="I50" s="2659">
        <v>8.65</v>
      </c>
      <c r="J50" s="2659">
        <v>8.06</v>
      </c>
      <c r="K50" s="2659">
        <v>9.94</v>
      </c>
      <c r="L50" s="2660">
        <v>5.8</v>
      </c>
      <c r="N50" s="2691">
        <f t="shared" si="75"/>
        <v>6.940217571740015E-2</v>
      </c>
      <c r="O50" s="2692">
        <f t="shared" si="75"/>
        <v>7.1197482471153428E-2</v>
      </c>
      <c r="P50" s="2692">
        <f t="shared" si="76"/>
        <v>0.10529679922579582</v>
      </c>
      <c r="Q50" s="2692">
        <f t="shared" si="76"/>
        <v>5.3292245059512133E-2</v>
      </c>
      <c r="R50" s="2645"/>
      <c r="S50" s="2643"/>
      <c r="T50" s="2644"/>
      <c r="U50" s="2644"/>
      <c r="V50" s="2644"/>
      <c r="X50" s="2693"/>
      <c r="Y50" s="2693"/>
      <c r="Z50" s="2693"/>
    </row>
    <row r="51" spans="1:26">
      <c r="A51" s="2634" t="s">
        <v>2610</v>
      </c>
      <c r="B51" s="2648">
        <f t="shared" si="77"/>
        <v>168.82017748715555</v>
      </c>
      <c r="C51" s="2648">
        <f t="shared" si="77"/>
        <v>148.06267029972753</v>
      </c>
      <c r="D51" s="2648">
        <f t="shared" si="55"/>
        <v>148.06267029972753</v>
      </c>
      <c r="E51" s="2648">
        <f t="shared" si="78"/>
        <v>216.46288379323747</v>
      </c>
      <c r="F51" s="2648">
        <f t="shared" si="78"/>
        <v>134.23529411764704</v>
      </c>
      <c r="G51" s="3570">
        <v>2007</v>
      </c>
      <c r="H51" s="2639">
        <v>2</v>
      </c>
      <c r="I51" s="2639">
        <v>3.67</v>
      </c>
      <c r="J51" s="2639">
        <v>2.3199999999999998</v>
      </c>
      <c r="K51" s="2639">
        <v>5.0199999999999996</v>
      </c>
      <c r="L51" s="2650">
        <v>6.71</v>
      </c>
      <c r="N51" s="2691">
        <f t="shared" si="75"/>
        <v>3.0339138143848032E-2</v>
      </c>
      <c r="O51" s="2692">
        <f t="shared" si="75"/>
        <v>2.0922341588790472E-2</v>
      </c>
      <c r="P51" s="2692">
        <f t="shared" si="76"/>
        <v>5.6164796592717003E-2</v>
      </c>
      <c r="Q51" s="2692">
        <f t="shared" si="76"/>
        <v>6.5704536723887319E-2</v>
      </c>
      <c r="R51" s="2645"/>
      <c r="S51" s="2643"/>
      <c r="T51" s="2644"/>
      <c r="U51" s="2644"/>
      <c r="V51" s="2644"/>
      <c r="X51" s="2693"/>
      <c r="Y51" s="2693"/>
      <c r="Z51" s="2693"/>
    </row>
    <row r="52" spans="1:26">
      <c r="A52" s="2634" t="s">
        <v>2611</v>
      </c>
      <c r="B52" s="2648">
        <f t="shared" si="77"/>
        <v>163.84913591779542</v>
      </c>
      <c r="C52" s="2648">
        <f t="shared" si="77"/>
        <v>145.0283378746594</v>
      </c>
      <c r="D52" s="2648">
        <f t="shared" si="55"/>
        <v>145.0283378746594</v>
      </c>
      <c r="E52" s="2648">
        <f t="shared" si="78"/>
        <v>204.95180722891567</v>
      </c>
      <c r="F52" s="2648">
        <f t="shared" si="78"/>
        <v>125.95920303605313</v>
      </c>
      <c r="G52" s="3571">
        <v>2007</v>
      </c>
      <c r="H52" s="2638">
        <v>1</v>
      </c>
      <c r="I52" s="2638">
        <v>3.58</v>
      </c>
      <c r="J52" s="2638">
        <v>3.08</v>
      </c>
      <c r="K52" s="2638">
        <v>4.34</v>
      </c>
      <c r="L52" s="2649">
        <v>3.21</v>
      </c>
      <c r="N52" s="2694">
        <f t="shared" si="75"/>
        <v>3.0497710174814063E-2</v>
      </c>
      <c r="O52" s="2695">
        <f t="shared" si="75"/>
        <v>2.8569772160704998E-2</v>
      </c>
      <c r="P52" s="2695">
        <f t="shared" si="76"/>
        <v>5.1034908866234296E-2</v>
      </c>
      <c r="Q52" s="2695">
        <f t="shared" si="76"/>
        <v>3.245248390207478E-2</v>
      </c>
      <c r="R52" s="2645"/>
      <c r="S52" s="2651">
        <f>B52/B53-1</f>
        <v>3.0497710174814063E-2</v>
      </c>
      <c r="T52" s="2652">
        <f>C52/C53-1</f>
        <v>2.8569772160704998E-2</v>
      </c>
      <c r="U52" s="2652">
        <f>E52/E53-1</f>
        <v>5.1034908866234296E-2</v>
      </c>
      <c r="V52" s="2652">
        <f>F52/F53-1</f>
        <v>3.245248390207478E-2</v>
      </c>
      <c r="X52" s="2693"/>
      <c r="Y52" s="2693"/>
      <c r="Z52" s="2693"/>
    </row>
    <row r="53" spans="1:26" ht="13.5" thickBot="1">
      <c r="A53" s="2634" t="s">
        <v>2612</v>
      </c>
      <c r="B53" s="2662">
        <v>159</v>
      </c>
      <c r="C53" s="2662">
        <v>141</v>
      </c>
      <c r="D53" s="2662">
        <f t="shared" si="55"/>
        <v>141</v>
      </c>
      <c r="E53" s="2662">
        <v>195</v>
      </c>
      <c r="F53" s="2663">
        <v>122</v>
      </c>
      <c r="G53" s="3569">
        <v>2006</v>
      </c>
      <c r="H53" s="2654">
        <v>4</v>
      </c>
      <c r="I53" s="2654">
        <v>3.79</v>
      </c>
      <c r="J53" s="2654">
        <v>2.21</v>
      </c>
      <c r="K53" s="2654">
        <v>5.65</v>
      </c>
      <c r="L53" s="2655">
        <v>5.41</v>
      </c>
      <c r="N53" s="2691">
        <f t="shared" ref="N53:O56" si="79">I53/SUM(I$53:I$56)*(B$53/B$57-1)</f>
        <v>7.245466462748526E-2</v>
      </c>
      <c r="O53" s="2692">
        <f t="shared" si="79"/>
        <v>2.3237230038062766E-2</v>
      </c>
      <c r="P53" s="2692">
        <f t="shared" ref="P53:Q56" si="80">K53/SUM(K$53:K$56)*(E$53/E$57-1)</f>
        <v>0.16146893866323722</v>
      </c>
      <c r="Q53" s="2692">
        <f t="shared" si="80"/>
        <v>5.0755230321793784E-2</v>
      </c>
      <c r="R53" s="2645"/>
      <c r="S53" s="2646"/>
      <c r="T53" s="2647"/>
      <c r="U53" s="2647"/>
      <c r="V53" s="2647"/>
      <c r="X53" s="2693"/>
      <c r="Y53" s="2693"/>
      <c r="Z53" s="2693"/>
    </row>
    <row r="54" spans="1:26">
      <c r="A54" s="2634" t="s">
        <v>2613</v>
      </c>
      <c r="B54" s="2648">
        <f t="shared" ref="B54:C56" si="81">B55+(B$53-B$57)*I54/SUM(I$53:I$56)</f>
        <v>149.00125628140702</v>
      </c>
      <c r="C54" s="2648">
        <f t="shared" si="81"/>
        <v>137.95592286501378</v>
      </c>
      <c r="D54" s="2648">
        <f t="shared" si="55"/>
        <v>137.95592286501378</v>
      </c>
      <c r="E54" s="2648">
        <f t="shared" ref="E54:F56" si="82">E55+(E$53-E$57)*K54/SUM(K$53:K$56)</f>
        <v>169.97231450719823</v>
      </c>
      <c r="F54" s="2648">
        <f t="shared" si="82"/>
        <v>116.21390374331551</v>
      </c>
      <c r="G54" s="3570">
        <v>2006</v>
      </c>
      <c r="H54" s="2659">
        <v>3</v>
      </c>
      <c r="I54" s="2659">
        <v>0.92</v>
      </c>
      <c r="J54" s="2659">
        <v>1.08</v>
      </c>
      <c r="K54" s="2659">
        <v>0.73</v>
      </c>
      <c r="L54" s="2660">
        <v>1.08</v>
      </c>
      <c r="N54" s="2691">
        <f t="shared" si="79"/>
        <v>1.7587939698492462E-2</v>
      </c>
      <c r="O54" s="2692">
        <f t="shared" si="79"/>
        <v>1.1355750425840628E-2</v>
      </c>
      <c r="P54" s="2692">
        <f t="shared" si="80"/>
        <v>2.0862358446754544E-2</v>
      </c>
      <c r="Q54" s="2692">
        <f t="shared" si="80"/>
        <v>1.0132282578103011E-2</v>
      </c>
      <c r="R54" s="2645"/>
      <c r="S54" s="2643"/>
      <c r="T54" s="2644"/>
      <c r="U54" s="2644"/>
      <c r="V54" s="2644"/>
      <c r="X54" s="2693"/>
      <c r="Y54" s="2693"/>
      <c r="Z54" s="2693"/>
    </row>
    <row r="55" spans="1:26">
      <c r="A55" s="2634" t="s">
        <v>2614</v>
      </c>
      <c r="B55" s="2648">
        <f t="shared" si="81"/>
        <v>146.57412060301507</v>
      </c>
      <c r="C55" s="2648">
        <f t="shared" si="81"/>
        <v>136.46831955922866</v>
      </c>
      <c r="D55" s="2648">
        <f t="shared" si="55"/>
        <v>136.46831955922866</v>
      </c>
      <c r="E55" s="2648">
        <f t="shared" si="82"/>
        <v>166.73864894795128</v>
      </c>
      <c r="F55" s="2648">
        <f t="shared" si="82"/>
        <v>115.05882352941177</v>
      </c>
      <c r="G55" s="3570">
        <v>2006</v>
      </c>
      <c r="H55" s="2639">
        <v>2</v>
      </c>
      <c r="I55" s="2639">
        <v>0.96</v>
      </c>
      <c r="J55" s="2639">
        <v>0.25</v>
      </c>
      <c r="K55" s="2639">
        <v>1.9</v>
      </c>
      <c r="L55" s="2650">
        <v>0.95</v>
      </c>
      <c r="N55" s="2691">
        <f t="shared" si="79"/>
        <v>1.8352632728861701E-2</v>
      </c>
      <c r="O55" s="2692">
        <f t="shared" si="79"/>
        <v>2.6286459319075526E-3</v>
      </c>
      <c r="P55" s="2692">
        <f t="shared" si="80"/>
        <v>5.4299289107991269E-2</v>
      </c>
      <c r="Q55" s="2692">
        <f t="shared" si="80"/>
        <v>8.9126559714794995E-3</v>
      </c>
      <c r="R55" s="2645"/>
      <c r="S55" s="2643"/>
      <c r="T55" s="2644"/>
      <c r="U55" s="2644"/>
      <c r="V55" s="2644"/>
      <c r="X55" s="2693"/>
      <c r="Y55" s="2693"/>
      <c r="Z55" s="2693"/>
    </row>
    <row r="56" spans="1:26">
      <c r="A56" s="2634" t="s">
        <v>2615</v>
      </c>
      <c r="B56" s="2648">
        <f t="shared" si="81"/>
        <v>144.04145728643215</v>
      </c>
      <c r="C56" s="2648">
        <f t="shared" si="81"/>
        <v>136.12396694214877</v>
      </c>
      <c r="D56" s="2648">
        <f t="shared" si="55"/>
        <v>136.12396694214877</v>
      </c>
      <c r="E56" s="2648">
        <f t="shared" si="82"/>
        <v>158.32225913621264</v>
      </c>
      <c r="F56" s="2648">
        <f t="shared" si="82"/>
        <v>114.04278074866311</v>
      </c>
      <c r="G56" s="3571">
        <v>2006</v>
      </c>
      <c r="H56" s="2638">
        <v>1</v>
      </c>
      <c r="I56" s="2638">
        <v>2.29</v>
      </c>
      <c r="J56" s="2638">
        <v>3.72</v>
      </c>
      <c r="K56" s="2638">
        <v>0.75</v>
      </c>
      <c r="L56" s="2649">
        <v>0.04</v>
      </c>
      <c r="N56" s="2694">
        <f t="shared" si="79"/>
        <v>4.3778675988638847E-2</v>
      </c>
      <c r="O56" s="2695">
        <f t="shared" si="79"/>
        <v>3.9114251466784385E-2</v>
      </c>
      <c r="P56" s="2695">
        <f t="shared" si="80"/>
        <v>2.1433929911049188E-2</v>
      </c>
      <c r="Q56" s="2695">
        <f t="shared" si="80"/>
        <v>3.7526972511492629E-4</v>
      </c>
      <c r="R56" s="2645"/>
      <c r="S56" s="2651">
        <f>B56/B57-1</f>
        <v>4.3778675988638716E-2</v>
      </c>
      <c r="T56" s="2652">
        <f>C56/C57-1</f>
        <v>3.91142514667846E-2</v>
      </c>
      <c r="U56" s="2652">
        <f>E56/E57-1</f>
        <v>2.143392991104931E-2</v>
      </c>
      <c r="V56" s="2652">
        <f>F56/F57-1</f>
        <v>3.7526972511492396E-4</v>
      </c>
      <c r="X56" s="2693"/>
      <c r="Y56" s="2693"/>
      <c r="Z56" s="2693"/>
    </row>
    <row r="57" spans="1:26" ht="13.5" thickBot="1">
      <c r="A57" s="2634" t="s">
        <v>2616</v>
      </c>
      <c r="B57" s="2662">
        <v>138</v>
      </c>
      <c r="C57" s="2662">
        <v>131</v>
      </c>
      <c r="D57" s="2662">
        <f t="shared" si="55"/>
        <v>131</v>
      </c>
      <c r="E57" s="2662">
        <v>155</v>
      </c>
      <c r="F57" s="2663">
        <v>114</v>
      </c>
      <c r="G57" s="3569">
        <v>2005</v>
      </c>
      <c r="H57" s="2654">
        <v>4</v>
      </c>
      <c r="I57" s="2654">
        <v>3.29</v>
      </c>
      <c r="J57" s="2654">
        <v>1.44</v>
      </c>
      <c r="K57" s="2654">
        <v>0.66</v>
      </c>
      <c r="L57" s="2655">
        <v>7.78</v>
      </c>
      <c r="N57" s="2691">
        <f t="shared" ref="N57:O60" si="83">I57/SUM(I$57:I$60)*(B$57/B$61-1)</f>
        <v>9.9404603216919935E-2</v>
      </c>
      <c r="O57" s="2692">
        <f t="shared" si="83"/>
        <v>4.7636550760861554E-2</v>
      </c>
      <c r="P57" s="2692">
        <f t="shared" ref="P57:Q60" si="84">K57/SUM(K$57:K$60)*(E$57/E$61-1)</f>
        <v>8.3756345177664976E-2</v>
      </c>
      <c r="Q57" s="2692">
        <f t="shared" si="84"/>
        <v>5.2148766661559584E-2</v>
      </c>
      <c r="R57" s="2645"/>
      <c r="S57" s="2646"/>
      <c r="T57" s="2647"/>
      <c r="U57" s="2647"/>
      <c r="V57" s="2647"/>
      <c r="X57" s="2693"/>
      <c r="Y57" s="2693"/>
      <c r="Z57" s="2693"/>
    </row>
    <row r="58" spans="1:26">
      <c r="A58" s="2634" t="s">
        <v>2617</v>
      </c>
      <c r="B58" s="2648">
        <f t="shared" ref="B58:C60" si="85">B59+(B$57-B$61)*I58/SUM(I$57:I$60)</f>
        <v>125.9720430107527</v>
      </c>
      <c r="C58" s="2648">
        <f t="shared" si="85"/>
        <v>125.1883408071749</v>
      </c>
      <c r="D58" s="2648">
        <f t="shared" si="55"/>
        <v>125.1883408071749</v>
      </c>
      <c r="E58" s="2648">
        <f t="shared" ref="E58:F60" si="86">E59+(E$57-E$61)*K58/SUM(K$57:K$60)</f>
        <v>144.61421319796952</v>
      </c>
      <c r="F58" s="2648">
        <f t="shared" si="86"/>
        <v>108.42008196721311</v>
      </c>
      <c r="G58" s="3570">
        <v>2005</v>
      </c>
      <c r="H58" s="2659">
        <v>3</v>
      </c>
      <c r="I58" s="2659">
        <v>0.46</v>
      </c>
      <c r="J58" s="2659">
        <v>0.32</v>
      </c>
      <c r="K58" s="2659">
        <v>0.42</v>
      </c>
      <c r="L58" s="2660">
        <v>0.64</v>
      </c>
      <c r="N58" s="2691">
        <f t="shared" si="83"/>
        <v>1.3898515951301874E-2</v>
      </c>
      <c r="O58" s="2692">
        <f t="shared" si="83"/>
        <v>1.0585900169080346E-2</v>
      </c>
      <c r="P58" s="2692">
        <f t="shared" si="84"/>
        <v>5.3299492385786795E-2</v>
      </c>
      <c r="Q58" s="2692">
        <f t="shared" si="84"/>
        <v>4.2898728359123568E-3</v>
      </c>
      <c r="R58" s="2645"/>
      <c r="S58" s="2643"/>
      <c r="T58" s="2644"/>
      <c r="U58" s="2644"/>
      <c r="V58" s="2644"/>
      <c r="X58" s="2693"/>
      <c r="Y58" s="2693"/>
      <c r="Z58" s="2693"/>
    </row>
    <row r="59" spans="1:26">
      <c r="A59" s="2634" t="s">
        <v>2618</v>
      </c>
      <c r="B59" s="2648">
        <f t="shared" si="85"/>
        <v>124.29032258064517</v>
      </c>
      <c r="C59" s="2648">
        <f t="shared" si="85"/>
        <v>123.8968609865471</v>
      </c>
      <c r="D59" s="2648">
        <f t="shared" si="55"/>
        <v>123.8968609865471</v>
      </c>
      <c r="E59" s="2648">
        <f t="shared" si="86"/>
        <v>138.00507614213197</v>
      </c>
      <c r="F59" s="2648">
        <f t="shared" si="86"/>
        <v>107.96106557377048</v>
      </c>
      <c r="G59" s="3570">
        <v>2005</v>
      </c>
      <c r="H59" s="2639">
        <v>2</v>
      </c>
      <c r="I59" s="2639">
        <v>0.47</v>
      </c>
      <c r="J59" s="2639">
        <v>0.1</v>
      </c>
      <c r="K59" s="2639">
        <v>0.52</v>
      </c>
      <c r="L59" s="2650">
        <v>0.79</v>
      </c>
      <c r="N59" s="2691">
        <f t="shared" si="83"/>
        <v>1.420065760241713E-2</v>
      </c>
      <c r="O59" s="2692">
        <f t="shared" si="83"/>
        <v>3.3080938028376083E-3</v>
      </c>
      <c r="P59" s="2692">
        <f t="shared" si="84"/>
        <v>6.598984771573603E-2</v>
      </c>
      <c r="Q59" s="2692">
        <f t="shared" si="84"/>
        <v>5.2953117818293153E-3</v>
      </c>
      <c r="R59" s="2645"/>
      <c r="S59" s="2643"/>
      <c r="T59" s="2644"/>
      <c r="U59" s="2644"/>
      <c r="V59" s="2644"/>
      <c r="X59" s="2693"/>
      <c r="Y59" s="2693"/>
      <c r="Z59" s="2693"/>
    </row>
    <row r="60" spans="1:26">
      <c r="A60" s="2634" t="s">
        <v>2619</v>
      </c>
      <c r="B60" s="2648">
        <f t="shared" si="85"/>
        <v>122.57204301075269</v>
      </c>
      <c r="C60" s="2648">
        <f t="shared" si="85"/>
        <v>123.4932735426009</v>
      </c>
      <c r="D60" s="2648">
        <f t="shared" si="55"/>
        <v>123.4932735426009</v>
      </c>
      <c r="E60" s="2648">
        <f t="shared" si="86"/>
        <v>129.82233502538071</v>
      </c>
      <c r="F60" s="2648">
        <f t="shared" si="86"/>
        <v>107.39446721311475</v>
      </c>
      <c r="G60" s="3571">
        <v>2005</v>
      </c>
      <c r="H60" s="2638">
        <v>1</v>
      </c>
      <c r="I60" s="2638">
        <v>0.43</v>
      </c>
      <c r="J60" s="2638">
        <v>0.37</v>
      </c>
      <c r="K60" s="2638">
        <v>0.37</v>
      </c>
      <c r="L60" s="2649">
        <v>0.55000000000000004</v>
      </c>
      <c r="N60" s="2694">
        <f t="shared" si="83"/>
        <v>1.2992090997956099E-2</v>
      </c>
      <c r="O60" s="2695">
        <f t="shared" si="83"/>
        <v>1.2239947070499151E-2</v>
      </c>
      <c r="P60" s="2695">
        <f t="shared" si="84"/>
        <v>4.6954314720812178E-2</v>
      </c>
      <c r="Q60" s="2695">
        <f t="shared" si="84"/>
        <v>3.6866094683621815E-3</v>
      </c>
      <c r="R60" s="2645"/>
      <c r="S60" s="2651">
        <f>B60/B61-1</f>
        <v>1.2992090997956174E-2</v>
      </c>
      <c r="T60" s="2652">
        <f>C60/C61-1</f>
        <v>1.2239947070499246E-2</v>
      </c>
      <c r="U60" s="2652">
        <f>E60/E61-1</f>
        <v>4.695431472081224E-2</v>
      </c>
      <c r="V60" s="2652">
        <f>F60/F61-1</f>
        <v>3.6866094683620787E-3</v>
      </c>
      <c r="X60" s="2693"/>
      <c r="Y60" s="2693"/>
      <c r="Z60" s="2693"/>
    </row>
    <row r="61" spans="1:26" ht="13.5" thickBot="1">
      <c r="A61" s="2634" t="s">
        <v>2620</v>
      </c>
      <c r="B61" s="2678">
        <v>121</v>
      </c>
      <c r="C61" s="2678">
        <v>122</v>
      </c>
      <c r="D61" s="2678">
        <f t="shared" si="55"/>
        <v>122</v>
      </c>
      <c r="E61" s="2678">
        <v>124</v>
      </c>
      <c r="F61" s="2679">
        <v>107</v>
      </c>
      <c r="G61" s="3569">
        <v>2004</v>
      </c>
      <c r="H61" s="2654">
        <v>4</v>
      </c>
      <c r="I61" s="2654">
        <v>0.33</v>
      </c>
      <c r="J61" s="2654">
        <v>0.5</v>
      </c>
      <c r="K61" s="2654">
        <v>0.5</v>
      </c>
      <c r="L61" s="2655">
        <v>0</v>
      </c>
      <c r="N61" s="2691">
        <f t="shared" ref="N61:O64" si="87">I61/SUM(I$61:I$64)*(B$61/B$65-1)</f>
        <v>1.3391770148526898E-2</v>
      </c>
      <c r="O61" s="2692">
        <f t="shared" si="87"/>
        <v>1.063264221158958E-2</v>
      </c>
      <c r="P61" s="2692">
        <f t="shared" ref="P61:Q64" si="88">K61/SUM(K$61:K$64)*(E$61/E$65-1)</f>
        <v>2.2244466688911134E-2</v>
      </c>
      <c r="Q61" s="2692">
        <f t="shared" si="88"/>
        <v>0</v>
      </c>
      <c r="R61" s="2645"/>
      <c r="S61" s="2646"/>
      <c r="T61" s="2647"/>
      <c r="U61" s="2647"/>
      <c r="V61" s="2647"/>
      <c r="X61" s="2693"/>
      <c r="Y61" s="2693"/>
      <c r="Z61" s="2693"/>
    </row>
    <row r="62" spans="1:26">
      <c r="A62" s="2634" t="s">
        <v>2621</v>
      </c>
      <c r="B62" s="2648">
        <f t="shared" ref="B62:C64" si="89">B63+(B$61-B$65)*I62/SUM(I$61:I$64)</f>
        <v>119.51351351351352</v>
      </c>
      <c r="C62" s="2648">
        <f t="shared" si="89"/>
        <v>120.7878787878788</v>
      </c>
      <c r="D62" s="2648">
        <f t="shared" si="55"/>
        <v>120.7878787878788</v>
      </c>
      <c r="E62" s="2648">
        <f t="shared" ref="E62:F64" si="90">E63+(E$61-E$65)*K62/SUM(K$61:K$64)</f>
        <v>121.5975975975976</v>
      </c>
      <c r="F62" s="2648">
        <f t="shared" si="90"/>
        <v>107</v>
      </c>
      <c r="G62" s="3570">
        <v>2004</v>
      </c>
      <c r="H62" s="2659">
        <v>3</v>
      </c>
      <c r="I62" s="2659">
        <v>0.56000000000000005</v>
      </c>
      <c r="J62" s="2659">
        <v>0.8</v>
      </c>
      <c r="K62" s="2659">
        <v>0.83</v>
      </c>
      <c r="L62" s="2660">
        <v>0.06</v>
      </c>
      <c r="N62" s="2691">
        <f t="shared" si="87"/>
        <v>2.2725428130833527E-2</v>
      </c>
      <c r="O62" s="2692">
        <f t="shared" si="87"/>
        <v>1.7012227538543329E-2</v>
      </c>
      <c r="P62" s="2692">
        <f t="shared" si="88"/>
        <v>3.6925814703592477E-2</v>
      </c>
      <c r="Q62" s="2692">
        <f t="shared" si="88"/>
        <v>2.8846153846153744E-2</v>
      </c>
      <c r="R62" s="2645"/>
      <c r="S62" s="2643"/>
      <c r="T62" s="2644"/>
      <c r="U62" s="2644"/>
      <c r="V62" s="2644"/>
      <c r="X62" s="2693"/>
      <c r="Y62" s="2693"/>
      <c r="Z62" s="2693"/>
    </row>
    <row r="63" spans="1:26">
      <c r="A63" s="2634" t="s">
        <v>2622</v>
      </c>
      <c r="B63" s="2648">
        <f t="shared" si="89"/>
        <v>116.99099099099099</v>
      </c>
      <c r="C63" s="2648">
        <f t="shared" si="89"/>
        <v>118.84848484848486</v>
      </c>
      <c r="D63" s="2648">
        <f t="shared" si="55"/>
        <v>118.84848484848486</v>
      </c>
      <c r="E63" s="2648">
        <f t="shared" si="90"/>
        <v>117.60960960960961</v>
      </c>
      <c r="F63" s="2648">
        <f t="shared" si="90"/>
        <v>104</v>
      </c>
      <c r="G63" s="3570">
        <v>2004</v>
      </c>
      <c r="H63" s="2639">
        <v>2</v>
      </c>
      <c r="I63" s="2639">
        <v>1</v>
      </c>
      <c r="J63" s="2639">
        <v>1.5</v>
      </c>
      <c r="K63" s="2639">
        <v>1.5</v>
      </c>
      <c r="L63" s="2650">
        <v>0</v>
      </c>
      <c r="N63" s="2691">
        <f t="shared" si="87"/>
        <v>4.0581121662202721E-2</v>
      </c>
      <c r="O63" s="2692">
        <f t="shared" si="87"/>
        <v>3.1897926634768738E-2</v>
      </c>
      <c r="P63" s="2692">
        <f t="shared" si="88"/>
        <v>6.6733400066733395E-2</v>
      </c>
      <c r="Q63" s="2692">
        <f t="shared" si="88"/>
        <v>0</v>
      </c>
      <c r="R63" s="2645"/>
      <c r="S63" s="2643"/>
      <c r="T63" s="2644"/>
      <c r="U63" s="2644"/>
      <c r="V63" s="2644"/>
      <c r="X63" s="2693"/>
      <c r="Y63" s="2693"/>
      <c r="Z63" s="2693"/>
    </row>
    <row r="64" spans="1:26" s="2684" customFormat="1" ht="13.5" thickBot="1">
      <c r="A64" s="2634" t="s">
        <v>2623</v>
      </c>
      <c r="B64" s="2681">
        <f t="shared" si="89"/>
        <v>112.48648648648648</v>
      </c>
      <c r="C64" s="2681">
        <f t="shared" si="89"/>
        <v>115.21212121212122</v>
      </c>
      <c r="D64" s="2681">
        <f t="shared" si="55"/>
        <v>115.21212121212122</v>
      </c>
      <c r="E64" s="2681">
        <f t="shared" si="90"/>
        <v>110.4024024024024</v>
      </c>
      <c r="F64" s="2681">
        <f t="shared" si="90"/>
        <v>104</v>
      </c>
      <c r="G64" s="3571">
        <v>2004</v>
      </c>
      <c r="H64" s="2682">
        <v>1</v>
      </c>
      <c r="I64" s="2682">
        <v>0.33</v>
      </c>
      <c r="J64" s="2682">
        <v>0.5</v>
      </c>
      <c r="K64" s="2682">
        <v>0.5</v>
      </c>
      <c r="L64" s="2683">
        <v>0</v>
      </c>
      <c r="N64" s="2696">
        <f t="shared" si="87"/>
        <v>1.3391770148526898E-2</v>
      </c>
      <c r="O64" s="2697">
        <f t="shared" si="87"/>
        <v>1.063264221158958E-2</v>
      </c>
      <c r="P64" s="2697">
        <f t="shared" si="88"/>
        <v>2.2244466688911134E-2</v>
      </c>
      <c r="Q64" s="2697">
        <f t="shared" si="88"/>
        <v>0</v>
      </c>
      <c r="R64" s="2687"/>
      <c r="S64" s="2685">
        <f>B64/B65-1</f>
        <v>1.3391770148526883E-2</v>
      </c>
      <c r="T64" s="2686">
        <f>C64/C65-1</f>
        <v>1.063264221158966E-2</v>
      </c>
      <c r="U64" s="2686">
        <f>E64/E65-1</f>
        <v>2.2244466688911224E-2</v>
      </c>
      <c r="V64" s="2686">
        <f>F64/F65-1</f>
        <v>0</v>
      </c>
      <c r="X64" s="2698"/>
      <c r="Y64" s="2698"/>
      <c r="Z64" s="2698"/>
    </row>
    <row r="65" spans="1:26" ht="13.5" thickBot="1">
      <c r="A65" s="2634" t="s">
        <v>2624</v>
      </c>
      <c r="B65" s="2699">
        <v>111</v>
      </c>
      <c r="C65" s="2699">
        <v>114</v>
      </c>
      <c r="D65" s="2699">
        <f t="shared" si="55"/>
        <v>114</v>
      </c>
      <c r="E65" s="2699">
        <v>108</v>
      </c>
      <c r="F65" s="2700">
        <v>104</v>
      </c>
      <c r="G65" s="3569">
        <v>2003</v>
      </c>
      <c r="H65" s="2689">
        <v>4</v>
      </c>
      <c r="I65" s="2701"/>
      <c r="J65" s="2701"/>
      <c r="K65" s="2701"/>
      <c r="L65" s="2701"/>
      <c r="N65" s="2702"/>
      <c r="O65" s="2701"/>
      <c r="P65" s="2701"/>
      <c r="Q65" s="2701"/>
      <c r="S65" s="2702"/>
      <c r="T65" s="2701"/>
      <c r="U65" s="2701"/>
      <c r="V65" s="2701"/>
      <c r="X65" s="2693"/>
      <c r="Y65" s="2693"/>
      <c r="Z65" s="2693"/>
    </row>
    <row r="66" spans="1:26">
      <c r="A66" s="2634" t="s">
        <v>2625</v>
      </c>
      <c r="B66" s="2703">
        <f t="shared" ref="B66:C68" si="91">B67+(B$65-B$69)/4</f>
        <v>109.75</v>
      </c>
      <c r="C66" s="2703">
        <f t="shared" si="91"/>
        <v>112.25</v>
      </c>
      <c r="D66" s="2703">
        <f t="shared" si="55"/>
        <v>112.25</v>
      </c>
      <c r="E66" s="2703">
        <f t="shared" ref="E66:F68" si="92">E67+(E$65-E$69)/4</f>
        <v>107.25</v>
      </c>
      <c r="F66" s="2703">
        <f t="shared" si="92"/>
        <v>103.5</v>
      </c>
      <c r="G66" s="3570">
        <v>2003</v>
      </c>
      <c r="H66" s="2659">
        <v>3</v>
      </c>
      <c r="I66" s="2701"/>
      <c r="J66" s="2701"/>
      <c r="K66" s="2701"/>
      <c r="L66" s="2701"/>
      <c r="X66" s="2693"/>
      <c r="Y66" s="2693"/>
      <c r="Z66" s="2693"/>
    </row>
    <row r="67" spans="1:26">
      <c r="A67" s="2634" t="s">
        <v>2626</v>
      </c>
      <c r="B67" s="2703">
        <f t="shared" si="91"/>
        <v>108.5</v>
      </c>
      <c r="C67" s="2703">
        <f t="shared" si="91"/>
        <v>110.5</v>
      </c>
      <c r="D67" s="2703">
        <f t="shared" si="55"/>
        <v>110.5</v>
      </c>
      <c r="E67" s="2703">
        <f t="shared" si="92"/>
        <v>106.5</v>
      </c>
      <c r="F67" s="2703">
        <f t="shared" si="92"/>
        <v>103</v>
      </c>
      <c r="G67" s="3570">
        <v>2003</v>
      </c>
      <c r="H67" s="2639">
        <v>2</v>
      </c>
      <c r="I67" s="2701"/>
      <c r="J67" s="2701"/>
      <c r="K67" s="2701"/>
      <c r="L67" s="2701"/>
      <c r="X67" s="2693"/>
      <c r="Y67" s="2693"/>
      <c r="Z67" s="2693"/>
    </row>
    <row r="68" spans="1:26" ht="13.5" thickBot="1">
      <c r="A68" s="2634" t="s">
        <v>2627</v>
      </c>
      <c r="B68" s="2703">
        <f t="shared" si="91"/>
        <v>107.25</v>
      </c>
      <c r="C68" s="2703">
        <f t="shared" si="91"/>
        <v>108.75</v>
      </c>
      <c r="D68" s="2703">
        <f t="shared" si="55"/>
        <v>108.75</v>
      </c>
      <c r="E68" s="2703">
        <f t="shared" si="92"/>
        <v>105.75</v>
      </c>
      <c r="F68" s="2703">
        <f t="shared" si="92"/>
        <v>102.5</v>
      </c>
      <c r="G68" s="3571">
        <v>2003</v>
      </c>
      <c r="H68" s="2704">
        <v>1</v>
      </c>
      <c r="I68" s="2701"/>
      <c r="J68" s="2701"/>
      <c r="K68" s="2701"/>
      <c r="L68" s="2701"/>
      <c r="S68" s="2643"/>
      <c r="T68" s="2644"/>
      <c r="U68" s="2644"/>
      <c r="X68" s="2693"/>
      <c r="Y68" s="2693"/>
      <c r="Z68" s="2693"/>
    </row>
    <row r="69" spans="1:26" ht="13.5" thickBot="1">
      <c r="A69" s="2634" t="s">
        <v>2628</v>
      </c>
      <c r="B69" s="2705">
        <v>106</v>
      </c>
      <c r="C69" s="2705">
        <v>107</v>
      </c>
      <c r="D69" s="2705">
        <f t="shared" si="55"/>
        <v>107</v>
      </c>
      <c r="E69" s="2705">
        <v>105</v>
      </c>
      <c r="F69" s="2706">
        <v>102</v>
      </c>
      <c r="G69" s="3569">
        <v>2002</v>
      </c>
      <c r="H69" s="2654">
        <v>4</v>
      </c>
      <c r="I69" s="2701"/>
      <c r="J69" s="2701"/>
      <c r="K69" s="2701"/>
      <c r="L69" s="2701"/>
      <c r="N69" s="2702"/>
      <c r="O69" s="2701"/>
      <c r="P69" s="2701"/>
      <c r="Q69" s="2701"/>
      <c r="S69" s="2702"/>
      <c r="T69" s="2701"/>
      <c r="U69" s="2701"/>
      <c r="V69" s="2701"/>
      <c r="X69" s="2693"/>
      <c r="Y69" s="2693"/>
      <c r="Z69" s="2693"/>
    </row>
    <row r="70" spans="1:26">
      <c r="A70" s="2634" t="s">
        <v>2629</v>
      </c>
      <c r="B70" s="2703">
        <f t="shared" ref="B70:C72" si="93">B71+(B$69-B$73)/4</f>
        <v>105</v>
      </c>
      <c r="C70" s="2703">
        <f t="shared" si="93"/>
        <v>106</v>
      </c>
      <c r="D70" s="2703">
        <f t="shared" si="55"/>
        <v>106</v>
      </c>
      <c r="E70" s="2703">
        <f t="shared" ref="E70:F72" si="94">E71+(E$69-E$73)/4</f>
        <v>104.5</v>
      </c>
      <c r="F70" s="2703">
        <f t="shared" si="94"/>
        <v>101.5</v>
      </c>
      <c r="G70" s="3570">
        <v>2002</v>
      </c>
      <c r="H70" s="2659">
        <v>3</v>
      </c>
      <c r="I70" s="2701"/>
      <c r="J70" s="2701"/>
      <c r="K70" s="2701"/>
      <c r="L70" s="2701"/>
      <c r="X70" s="2693"/>
      <c r="Y70" s="2693"/>
      <c r="Z70" s="2693"/>
    </row>
    <row r="71" spans="1:26">
      <c r="A71" s="2634" t="s">
        <v>2630</v>
      </c>
      <c r="B71" s="2703">
        <f t="shared" si="93"/>
        <v>104</v>
      </c>
      <c r="C71" s="2703">
        <f t="shared" si="93"/>
        <v>105</v>
      </c>
      <c r="D71" s="2703">
        <f t="shared" si="55"/>
        <v>105</v>
      </c>
      <c r="E71" s="2703">
        <f t="shared" si="94"/>
        <v>104</v>
      </c>
      <c r="F71" s="2703">
        <f t="shared" si="94"/>
        <v>101</v>
      </c>
      <c r="G71" s="3570">
        <v>2002</v>
      </c>
      <c r="H71" s="2639">
        <v>2</v>
      </c>
      <c r="I71" s="2701"/>
      <c r="J71" s="2701"/>
      <c r="K71" s="2701"/>
      <c r="L71" s="2701"/>
      <c r="X71" s="2693"/>
      <c r="Y71" s="2693"/>
      <c r="Z71" s="2693"/>
    </row>
    <row r="72" spans="1:26" s="2670" customFormat="1" ht="13.5" thickBot="1">
      <c r="A72" s="2666" t="s">
        <v>2631</v>
      </c>
      <c r="B72" s="2707">
        <f t="shared" si="93"/>
        <v>103</v>
      </c>
      <c r="C72" s="2707">
        <f t="shared" si="93"/>
        <v>104</v>
      </c>
      <c r="D72" s="2707">
        <f t="shared" si="55"/>
        <v>104</v>
      </c>
      <c r="E72" s="2707">
        <f t="shared" si="94"/>
        <v>103.5</v>
      </c>
      <c r="F72" s="2707">
        <f t="shared" si="94"/>
        <v>100.5</v>
      </c>
      <c r="G72" s="3571">
        <v>2002</v>
      </c>
      <c r="H72" s="2708">
        <v>1</v>
      </c>
      <c r="I72" s="2709"/>
      <c r="J72" s="2709"/>
      <c r="K72" s="2709"/>
      <c r="L72" s="2709"/>
      <c r="N72" s="2710"/>
      <c r="S72" s="2710"/>
      <c r="X72" s="2711"/>
      <c r="Y72" s="2711"/>
      <c r="Z72" s="2711"/>
    </row>
    <row r="73" spans="1:26" ht="13.5" thickBot="1">
      <c r="B73" s="2712">
        <v>102</v>
      </c>
      <c r="C73" s="2713">
        <v>103</v>
      </c>
      <c r="D73" s="2713">
        <f t="shared" si="55"/>
        <v>103</v>
      </c>
      <c r="E73" s="2713">
        <v>103</v>
      </c>
      <c r="F73" s="2714">
        <v>100</v>
      </c>
      <c r="I73" s="2701"/>
      <c r="J73" s="2701"/>
      <c r="K73" s="2701"/>
      <c r="L73" s="2701"/>
      <c r="N73" s="2702"/>
      <c r="O73" s="2701"/>
      <c r="P73" s="2701"/>
      <c r="Q73" s="2701"/>
      <c r="S73" s="2702"/>
      <c r="T73" s="2701"/>
      <c r="U73" s="2701"/>
      <c r="V73" s="2701"/>
      <c r="X73" s="2647"/>
      <c r="Y73" s="2647"/>
      <c r="Z73" s="2647"/>
    </row>
    <row r="75" spans="1:26" s="2716" customFormat="1">
      <c r="A75" s="2715" t="s">
        <v>2632</v>
      </c>
      <c r="G75" s="2717"/>
      <c r="N75" s="2717"/>
      <c r="S75" s="2717"/>
    </row>
    <row r="76" spans="1:26" s="2716" customFormat="1">
      <c r="A76" s="2716" t="s">
        <v>2633</v>
      </c>
      <c r="G76" s="2717"/>
      <c r="N76" s="2717"/>
      <c r="S76" s="2717"/>
    </row>
    <row r="77" spans="1:26" s="2716" customFormat="1">
      <c r="A77" s="2716" t="s">
        <v>2634</v>
      </c>
      <c r="G77" s="2717"/>
      <c r="I77" s="2718"/>
      <c r="J77" s="2718"/>
      <c r="K77" s="2718"/>
      <c r="L77" s="2718"/>
      <c r="N77" s="2719"/>
      <c r="O77" s="2718"/>
      <c r="P77" s="2718"/>
      <c r="Q77" s="2718"/>
      <c r="S77" s="2719"/>
      <c r="T77" s="2718"/>
      <c r="U77" s="2718"/>
      <c r="V77" s="2718"/>
    </row>
    <row r="78" spans="1:26" s="2716" customFormat="1">
      <c r="A78" s="2716" t="s">
        <v>2635</v>
      </c>
      <c r="G78" s="2717"/>
      <c r="N78" s="2717"/>
      <c r="S78" s="2717"/>
    </row>
    <row r="85" spans="7:22" ht="13.5" thickBot="1"/>
    <row r="86" spans="7:22">
      <c r="G86" s="2642"/>
      <c r="S86" s="2720" t="s">
        <v>2636</v>
      </c>
      <c r="T86" s="2721" t="s">
        <v>2637</v>
      </c>
      <c r="U86" s="2721" t="s">
        <v>2638</v>
      </c>
      <c r="V86" s="2721" t="s">
        <v>2639</v>
      </c>
    </row>
    <row r="87" spans="7:22">
      <c r="G87" s="2642"/>
      <c r="N87" s="2646"/>
      <c r="O87" s="2647"/>
      <c r="P87" s="2647"/>
      <c r="Q87" s="2647"/>
      <c r="S87" s="2722">
        <v>2006</v>
      </c>
      <c r="T87" s="2723">
        <v>15.1</v>
      </c>
      <c r="U87" s="2723">
        <v>7.43</v>
      </c>
      <c r="V87" s="2723">
        <v>26.26</v>
      </c>
    </row>
    <row r="88" spans="7:22">
      <c r="G88" s="2642"/>
      <c r="N88" s="2646"/>
      <c r="O88" s="2647"/>
      <c r="P88" s="2647"/>
      <c r="Q88" s="2647"/>
      <c r="S88" s="2725">
        <v>2005</v>
      </c>
      <c r="T88" s="2724">
        <v>13.9</v>
      </c>
      <c r="U88" s="2724">
        <v>7.49</v>
      </c>
      <c r="V88" s="2724">
        <v>24.92</v>
      </c>
    </row>
    <row r="89" spans="7:22">
      <c r="G89" s="2642"/>
      <c r="N89" s="2646"/>
      <c r="O89" s="2647"/>
      <c r="P89" s="2647"/>
      <c r="Q89" s="2647"/>
      <c r="S89" s="2722">
        <v>2004</v>
      </c>
      <c r="T89" s="2723">
        <v>9.48</v>
      </c>
      <c r="U89" s="2723">
        <v>7.2</v>
      </c>
      <c r="V89" s="2723">
        <v>14.68</v>
      </c>
    </row>
    <row r="90" spans="7:22">
      <c r="G90" s="2642"/>
      <c r="N90" s="2646"/>
      <c r="O90" s="2647"/>
      <c r="P90" s="2647"/>
      <c r="Q90" s="2647"/>
      <c r="S90" s="2725">
        <v>2003</v>
      </c>
      <c r="T90" s="2724">
        <v>4.5</v>
      </c>
      <c r="U90" s="2724">
        <v>6.12</v>
      </c>
      <c r="V90" s="2724">
        <v>2.34</v>
      </c>
    </row>
    <row r="91" spans="7:22" ht="13.5" thickBot="1">
      <c r="G91" s="2642"/>
      <c r="N91" s="2646"/>
      <c r="O91" s="2647"/>
      <c r="P91" s="2647"/>
      <c r="Q91" s="2647"/>
      <c r="S91" s="2726">
        <v>2002</v>
      </c>
      <c r="T91" s="2727">
        <v>3.59</v>
      </c>
      <c r="U91" s="2727">
        <v>4.54</v>
      </c>
      <c r="V91" s="2727">
        <v>2.5499999999999998</v>
      </c>
    </row>
    <row r="92" spans="7:22">
      <c r="G92" s="2642"/>
      <c r="N92" s="2646"/>
      <c r="O92" s="2647"/>
      <c r="P92" s="2647"/>
      <c r="Q92" s="2647"/>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c r="S102" s="2642"/>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sheetData>
  <sheetProtection password="C66D"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4" t="s">
        <v>2039</v>
      </c>
      <c r="B1" s="3264"/>
      <c r="C1" s="3264"/>
      <c r="D1" s="3264"/>
      <c r="E1" s="3264"/>
      <c r="F1" s="3264"/>
      <c r="G1" s="3264"/>
      <c r="H1" s="3264"/>
      <c r="I1" s="3264"/>
      <c r="J1" s="3264"/>
      <c r="K1" s="3264"/>
      <c r="L1" s="3264"/>
      <c r="M1" s="3264"/>
      <c r="N1" s="3264"/>
      <c r="O1" s="3264"/>
      <c r="P1" s="3264"/>
      <c r="Q1" s="3264"/>
      <c r="R1" s="3264"/>
    </row>
    <row r="2" spans="1:18">
      <c r="A2" s="1807" t="s">
        <v>2041</v>
      </c>
      <c r="B2" s="1807"/>
      <c r="C2" s="1807"/>
      <c r="D2" s="1807"/>
      <c r="E2" s="1807"/>
      <c r="F2" s="1807"/>
      <c r="G2" s="1807"/>
      <c r="H2" s="1807"/>
      <c r="I2" s="1808"/>
      <c r="J2" s="1808"/>
      <c r="K2" s="1809" t="str">
        <f>"估价期日："&amp;TEXT(项目基本情况!D3,"yyyy年m月d日;;")</f>
        <v>估价期日：2018年10月15日</v>
      </c>
      <c r="L2" s="1807"/>
      <c r="M2" s="1807"/>
      <c r="N2" s="1807"/>
      <c r="O2" s="1807"/>
      <c r="P2" s="1807"/>
      <c r="Q2" s="1807"/>
      <c r="R2" s="1809" t="str">
        <f>"估价期日的国有建设用地使用权性质："&amp;项目基本情况!B16</f>
        <v>估价期日的国有建设用地使用权性质：</v>
      </c>
    </row>
    <row r="3" spans="1:18" ht="23.25" customHeight="1">
      <c r="A3" s="3265" t="s">
        <v>2030</v>
      </c>
      <c r="B3" s="3265" t="s">
        <v>2732</v>
      </c>
      <c r="C3" s="3266" t="s">
        <v>2031</v>
      </c>
      <c r="D3" s="3265" t="s">
        <v>2736</v>
      </c>
      <c r="E3" s="3260" t="s">
        <v>2032</v>
      </c>
      <c r="F3" s="3260"/>
      <c r="G3" s="3260"/>
      <c r="H3" s="3260" t="s">
        <v>2033</v>
      </c>
      <c r="I3" s="3260"/>
      <c r="J3" s="3260"/>
      <c r="K3" s="3266" t="s">
        <v>2034</v>
      </c>
      <c r="L3" s="3266" t="s">
        <v>2035</v>
      </c>
      <c r="M3" s="3265" t="s">
        <v>2733</v>
      </c>
      <c r="N3" s="3267" t="str">
        <f>"（分摊）"&amp;项目基本情况!B16&amp;"国有建设用地使用权面积/㎡"</f>
        <v>（分摊）国有建设用地使用权面积/㎡</v>
      </c>
      <c r="O3" s="3265" t="s">
        <v>2064</v>
      </c>
      <c r="P3" s="3266" t="s">
        <v>2044</v>
      </c>
      <c r="Q3" s="3266" t="s">
        <v>2065</v>
      </c>
      <c r="R3" s="3266" t="s">
        <v>2036</v>
      </c>
    </row>
    <row r="4" spans="1:18" ht="36.75" customHeight="1">
      <c r="A4" s="3265"/>
      <c r="B4" s="3265"/>
      <c r="C4" s="3266"/>
      <c r="D4" s="3265"/>
      <c r="E4" s="2628" t="s">
        <v>2043</v>
      </c>
      <c r="F4" s="2628" t="s">
        <v>2745</v>
      </c>
      <c r="G4" s="2628" t="s">
        <v>2037</v>
      </c>
      <c r="H4" s="2628" t="s">
        <v>2038</v>
      </c>
      <c r="I4" s="2628" t="s">
        <v>2746</v>
      </c>
      <c r="J4" s="2628" t="s">
        <v>2037</v>
      </c>
      <c r="K4" s="3266"/>
      <c r="L4" s="3266"/>
      <c r="M4" s="3265"/>
      <c r="N4" s="3267"/>
      <c r="O4" s="3265"/>
      <c r="P4" s="3266"/>
      <c r="Q4" s="3266"/>
      <c r="R4" s="3266"/>
    </row>
    <row r="5" spans="1:18" ht="135" customHeight="1">
      <c r="A5" s="1943" t="s">
        <v>2656</v>
      </c>
      <c r="B5" s="2846"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v>
      </c>
      <c r="N5" s="1810">
        <f>项目基本情况!C22</f>
        <v>78298.679999999993</v>
      </c>
      <c r="O5" s="1810">
        <f>项目基本情况!C21</f>
        <v>400500</v>
      </c>
      <c r="P5" s="1810">
        <f ca="1">'结果表-办公'!E42</f>
        <v>81743</v>
      </c>
      <c r="Q5" s="1810">
        <f ca="1">'结果表-办公'!D42</f>
        <v>15981</v>
      </c>
      <c r="R5" s="1811">
        <f ca="1">'结果表-办公'!C42</f>
        <v>640033</v>
      </c>
    </row>
    <row r="6" spans="1:18">
      <c r="A6" s="3261" t="str">
        <f>IF(项目基本情况!B9="市场价格","——","抵押价格")</f>
        <v>——</v>
      </c>
      <c r="B6" s="3262"/>
      <c r="C6" s="3262"/>
      <c r="D6" s="3262"/>
      <c r="E6" s="3262"/>
      <c r="F6" s="3262"/>
      <c r="G6" s="3262"/>
      <c r="H6" s="3262"/>
      <c r="I6" s="3262"/>
      <c r="J6" s="3262"/>
      <c r="K6" s="3262"/>
      <c r="L6" s="3262"/>
      <c r="M6" s="3262"/>
      <c r="N6" s="3262"/>
      <c r="O6" s="3262"/>
      <c r="P6" s="3262"/>
      <c r="Q6" s="3263"/>
      <c r="R6" s="1812" t="str">
        <f>'结果表-办公'!O39</f>
        <v>——</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12" t="str">
        <f>'结果表-办公'!O40</f>
        <v>——</v>
      </c>
    </row>
    <row r="8" spans="1:18">
      <c r="A8" s="3261" t="str">
        <f>IF(项目基本情况!B9="市场价格","——",项目基本情况!E9)</f>
        <v>——</v>
      </c>
      <c r="B8" s="3262"/>
      <c r="C8" s="3262"/>
      <c r="D8" s="3262"/>
      <c r="E8" s="3262"/>
      <c r="F8" s="3262"/>
      <c r="G8" s="3262"/>
      <c r="H8" s="3262"/>
      <c r="I8" s="3262"/>
      <c r="J8" s="3262"/>
      <c r="K8" s="3262"/>
      <c r="L8" s="3262"/>
      <c r="M8" s="3262"/>
      <c r="N8" s="3262"/>
      <c r="O8" s="3262"/>
      <c r="P8" s="3262"/>
      <c r="Q8" s="3263"/>
      <c r="R8" s="1812" t="str">
        <f>'结果表-办公'!O41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
  <sheetViews>
    <sheetView workbookViewId="0">
      <selection activeCell="O30" sqref="O30"/>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9" t="s">
        <v>2066</v>
      </c>
      <c r="B1" s="3269"/>
      <c r="C1" s="3269"/>
      <c r="D1" s="3269"/>
    </row>
    <row r="2" spans="1:4" ht="47.25" customHeight="1">
      <c r="A2" s="3270" t="str">
        <f>"1.权利限制："&amp;项目基本情况!L24&amp;"未设定租赁等其他他项权利。"</f>
        <v>1.权利限制：根据估价对象《不动产权证书》原件、《国有土地使用权》复印件，截至估价期日，估价对象抵押权未见登记。未设定租赁等其他他项权利。</v>
      </c>
      <c r="B2" s="3270"/>
      <c r="C2" s="3270"/>
      <c r="D2" s="3270"/>
    </row>
    <row r="3" spans="1:4" ht="48" customHeight="1">
      <c r="A3" s="32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9"/>
      <c r="C3" s="3269"/>
      <c r="D3" s="3269"/>
    </row>
    <row r="4" spans="1:4" ht="36.75" customHeight="1">
      <c r="A4" s="3269" t="str">
        <f>"3.估价规划限制条件：详见"&amp;项目基本情况!E21&amp;"。"</f>
        <v>3.估价规划限制条件：详见《建设工程规划许可证》[]、《出让合同》[]。</v>
      </c>
      <c r="B4" s="3269"/>
      <c r="C4" s="3269"/>
      <c r="D4" s="3269"/>
    </row>
    <row r="5" spans="1:4">
      <c r="A5" s="3268" t="s">
        <v>2067</v>
      </c>
      <c r="B5" s="3268"/>
      <c r="C5" s="3268"/>
      <c r="D5" s="3268"/>
    </row>
    <row r="6" spans="1:4">
      <c r="A6" s="3269" t="s">
        <v>2045</v>
      </c>
      <c r="B6" s="3269"/>
      <c r="C6" s="3269"/>
      <c r="D6" s="3269"/>
    </row>
    <row r="7" spans="1:4" ht="33" customHeight="1">
      <c r="A7" s="3269" t="s">
        <v>2576</v>
      </c>
      <c r="B7" s="3269"/>
      <c r="C7" s="3269"/>
      <c r="D7" s="3269"/>
    </row>
    <row r="8" spans="1:4" ht="32.25" customHeight="1">
      <c r="A8" s="32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9"/>
      <c r="C8" s="3269"/>
      <c r="D8" s="3269"/>
    </row>
    <row r="9" spans="1:4" ht="33.75" customHeight="1">
      <c r="A9" s="3269" t="str">
        <f>IF(项目基本情况!B8="抵押","3.抵押双方在办理抵押登记手续时，应使用本公司出具的正式《土地估价报告》，特提请报告使用者注意。","——")</f>
        <v>——</v>
      </c>
      <c r="B9" s="3269"/>
      <c r="C9" s="3269"/>
      <c r="D9" s="3269"/>
    </row>
    <row r="10" spans="1:4">
      <c r="A10" s="3269" t="str">
        <f>IF(项目基本情况!B8="抵押","4.估价师所知悉的法定优先受偿款情况为：","——")</f>
        <v>——</v>
      </c>
      <c r="B10" s="3269"/>
      <c r="C10" s="3269"/>
      <c r="D10" s="3269"/>
    </row>
    <row r="11" spans="1:4" ht="37.5" customHeight="1">
      <c r="A11" s="3271" t="str">
        <f>IF(项目基本情况!B8="抵押","（1）"&amp;CONCATENATE(项目基本情况!L24,项目基本情况!L25,项目基本情况!L26),"——")</f>
        <v>——</v>
      </c>
      <c r="B11" s="3271"/>
      <c r="C11" s="3271"/>
      <c r="D11" s="3271"/>
    </row>
    <row r="12" spans="1:4" ht="168" customHeight="1">
      <c r="A12" s="3268" t="s">
        <v>2069</v>
      </c>
      <c r="B12" s="3268"/>
      <c r="C12" s="3268"/>
      <c r="D12" s="3268"/>
    </row>
    <row r="13" spans="1:4">
      <c r="A13" s="3272" t="s">
        <v>2747</v>
      </c>
      <c r="B13" s="3272"/>
      <c r="C13" s="3272"/>
      <c r="D13" s="3272"/>
    </row>
    <row r="14" spans="1:4">
      <c r="A14" s="3271" t="str">
        <f>IF(项目基本情况!B8="抵押","综上，"&amp;'结果表-办公'!K47,"——")</f>
        <v>——</v>
      </c>
      <c r="B14" s="3271"/>
      <c r="C14" s="3271"/>
      <c r="D14" s="3271"/>
    </row>
    <row r="15" spans="1:4" ht="58.5" customHeight="1">
      <c r="A15" s="3269" t="str">
        <f>IF('结果表-办公'!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9"/>
      <c r="C15" s="3269"/>
      <c r="D15" s="3269"/>
    </row>
    <row r="16" spans="1:4" ht="70.5" customHeight="1">
      <c r="A16" s="3269" t="str">
        <f>IF('结果表-办公'!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9"/>
      <c r="C16" s="3269"/>
      <c r="D16" s="3269"/>
    </row>
    <row r="17" spans="1:4">
      <c r="A17" s="3269" t="s">
        <v>2703</v>
      </c>
      <c r="B17" s="3269"/>
      <c r="C17" s="3269"/>
      <c r="D17" s="3269"/>
    </row>
    <row r="18" spans="1:4">
      <c r="A18" s="3269" t="s">
        <v>2695</v>
      </c>
      <c r="B18" s="3269"/>
      <c r="C18" s="3269"/>
      <c r="D18" s="3269"/>
    </row>
    <row r="19" spans="1:4">
      <c r="A19" s="2847" t="s">
        <v>2696</v>
      </c>
      <c r="B19" s="2847" t="s">
        <v>2697</v>
      </c>
      <c r="C19" s="2847" t="s">
        <v>2698</v>
      </c>
      <c r="D19" s="2847" t="s">
        <v>2699</v>
      </c>
    </row>
    <row r="20" spans="1:4">
      <c r="A20" s="2847" t="str">
        <f>项目基本情况!B4</f>
        <v>叶凌</v>
      </c>
      <c r="B20" s="2847">
        <f ca="1">项目基本情况!C4</f>
        <v>94010078</v>
      </c>
      <c r="C20" s="2849"/>
      <c r="D20" s="1800" t="s">
        <v>2704</v>
      </c>
    </row>
    <row r="21" spans="1:4">
      <c r="A21" s="2847" t="str">
        <f>项目基本情况!D4</f>
        <v>杨红英</v>
      </c>
      <c r="B21" s="2847">
        <f ca="1">项目基本情况!E4</f>
        <v>2004110128</v>
      </c>
      <c r="C21" s="2849"/>
      <c r="D21" s="1800" t="s">
        <v>2705</v>
      </c>
    </row>
    <row r="23" spans="1:4">
      <c r="A23" s="3269" t="s">
        <v>2700</v>
      </c>
      <c r="B23" s="3269"/>
      <c r="C23" s="3269"/>
      <c r="D23" s="3269"/>
    </row>
    <row r="24" spans="1:4">
      <c r="A24" s="2847" t="s">
        <v>2696</v>
      </c>
      <c r="B24" s="2847" t="s">
        <v>2701</v>
      </c>
      <c r="C24" s="2847" t="s">
        <v>2698</v>
      </c>
      <c r="D24" s="2847" t="s">
        <v>2699</v>
      </c>
    </row>
    <row r="25" spans="1:4">
      <c r="A25" s="2850" t="s">
        <v>2702</v>
      </c>
      <c r="B25" s="2847" t="s">
        <v>952</v>
      </c>
      <c r="C25" s="2849"/>
      <c r="D25" s="1800"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80" t="s">
        <v>53</v>
      </c>
      <c r="B15" s="3281" t="s">
        <v>846</v>
      </c>
      <c r="C15" s="3277"/>
    </row>
    <row r="16" spans="1:7" ht="14.25">
      <c r="A16" s="3280"/>
      <c r="B16" s="3278" t="s">
        <v>54</v>
      </c>
      <c r="C16" s="1172" t="s">
        <v>53</v>
      </c>
    </row>
    <row r="17" spans="1:3" ht="14.25">
      <c r="A17" s="3280"/>
      <c r="B17" s="3278"/>
      <c r="C17" s="1172" t="s">
        <v>55</v>
      </c>
    </row>
    <row r="18" spans="1:3" ht="14.25">
      <c r="A18" s="3280"/>
      <c r="B18" s="3278"/>
      <c r="C18" s="1172" t="s">
        <v>56</v>
      </c>
    </row>
    <row r="19" spans="1:3" ht="14.25">
      <c r="A19" s="3280"/>
      <c r="B19" s="3276" t="s">
        <v>57</v>
      </c>
      <c r="C19" s="3277"/>
    </row>
    <row r="20" spans="1:3" ht="14.25">
      <c r="A20" s="1173" t="s">
        <v>58</v>
      </c>
      <c r="B20" s="1174"/>
      <c r="C20" s="1175"/>
    </row>
    <row r="21" spans="1:3" ht="14.25">
      <c r="A21" s="3279" t="s">
        <v>59</v>
      </c>
      <c r="B21" s="3276" t="s">
        <v>60</v>
      </c>
      <c r="C21" s="3277"/>
    </row>
    <row r="22" spans="1:3" ht="14.25">
      <c r="A22" s="3279"/>
      <c r="B22" s="3276" t="s">
        <v>61</v>
      </c>
      <c r="C22" s="3277"/>
    </row>
    <row r="23" spans="1:3" ht="14.25">
      <c r="A23" s="3279"/>
      <c r="B23" s="3276" t="s">
        <v>62</v>
      </c>
      <c r="C23" s="3277"/>
    </row>
    <row r="24" spans="1:3" ht="14.25">
      <c r="A24" s="3279"/>
      <c r="B24" s="3282" t="s">
        <v>63</v>
      </c>
      <c r="C24" s="1176" t="s">
        <v>837</v>
      </c>
    </row>
    <row r="25" spans="1:3" ht="14.25">
      <c r="A25" s="3279"/>
      <c r="B25" s="3283"/>
      <c r="C25" s="1176" t="s">
        <v>838</v>
      </c>
    </row>
    <row r="26" spans="1:3" ht="14.25">
      <c r="A26" s="3279"/>
      <c r="B26" s="3283"/>
      <c r="C26" s="1176" t="s">
        <v>839</v>
      </c>
    </row>
    <row r="27" spans="1:3" ht="14.25">
      <c r="A27" s="3279"/>
      <c r="B27" s="3283"/>
      <c r="C27" s="1176" t="s">
        <v>840</v>
      </c>
    </row>
    <row r="28" spans="1:3" ht="14.25">
      <c r="A28" s="3279"/>
      <c r="B28" s="3283"/>
      <c r="C28" s="1176" t="s">
        <v>841</v>
      </c>
    </row>
    <row r="29" spans="1:3" ht="14.25">
      <c r="A29" s="3279"/>
      <c r="B29" s="3283"/>
      <c r="C29" s="1176" t="s">
        <v>842</v>
      </c>
    </row>
    <row r="30" spans="1:3" ht="14.25">
      <c r="A30" s="3279"/>
      <c r="B30" s="3283"/>
      <c r="C30" s="1176" t="s">
        <v>843</v>
      </c>
    </row>
    <row r="31" spans="1:3" ht="14.25">
      <c r="A31" s="3279"/>
      <c r="B31" s="3283"/>
      <c r="C31" s="1176" t="s">
        <v>844</v>
      </c>
    </row>
    <row r="32" spans="1:3" ht="14.25">
      <c r="A32" s="3279"/>
      <c r="B32" s="3283"/>
      <c r="C32" s="1176" t="s">
        <v>1647</v>
      </c>
    </row>
    <row r="33" spans="1:3" ht="14.25">
      <c r="A33" s="3279"/>
      <c r="B33" s="3273" t="s">
        <v>1653</v>
      </c>
      <c r="C33" s="1176" t="s">
        <v>1648</v>
      </c>
    </row>
    <row r="34" spans="1:3" ht="14.25">
      <c r="A34" s="3279"/>
      <c r="B34" s="3274"/>
      <c r="C34" s="1181" t="s">
        <v>1649</v>
      </c>
    </row>
    <row r="35" spans="1:3" ht="14.25">
      <c r="A35" s="3279"/>
      <c r="B35" s="3274"/>
      <c r="C35" s="1182" t="s">
        <v>1650</v>
      </c>
    </row>
    <row r="36" spans="1:3" ht="14.25">
      <c r="A36" s="3279"/>
      <c r="B36" s="3274"/>
      <c r="C36" s="1182" t="s">
        <v>1651</v>
      </c>
    </row>
    <row r="37" spans="1:3" ht="14.25">
      <c r="A37" s="3279"/>
      <c r="B37" s="327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43469</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2980</v>
      </c>
      <c r="B14" s="3159">
        <f ca="1">IF(C14&lt;B2,"已过期",1120040230)</f>
        <v>1120040230</v>
      </c>
      <c r="C14" s="3163">
        <v>43835</v>
      </c>
      <c r="D14" s="3164" t="s">
        <v>2981</v>
      </c>
      <c r="E14" s="3159">
        <f ca="1">IF(F14&lt;B2,"已过期",98030020)</f>
        <v>98030020</v>
      </c>
      <c r="F14" s="3162">
        <v>47118</v>
      </c>
    </row>
    <row r="15" spans="1:6" ht="20.25" customHeight="1">
      <c r="A15" s="3159" t="s">
        <v>2575</v>
      </c>
      <c r="B15" s="3159">
        <f ca="1">IF(C15&lt;B2,"已过期",1120070085)</f>
        <v>1120070085</v>
      </c>
      <c r="C15" s="3163">
        <v>43814</v>
      </c>
      <c r="D15" s="3159" t="s">
        <v>2982</v>
      </c>
      <c r="E15" s="3159">
        <f ca="1">IF(F15&lt;B2,"已过期",2004110128)</f>
        <v>2004110128</v>
      </c>
      <c r="F15" s="3165">
        <v>47118</v>
      </c>
    </row>
    <row r="16" spans="1:6" ht="20.25" customHeight="1">
      <c r="A16" s="3159" t="s">
        <v>1924</v>
      </c>
      <c r="B16" s="3159">
        <f ca="1">IF(C16&lt;B2,"已过期",1120140022)</f>
        <v>1120140022</v>
      </c>
      <c r="C16" s="3161">
        <v>44029</v>
      </c>
      <c r="D16" s="3159" t="s">
        <v>2983</v>
      </c>
      <c r="E16" s="3159">
        <f ca="1">IF(F16&lt;B2,"已过期",2008110059)</f>
        <v>2008110059</v>
      </c>
      <c r="F16" s="3162">
        <v>47177</v>
      </c>
    </row>
    <row r="17" spans="1:7" ht="20.25" customHeight="1">
      <c r="A17" s="3159"/>
      <c r="B17" s="3159"/>
      <c r="C17" s="3161"/>
      <c r="D17" s="3164" t="s">
        <v>2984</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84" t="s">
        <v>1927</v>
      </c>
      <c r="B25" s="3284"/>
      <c r="C25" s="3284"/>
      <c r="D25" s="3284"/>
      <c r="E25" s="3284"/>
      <c r="F25" s="3284"/>
      <c r="G25" s="3284"/>
    </row>
    <row r="26" spans="1:7" ht="20.25" customHeight="1">
      <c r="A26" s="3285" t="s">
        <v>1928</v>
      </c>
      <c r="B26" s="3285"/>
      <c r="C26" s="3285"/>
      <c r="D26" s="3285" t="s">
        <v>1929</v>
      </c>
      <c r="E26" s="3285"/>
      <c r="F26" s="3285"/>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2941</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22" priority="113">
      <formula>AND($C24-TODAY()&lt;30,TODAY()&lt;$C24)</formula>
    </cfRule>
  </conditionalFormatting>
  <conditionalFormatting sqref="C28">
    <cfRule type="expression" dxfId="221" priority="112">
      <formula>AND($C28-TODAY()&lt;30,TODAY()&lt;$C28)</formula>
    </cfRule>
  </conditionalFormatting>
  <conditionalFormatting sqref="C28 F4">
    <cfRule type="cellIs" dxfId="220" priority="114" stopIfTrue="1" operator="lessThan">
      <formula>$B$2</formula>
    </cfRule>
  </conditionalFormatting>
  <conditionalFormatting sqref="F5">
    <cfRule type="cellIs" dxfId="219" priority="110" stopIfTrue="1" operator="lessThan">
      <formula>$B$2</formula>
    </cfRule>
  </conditionalFormatting>
  <conditionalFormatting sqref="F6 F8 F10">
    <cfRule type="cellIs" dxfId="218" priority="108" stopIfTrue="1" operator="lessThan">
      <formula>$B$2</formula>
    </cfRule>
  </conditionalFormatting>
  <conditionalFormatting sqref="C24:D24">
    <cfRule type="expression" dxfId="217" priority="106">
      <formula>AND($C24-TODAY()&lt;30,TODAY()&lt;$C24)</formula>
    </cfRule>
  </conditionalFormatting>
  <conditionalFormatting sqref="F7 F9 F11 C24:D24">
    <cfRule type="cellIs" dxfId="216" priority="107" stopIfTrue="1" operator="lessThan">
      <formula>$B$2</formula>
    </cfRule>
  </conditionalFormatting>
  <conditionalFormatting sqref="F18">
    <cfRule type="cellIs" dxfId="215" priority="79" stopIfTrue="1" operator="lessThan">
      <formula>$B$2</formula>
    </cfRule>
  </conditionalFormatting>
  <conditionalFormatting sqref="F22">
    <cfRule type="cellIs" dxfId="214" priority="78" stopIfTrue="1" operator="lessThan">
      <formula>$B$2</formula>
    </cfRule>
  </conditionalFormatting>
  <conditionalFormatting sqref="F21">
    <cfRule type="cellIs" dxfId="213" priority="77" stopIfTrue="1" operator="lessThan">
      <formula>$B$2</formula>
    </cfRule>
  </conditionalFormatting>
  <conditionalFormatting sqref="B4:B11 E4:E11 E18:E23 B17:B23 B13 E13">
    <cfRule type="cellIs" dxfId="212" priority="75" stopIfTrue="1" operator="equal">
      <formula>"已过期"</formula>
    </cfRule>
  </conditionalFormatting>
  <conditionalFormatting sqref="F28">
    <cfRule type="cellIs" dxfId="211" priority="72" stopIfTrue="1" operator="lessThan">
      <formula>$B$2</formula>
    </cfRule>
  </conditionalFormatting>
  <conditionalFormatting sqref="F29">
    <cfRule type="cellIs" dxfId="210" priority="70" stopIfTrue="1" operator="lessThan">
      <formula>$B$2</formula>
    </cfRule>
  </conditionalFormatting>
  <conditionalFormatting sqref="F28">
    <cfRule type="expression" dxfId="209" priority="116">
      <formula>AND($E28-TODAY()&lt;30,TODAY()&lt;$E28)</formula>
    </cfRule>
  </conditionalFormatting>
  <conditionalFormatting sqref="F29">
    <cfRule type="expression" dxfId="208" priority="117" stopIfTrue="1">
      <formula>AND($E29-TODAY()&lt;30,TODAY()&lt;$E29)</formula>
    </cfRule>
  </conditionalFormatting>
  <conditionalFormatting sqref="C5">
    <cfRule type="expression" dxfId="207" priority="67">
      <formula>AND($C5-TODAY()&lt;30,TODAY()&lt;$C5)</formula>
    </cfRule>
  </conditionalFormatting>
  <conditionalFormatting sqref="C5">
    <cfRule type="cellIs" dxfId="206" priority="68" stopIfTrue="1" operator="lessThan">
      <formula>$B$2</formula>
    </cfRule>
  </conditionalFormatting>
  <conditionalFormatting sqref="C4:C6">
    <cfRule type="expression" dxfId="205" priority="65">
      <formula>AND($C4-TODAY()&lt;30,TODAY()&lt;$C4)</formula>
    </cfRule>
  </conditionalFormatting>
  <conditionalFormatting sqref="C4:C6">
    <cfRule type="cellIs" dxfId="204" priority="66" stopIfTrue="1" operator="lessThan">
      <formula>$B$2</formula>
    </cfRule>
  </conditionalFormatting>
  <conditionalFormatting sqref="C8:C9">
    <cfRule type="expression" dxfId="203" priority="63">
      <formula>AND($C8-TODAY()&lt;30,TODAY()&lt;$C8)</formula>
    </cfRule>
  </conditionalFormatting>
  <conditionalFormatting sqref="C8:C9">
    <cfRule type="cellIs" dxfId="202" priority="64" stopIfTrue="1" operator="lessThan">
      <formula>$B$2</formula>
    </cfRule>
  </conditionalFormatting>
  <conditionalFormatting sqref="C7">
    <cfRule type="expression" dxfId="201" priority="46">
      <formula>AND($C7-TODAY()&lt;30,TODAY()&lt;$C7)</formula>
    </cfRule>
  </conditionalFormatting>
  <conditionalFormatting sqref="C7">
    <cfRule type="cellIs" dxfId="200" priority="47" stopIfTrue="1" operator="lessThan">
      <formula>$B$2</formula>
    </cfRule>
  </conditionalFormatting>
  <conditionalFormatting sqref="C10:C11 C13 C23 C17:C21">
    <cfRule type="expression" dxfId="199" priority="44">
      <formula>AND($C10-TODAY()&lt;30,TODAY()&lt;$C10)</formula>
    </cfRule>
  </conditionalFormatting>
  <conditionalFormatting sqref="C10:C11 C13 C23 C17:C21">
    <cfRule type="cellIs" dxfId="198" priority="45" stopIfTrue="1" operator="lessThan">
      <formula>$B$2</formula>
    </cfRule>
  </conditionalFormatting>
  <conditionalFormatting sqref="F13">
    <cfRule type="cellIs" dxfId="197" priority="43" stopIfTrue="1" operator="lessThan">
      <formula>$B$2</formula>
    </cfRule>
  </conditionalFormatting>
  <conditionalFormatting sqref="F12">
    <cfRule type="cellIs" dxfId="196" priority="35" stopIfTrue="1" operator="lessThan">
      <formula>$B$2</formula>
    </cfRule>
  </conditionalFormatting>
  <conditionalFormatting sqref="B12 E12">
    <cfRule type="cellIs" dxfId="195" priority="34" stopIfTrue="1" operator="equal">
      <formula>"已过期"</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22">
    <cfRule type="expression" dxfId="192" priority="24">
      <formula>AND($C22-TODAY()&lt;30,TODAY()&lt;$C22)</formula>
    </cfRule>
  </conditionalFormatting>
  <conditionalFormatting sqref="C22">
    <cfRule type="cellIs" dxfId="191" priority="25" stopIfTrue="1" operator="lessThan">
      <formula>$B$2</formula>
    </cfRule>
  </conditionalFormatting>
  <conditionalFormatting sqref="C16">
    <cfRule type="expression" dxfId="190" priority="22">
      <formula>AND($C16-TODAY()&lt;30,TODAY()&lt;$C16)</formula>
    </cfRule>
  </conditionalFormatting>
  <conditionalFormatting sqref="C16">
    <cfRule type="cellIs" dxfId="189" priority="23" stopIfTrue="1" operator="lessThan">
      <formula>$B$2</formula>
    </cfRule>
  </conditionalFormatting>
  <conditionalFormatting sqref="C16">
    <cfRule type="expression" dxfId="188" priority="20">
      <formula>AND($C16-TODAY()&lt;30,TODAY()&lt;$C16)</formula>
    </cfRule>
  </conditionalFormatting>
  <conditionalFormatting sqref="C16">
    <cfRule type="cellIs" dxfId="187" priority="21" stopIfTrue="1" operator="lessThan">
      <formula>$B$2</formula>
    </cfRule>
  </conditionalFormatting>
  <conditionalFormatting sqref="B16">
    <cfRule type="cellIs" dxfId="186" priority="19" stopIfTrue="1" operator="equal">
      <formula>"已过期"</formula>
    </cfRule>
  </conditionalFormatting>
  <conditionalFormatting sqref="C14:C15">
    <cfRule type="expression" dxfId="185" priority="17">
      <formula>AND($C14-TODAY()&lt;30,TODAY()&lt;$C14)</formula>
    </cfRule>
  </conditionalFormatting>
  <conditionalFormatting sqref="C14:C15">
    <cfRule type="cellIs" dxfId="184" priority="18" stopIfTrue="1" operator="lessThan">
      <formula>$B$2</formula>
    </cfRule>
  </conditionalFormatting>
  <conditionalFormatting sqref="C14">
    <cfRule type="expression" dxfId="183" priority="15">
      <formula>AND($C14-TODAY()&lt;30,TODAY()&lt;$C14)</formula>
    </cfRule>
  </conditionalFormatting>
  <conditionalFormatting sqref="C14">
    <cfRule type="cellIs" dxfId="182" priority="16" stopIfTrue="1" operator="lessThan">
      <formula>$B$2</formula>
    </cfRule>
  </conditionalFormatting>
  <conditionalFormatting sqref="C15">
    <cfRule type="expression" dxfId="181" priority="13">
      <formula>AND($C15-TODAY()&lt;30,TODAY()&lt;$C15)</formula>
    </cfRule>
  </conditionalFormatting>
  <conditionalFormatting sqref="C15">
    <cfRule type="cellIs" dxfId="180" priority="14" stopIfTrue="1" operator="lessThan">
      <formula>$B$2</formula>
    </cfRule>
  </conditionalFormatting>
  <conditionalFormatting sqref="B14">
    <cfRule type="cellIs" dxfId="179" priority="12" stopIfTrue="1" operator="equal">
      <formula>"已过期"</formula>
    </cfRule>
  </conditionalFormatting>
  <conditionalFormatting sqref="B15">
    <cfRule type="cellIs" dxfId="178" priority="11" stopIfTrue="1" operator="equal">
      <formula>"已过期"</formula>
    </cfRule>
  </conditionalFormatting>
  <conditionalFormatting sqref="A15">
    <cfRule type="cellIs" dxfId="177" priority="10" stopIfTrue="1" operator="equal">
      <formula>"已过期"</formula>
    </cfRule>
  </conditionalFormatting>
  <conditionalFormatting sqref="C15">
    <cfRule type="expression" dxfId="176" priority="9">
      <formula>AND($C15-TODAY()&lt;30,TODAY()&lt;$C15)</formula>
    </cfRule>
  </conditionalFormatting>
  <conditionalFormatting sqref="F16">
    <cfRule type="cellIs" dxfId="175" priority="8" stopIfTrue="1" operator="lessThan">
      <formula>$B$2</formula>
    </cfRule>
  </conditionalFormatting>
  <conditionalFormatting sqref="E16">
    <cfRule type="cellIs" dxfId="174" priority="7" stopIfTrue="1" operator="equal">
      <formula>"已过期"</formula>
    </cfRule>
  </conditionalFormatting>
  <conditionalFormatting sqref="E15">
    <cfRule type="cellIs" dxfId="173" priority="6" stopIfTrue="1" operator="equal">
      <formula>"已过期"</formula>
    </cfRule>
  </conditionalFormatting>
  <conditionalFormatting sqref="D15">
    <cfRule type="cellIs" dxfId="172" priority="5" stopIfTrue="1" operator="equal">
      <formula>"已过期"</formula>
    </cfRule>
  </conditionalFormatting>
  <conditionalFormatting sqref="F17">
    <cfRule type="cellIs" dxfId="171" priority="4" stopIfTrue="1" operator="lessThan">
      <formula>$B$2</formula>
    </cfRule>
  </conditionalFormatting>
  <conditionalFormatting sqref="E17">
    <cfRule type="cellIs" dxfId="170" priority="3" stopIfTrue="1" operator="equal">
      <formula>"已过期"</formula>
    </cfRule>
  </conditionalFormatting>
  <conditionalFormatting sqref="E14">
    <cfRule type="cellIs" dxfId="169" priority="2" stopIfTrue="1" operator="equal">
      <formula>"已过期"</formula>
    </cfRule>
  </conditionalFormatting>
  <conditionalFormatting sqref="F14">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4" workbookViewId="0">
      <selection activeCell="B34" sqref="B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2953</v>
      </c>
      <c r="C18" s="1554"/>
    </row>
    <row r="19" spans="1:3">
      <c r="A19" s="8" t="s">
        <v>120</v>
      </c>
      <c r="B19" s="3088" t="s">
        <v>2961</v>
      </c>
      <c r="C19" s="1554"/>
    </row>
    <row r="20" spans="1:3">
      <c r="A20" s="8" t="s">
        <v>121</v>
      </c>
      <c r="B20" s="8" t="s">
        <v>1642</v>
      </c>
      <c r="C20" s="1554"/>
    </row>
    <row r="21" spans="1:3">
      <c r="A21" s="8" t="s">
        <v>122</v>
      </c>
      <c r="B21" s="3198" t="s">
        <v>2991</v>
      </c>
      <c r="C21" s="1554"/>
    </row>
    <row r="22" spans="1:3">
      <c r="A22" s="8" t="s">
        <v>123</v>
      </c>
      <c r="B22" s="3198" t="s">
        <v>2992</v>
      </c>
      <c r="C22" s="1554"/>
    </row>
    <row r="23" spans="1:3">
      <c r="A23" s="8" t="s">
        <v>124</v>
      </c>
      <c r="B23" s="8" t="s">
        <v>1642</v>
      </c>
      <c r="C23" s="1554"/>
    </row>
    <row r="24" spans="1:3">
      <c r="A24" s="8" t="s">
        <v>12</v>
      </c>
      <c r="B24" s="8" t="s">
        <v>2993</v>
      </c>
      <c r="C24" s="1554"/>
    </row>
    <row r="25" spans="1:3">
      <c r="A25" s="8" t="s">
        <v>125</v>
      </c>
      <c r="B25" s="8" t="s">
        <v>2994</v>
      </c>
      <c r="C25" s="1554"/>
    </row>
    <row r="26" spans="1:3">
      <c r="A26" s="8" t="s">
        <v>126</v>
      </c>
      <c r="B26" s="8" t="s">
        <v>1642</v>
      </c>
      <c r="C26" s="1554"/>
    </row>
    <row r="27" spans="1:3">
      <c r="A27" s="8" t="s">
        <v>1642</v>
      </c>
      <c r="B27" s="10" t="s">
        <v>2988</v>
      </c>
      <c r="C27" s="1554"/>
    </row>
    <row r="28" spans="1:3">
      <c r="A28" s="8" t="s">
        <v>1642</v>
      </c>
      <c r="B28" s="10" t="s">
        <v>2989</v>
      </c>
      <c r="C28" s="1554"/>
    </row>
    <row r="29" spans="1:3">
      <c r="A29" s="8" t="s">
        <v>1642</v>
      </c>
      <c r="B29" s="8" t="s">
        <v>2990</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7"/>
    </row>
    <row r="52" spans="1:5">
      <c r="A52" s="1765" t="s">
        <v>1987</v>
      </c>
      <c r="B52" s="1768" t="s">
        <v>1988</v>
      </c>
      <c r="C52" s="1766" t="s">
        <v>1989</v>
      </c>
      <c r="D52" s="1766" t="s">
        <v>1990</v>
      </c>
      <c r="E52" s="1767"/>
    </row>
    <row r="53" spans="1:5">
      <c r="A53" s="328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7"/>
      <c r="E53" s="1767"/>
    </row>
    <row r="54" spans="1:5">
      <c r="A54" s="328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7"/>
      <c r="E54" s="1767"/>
    </row>
    <row r="55" spans="1:5">
      <c r="A55" s="328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7"/>
      <c r="E55" s="1767"/>
    </row>
    <row r="56" spans="1:5">
      <c r="A56" s="328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7"/>
      <c r="E56" s="1767"/>
    </row>
    <row r="57" spans="1:5">
      <c r="A57" s="328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结果汇总表</vt:lpstr>
      <vt:lpstr>结果表-商业</vt:lpstr>
      <vt:lpstr>基准地价-商业</vt:lpstr>
      <vt:lpstr>不动产收益法-商业</vt:lpstr>
      <vt:lpstr>剩余法-商业</vt:lpstr>
      <vt:lpstr>不动产比较法-商业</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结果表-办公</vt:lpstr>
      <vt:lpstr>基准地价-办公</vt:lpstr>
      <vt:lpstr>不动产收益法-办公</vt:lpstr>
      <vt:lpstr>剩余法-办公</vt:lpstr>
      <vt:lpstr>不动产比较法-办公</vt:lpstr>
      <vt:lpstr>不动产比较法-工业</vt:lpstr>
      <vt:lpstr>不动产比较法-车位</vt:lpstr>
      <vt:lpstr>不动产比较法-仓储</vt:lpstr>
      <vt:lpstr>典型户型修正</vt:lpstr>
      <vt:lpstr>存贷款利率</vt:lpstr>
      <vt:lpstr>商业租金案例</vt:lpstr>
      <vt:lpstr>系统读取表</vt:lpstr>
      <vt:lpstr>办公案例</vt:lpstr>
      <vt:lpstr>商业案例</vt:lpstr>
      <vt:lpstr>面积拆分</vt:lpstr>
      <vt:lpstr>地价</vt:lpstr>
      <vt:lpstr>办公租金案例</vt:lpstr>
      <vt:lpstr>'不动产比较法-办公'!Print_Area</vt:lpstr>
      <vt:lpstr>'不动产比较法-商业'!Print_Area</vt:lpstr>
      <vt:lpstr>'不动产收益法-办公'!Print_Area</vt:lpstr>
      <vt:lpstr>'不动产收益法-商业'!Print_Area</vt:lpstr>
      <vt:lpstr>'剩余法-办公'!Print_Area</vt:lpstr>
      <vt:lpstr>'剩余法-商业'!Print_Area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2019-01-04T09:32:12Z</cp:lastPrinted>
  <dcterms:created xsi:type="dcterms:W3CDTF">2015-07-13T07:17:23Z</dcterms:created>
  <dcterms:modified xsi:type="dcterms:W3CDTF">2019-01-04T12:28:28Z</dcterms:modified>
</cp:coreProperties>
</file>