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070" tabRatio="899" firstSheet="8"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首开保利熙悦林语"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资产证券化现金流预测" sheetId="78" r:id="rId46"/>
    <sheet name="土地案例" sheetId="79" r:id="rId47"/>
    <sheet name="估价结果" sheetId="80"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Q25" i="77" l="1"/>
  <c r="Q26" i="77"/>
  <c r="Q27" i="77"/>
  <c r="Q24" i="77"/>
  <c r="Q8" i="77"/>
  <c r="Q9" i="77"/>
  <c r="Q4" i="77"/>
  <c r="Q5" i="77"/>
  <c r="Q3" i="77"/>
  <c r="D9" i="68"/>
  <c r="C9" i="68"/>
  <c r="D10" i="68"/>
  <c r="C10" i="68"/>
  <c r="C8" i="68"/>
  <c r="C5" i="68"/>
  <c r="D19" i="68"/>
  <c r="C19" i="68"/>
  <c r="C20" i="68"/>
  <c r="D6" i="73"/>
  <c r="G1" i="73"/>
  <c r="B40" i="1"/>
  <c r="F22" i="68"/>
  <c r="C23" i="68"/>
  <c r="C24" i="68"/>
  <c r="C25" i="68"/>
  <c r="C22" i="68"/>
  <c r="F27" i="68"/>
  <c r="C28" i="68"/>
  <c r="C27" i="68"/>
  <c r="C26" i="68"/>
  <c r="D22" i="68"/>
  <c r="C29" i="68"/>
  <c r="D27" i="68"/>
  <c r="C31" i="68"/>
  <c r="F34" i="68"/>
  <c r="M6" i="1"/>
  <c r="C34" i="68"/>
  <c r="C35" i="68"/>
  <c r="C36" i="68"/>
  <c r="D37" i="68"/>
  <c r="C37" i="68"/>
  <c r="C38" i="68"/>
  <c r="C33" i="68"/>
  <c r="C39" i="68"/>
  <c r="C42" i="68"/>
  <c r="C43" i="68"/>
  <c r="C41" i="68"/>
  <c r="C46" i="68"/>
  <c r="C45" i="68"/>
  <c r="C44" i="68"/>
  <c r="D41" i="68"/>
  <c r="C47" i="68"/>
  <c r="D45" i="68"/>
  <c r="C49" i="68"/>
  <c r="F50" i="68"/>
  <c r="C51" i="68"/>
  <c r="C52" i="68"/>
  <c r="B2" i="68"/>
  <c r="E4" i="80"/>
  <c r="E5" i="80"/>
  <c r="F4" i="80"/>
  <c r="C6" i="68"/>
  <c r="E71" i="39"/>
  <c r="F71" i="39"/>
  <c r="G71" i="39"/>
  <c r="H71" i="39"/>
  <c r="I71" i="39"/>
  <c r="J71" i="39"/>
  <c r="K71" i="39"/>
  <c r="L71" i="39"/>
  <c r="M71" i="39"/>
  <c r="D71" i="39"/>
  <c r="E118" i="39"/>
  <c r="F118" i="39"/>
  <c r="G118" i="39"/>
  <c r="H118" i="39"/>
  <c r="D118" i="39"/>
  <c r="E117" i="39"/>
  <c r="F117" i="39"/>
  <c r="G117" i="39"/>
  <c r="H117" i="39"/>
  <c r="D117" i="39"/>
  <c r="I7" i="39"/>
  <c r="G7" i="39"/>
  <c r="E7" i="39"/>
  <c r="I5" i="39"/>
  <c r="G5" i="39"/>
  <c r="E5" i="39"/>
  <c r="I46" i="39"/>
  <c r="G46" i="39"/>
  <c r="E46" i="39"/>
  <c r="I38" i="39"/>
  <c r="G38" i="39"/>
  <c r="E38" i="39"/>
  <c r="C38" i="39"/>
  <c r="G1" i="68"/>
  <c r="B29" i="1"/>
  <c r="F19" i="6"/>
  <c r="AT14" i="3"/>
  <c r="AN14" i="3"/>
  <c r="AL14" i="3"/>
  <c r="AJ14" i="3"/>
  <c r="AH14" i="3"/>
  <c r="AF14" i="3"/>
  <c r="AD14" i="3"/>
  <c r="O14" i="3"/>
  <c r="M14" i="3"/>
  <c r="K14" i="3"/>
  <c r="I14" i="3"/>
  <c r="A3" i="3"/>
  <c r="I19" i="77"/>
  <c r="O34" i="77"/>
  <c r="D34" i="77"/>
  <c r="C18" i="77"/>
  <c r="C33" i="77"/>
  <c r="J31" i="77"/>
  <c r="K31" i="77"/>
  <c r="F31" i="77"/>
  <c r="E31" i="77"/>
  <c r="C31" i="77"/>
  <c r="M31" i="77"/>
  <c r="C32" i="77"/>
  <c r="C25" i="77"/>
  <c r="C26" i="77"/>
  <c r="C27" i="77"/>
  <c r="C28" i="77"/>
  <c r="C29" i="77"/>
  <c r="C30" i="77"/>
  <c r="C24" i="77"/>
  <c r="N37" i="77"/>
  <c r="C14" i="77"/>
  <c r="C15" i="77"/>
  <c r="C16" i="77"/>
  <c r="C17" i="77"/>
  <c r="C19" i="77"/>
  <c r="C4" i="77"/>
  <c r="C5" i="77"/>
  <c r="C6" i="77"/>
  <c r="C7" i="77"/>
  <c r="C8" i="77"/>
  <c r="C9" i="77"/>
  <c r="C10" i="77"/>
  <c r="C11" i="77"/>
  <c r="C12" i="77"/>
  <c r="C3" i="77"/>
  <c r="F13" i="77"/>
  <c r="E13" i="77"/>
  <c r="C13" i="77"/>
  <c r="M13" i="77"/>
  <c r="K13" i="77"/>
  <c r="J13" i="77"/>
  <c r="C20" i="77"/>
  <c r="AH5" i="71"/>
  <c r="AG5" i="71"/>
  <c r="AE5" i="71"/>
  <c r="AF5" i="71"/>
  <c r="AD5" i="71"/>
  <c r="Q5" i="71"/>
  <c r="P5" i="71"/>
  <c r="O5" i="71"/>
  <c r="N5" i="71"/>
  <c r="AH6" i="71"/>
  <c r="AG6" i="71"/>
  <c r="AE6" i="71"/>
  <c r="AF6" i="71"/>
  <c r="AD6" i="71"/>
  <c r="Q6" i="71"/>
  <c r="AB5" i="71"/>
  <c r="P6" i="71"/>
  <c r="AA5"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H13" i="3"/>
  <c r="G13" i="3"/>
  <c r="H14" i="3"/>
  <c r="AC14" i="3"/>
  <c r="G14" i="3"/>
  <c r="G5" i="3"/>
  <c r="B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AZ5" i="3"/>
  <c r="AY6" i="3"/>
  <c r="D3" i="6"/>
  <c r="M19" i="9"/>
  <c r="C118" i="9"/>
  <c r="C14" i="74"/>
  <c r="E3" i="6"/>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D9" i="1"/>
  <c r="G9" i="1"/>
  <c r="F10" i="1"/>
  <c r="F11" i="1"/>
  <c r="F12" i="1"/>
  <c r="F13" i="1"/>
  <c r="D13" i="1"/>
  <c r="G13" i="1"/>
  <c r="D6" i="1"/>
  <c r="D10" i="1"/>
  <c r="D11" i="1"/>
  <c r="D12"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D78" i="9"/>
  <c r="BQ15" i="3"/>
  <c r="BQ16" i="3"/>
  <c r="BQ17" i="3"/>
  <c r="BS15" i="3"/>
  <c r="BS16" i="3"/>
  <c r="BS17" i="3"/>
  <c r="BR15" i="3"/>
  <c r="BR16" i="3"/>
  <c r="BR17" i="3"/>
  <c r="BT15" i="3"/>
  <c r="BT16" i="3"/>
  <c r="BT17" i="3"/>
  <c r="BM15" i="3"/>
  <c r="BL15" i="3"/>
  <c r="BM16" i="3"/>
  <c r="BM17" i="3"/>
  <c r="BO15" i="3"/>
  <c r="BO16" i="3"/>
  <c r="BO17" i="3"/>
  <c r="BN15" i="3"/>
  <c r="BN16" i="3"/>
  <c r="BN17" i="3"/>
  <c r="BP15" i="3"/>
  <c r="BP16" i="3"/>
  <c r="BP17" i="3"/>
  <c r="E19" i="6"/>
  <c r="E20" i="6"/>
  <c r="E21" i="6"/>
  <c r="K8" i="1"/>
  <c r="M8" i="1"/>
  <c r="F23" i="15"/>
  <c r="D24" i="15"/>
  <c r="O8" i="1"/>
  <c r="P8" i="1"/>
  <c r="M13" i="1"/>
  <c r="O13" i="1"/>
  <c r="P13" i="1"/>
  <c r="E22" i="6"/>
  <c r="E23" i="6"/>
  <c r="E24" i="6"/>
  <c r="E25" i="6"/>
  <c r="E26" i="6"/>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D58" i="33"/>
  <c r="C7" i="21"/>
  <c r="C58" i="21"/>
  <c r="C7" i="40"/>
  <c r="C63" i="40"/>
  <c r="M47" i="9"/>
  <c r="G19" i="43"/>
  <c r="O19" i="43"/>
  <c r="T35" i="4"/>
  <c r="A19" i="51"/>
  <c r="B14" i="72"/>
  <c r="C46" i="36"/>
  <c r="D46" i="36"/>
  <c r="C59" i="34"/>
  <c r="D59" i="34"/>
  <c r="E59" i="34"/>
  <c r="F59" i="34"/>
  <c r="G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C65" i="40"/>
  <c r="D63" i="40"/>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58" i="21"/>
  <c r="C24" i="12"/>
  <c r="C48" i="68"/>
  <c r="C15" i="71"/>
  <c r="D15" i="71"/>
  <c r="D16" i="71"/>
  <c r="D17" i="71"/>
  <c r="U17" i="71"/>
  <c r="S17" i="71"/>
  <c r="T17" i="71"/>
  <c r="AB15" i="71"/>
  <c r="X13" i="71"/>
  <c r="X12" i="71"/>
  <c r="AA13" i="71"/>
  <c r="AA12" i="71"/>
  <c r="X16" i="71"/>
  <c r="Z11" i="71"/>
  <c r="Y12" i="71"/>
  <c r="Z12" i="71"/>
  <c r="AB13" i="71"/>
  <c r="AB12" i="71"/>
  <c r="S13" i="71"/>
  <c r="C94" i="9"/>
  <c r="C92" i="9"/>
  <c r="C20" i="11"/>
  <c r="C28" i="11"/>
  <c r="C27" i="11"/>
  <c r="F14" i="71"/>
  <c r="F13" i="71"/>
  <c r="Y13" i="71"/>
  <c r="Z13" i="71"/>
  <c r="X3" i="71"/>
  <c r="C14" i="71"/>
  <c r="E14" i="71"/>
  <c r="E13" i="71"/>
  <c r="G20" i="43"/>
  <c r="D65" i="40"/>
  <c r="E63" i="40"/>
  <c r="G17" i="43"/>
  <c r="C16" i="43"/>
  <c r="D5" i="43"/>
  <c r="C5" i="43"/>
  <c r="E58" i="21"/>
  <c r="F58" i="21"/>
  <c r="G58" i="21"/>
  <c r="H59" i="34"/>
  <c r="V13" i="71"/>
  <c r="C13" i="71"/>
  <c r="D14" i="71"/>
  <c r="E65" i="40"/>
  <c r="F63" i="40"/>
  <c r="F65" i="40"/>
  <c r="E41" i="43"/>
  <c r="C41" i="43"/>
  <c r="C20" i="43"/>
  <c r="I59" i="34"/>
  <c r="J59" i="34"/>
  <c r="D11" i="71"/>
  <c r="T13" i="71"/>
  <c r="D12" i="71"/>
  <c r="D13" i="71"/>
  <c r="G63" i="40"/>
  <c r="H63" i="40"/>
  <c r="C19" i="43"/>
  <c r="U13" i="71"/>
  <c r="G65" i="40"/>
  <c r="AO13" i="1"/>
  <c r="F9" i="15"/>
  <c r="E7" i="76"/>
  <c r="F6" i="15"/>
  <c r="F8" i="15"/>
  <c r="F7" i="15"/>
  <c r="C6" i="15"/>
  <c r="F4" i="73"/>
  <c r="I1" i="73"/>
  <c r="B39" i="1"/>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B2" i="15"/>
  <c r="AO6" i="1"/>
  <c r="F5" i="73"/>
  <c r="AO10" i="1"/>
  <c r="E10" i="76"/>
  <c r="D2" i="21"/>
  <c r="B10" i="76"/>
  <c r="D3" i="73"/>
  <c r="D34" i="9"/>
  <c r="M9" i="67"/>
  <c r="F20" i="31"/>
  <c r="D2" i="33"/>
  <c r="M8" i="67"/>
  <c r="E11" i="76"/>
  <c r="F37" i="67"/>
  <c r="L48" i="67"/>
  <c r="E9" i="76"/>
  <c r="F35" i="67"/>
  <c r="E12" i="76"/>
  <c r="M22" i="15"/>
  <c r="D2" i="37"/>
  <c r="C76" i="67"/>
  <c r="AO7" i="1"/>
  <c r="B3" i="68"/>
  <c r="C20" i="9"/>
  <c r="F6" i="73"/>
  <c r="M24" i="67"/>
  <c r="D35" i="9"/>
  <c r="F6" i="67"/>
  <c r="F40" i="67"/>
  <c r="E2" i="69"/>
  <c r="F38" i="67"/>
  <c r="M23" i="67"/>
  <c r="D19" i="9"/>
  <c r="AO12" i="1"/>
  <c r="F9" i="67"/>
  <c r="L47" i="67"/>
  <c r="B13" i="76"/>
  <c r="F26" i="67"/>
  <c r="L47" i="15"/>
  <c r="F7" i="67"/>
  <c r="C76" i="15"/>
  <c r="AO9" i="1"/>
  <c r="B11" i="76"/>
  <c r="M26" i="15"/>
  <c r="M27" i="67"/>
  <c r="F7" i="73"/>
  <c r="F42" i="67"/>
  <c r="F41" i="67"/>
  <c r="M23" i="15"/>
  <c r="E13" i="76"/>
  <c r="B8" i="76"/>
  <c r="AO8" i="1"/>
  <c r="B9" i="76"/>
  <c r="M29" i="67"/>
  <c r="D7" i="73"/>
  <c r="B12" i="76"/>
  <c r="M27" i="15"/>
  <c r="C19" i="9"/>
  <c r="F36" i="67"/>
  <c r="F16" i="67"/>
  <c r="M6" i="67"/>
  <c r="AO11" i="1"/>
  <c r="M21" i="15"/>
  <c r="D2" i="34"/>
  <c r="F8" i="67"/>
  <c r="M22" i="67"/>
  <c r="M28" i="15"/>
  <c r="D2" i="35"/>
  <c r="F13" i="67"/>
  <c r="M29" i="15"/>
  <c r="F3" i="73"/>
  <c r="B7" i="76"/>
  <c r="M26" i="67"/>
  <c r="M21" i="67"/>
  <c r="M24" i="15"/>
  <c r="D4" i="73"/>
  <c r="F43" i="67"/>
  <c r="D5" i="73"/>
  <c r="J15" i="15"/>
  <c r="J15" i="67"/>
  <c r="E2" i="68"/>
  <c r="M28" i="67"/>
  <c r="D2" i="36"/>
  <c r="D20" i="9"/>
  <c r="E8" i="76"/>
  <c r="K59" i="34"/>
  <c r="L59" i="34"/>
  <c r="M59" i="34"/>
  <c r="N59" i="34"/>
  <c r="O59" i="34"/>
  <c r="H7" i="34"/>
  <c r="F7" i="34"/>
  <c r="H58" i="21"/>
  <c r="I58" i="21"/>
  <c r="J58" i="21"/>
  <c r="K58" i="21"/>
  <c r="L58" i="21"/>
  <c r="M58" i="21"/>
  <c r="N58" i="21"/>
  <c r="O58" i="21"/>
  <c r="H7" i="21"/>
  <c r="H65" i="40"/>
  <c r="I63" i="40"/>
  <c r="F7" i="21"/>
  <c r="J7" i="21"/>
  <c r="E48" i="35"/>
  <c r="F48" i="35"/>
  <c r="G48" i="35"/>
  <c r="H48" i="35"/>
  <c r="I48" i="35"/>
  <c r="J48" i="35"/>
  <c r="K48" i="35"/>
  <c r="L48" i="35"/>
  <c r="M48" i="35"/>
  <c r="N48" i="35"/>
  <c r="O48" i="35"/>
  <c r="H7" i="35"/>
  <c r="J7" i="35"/>
  <c r="F7" i="35"/>
  <c r="E58" i="33"/>
  <c r="F58" i="33"/>
  <c r="G58" i="33"/>
  <c r="H58" i="33"/>
  <c r="I58" i="33"/>
  <c r="J58" i="33"/>
  <c r="K58" i="33"/>
  <c r="L58" i="33"/>
  <c r="M58" i="33"/>
  <c r="N58" i="33"/>
  <c r="O58" i="33"/>
  <c r="H7" i="33"/>
  <c r="J7" i="34"/>
  <c r="E52" i="37"/>
  <c r="F52" i="37"/>
  <c r="G52" i="37"/>
  <c r="H52" i="37"/>
  <c r="I52" i="37"/>
  <c r="J52" i="37"/>
  <c r="K52" i="37"/>
  <c r="L52" i="37"/>
  <c r="M52" i="37"/>
  <c r="N52" i="37"/>
  <c r="O52" i="37"/>
  <c r="F7" i="37"/>
  <c r="H7" i="37"/>
  <c r="E46" i="36"/>
  <c r="F46" i="36"/>
  <c r="G46" i="36"/>
  <c r="H46" i="36"/>
  <c r="I46" i="36"/>
  <c r="J46" i="36"/>
  <c r="K46" i="36"/>
  <c r="L46" i="36"/>
  <c r="M46" i="36"/>
  <c r="N46" i="36"/>
  <c r="O46" i="36"/>
  <c r="F7" i="36"/>
  <c r="H7" i="36"/>
  <c r="D68" i="39"/>
  <c r="C70" i="39"/>
  <c r="C29" i="12"/>
  <c r="D28" i="12"/>
  <c r="G16" i="1"/>
  <c r="J10" i="40"/>
  <c r="T14" i="43"/>
  <c r="V14" i="43"/>
  <c r="C35" i="11"/>
  <c r="C33" i="11"/>
  <c r="F31" i="67"/>
  <c r="F31" i="15"/>
  <c r="K4" i="4"/>
  <c r="B46" i="48"/>
  <c r="B4" i="72"/>
  <c r="B4" i="62"/>
  <c r="B71" i="72"/>
  <c r="C47" i="69"/>
  <c r="D45" i="69"/>
  <c r="F45" i="69"/>
  <c r="F45" i="68"/>
  <c r="D9" i="53"/>
  <c r="B25" i="72"/>
  <c r="B24" i="72"/>
  <c r="K120" i="9"/>
  <c r="D8" i="71"/>
  <c r="C7" i="71"/>
  <c r="T11" i="43"/>
  <c r="V11" i="43"/>
  <c r="T12" i="43"/>
  <c r="V12" i="43"/>
  <c r="Y9" i="71"/>
  <c r="Z9" i="71"/>
  <c r="Y8" i="71"/>
  <c r="AA9" i="71"/>
  <c r="AB3" i="71"/>
  <c r="C35" i="43"/>
  <c r="E35" i="43"/>
  <c r="C36" i="43"/>
  <c r="E36" i="43"/>
  <c r="T9" i="43"/>
  <c r="V9" i="43"/>
  <c r="C39" i="43"/>
  <c r="C29" i="69"/>
  <c r="D27" i="69"/>
  <c r="C37" i="43"/>
  <c r="E37" i="43"/>
  <c r="B9" i="71"/>
  <c r="B8" i="71"/>
  <c r="B7" i="71"/>
  <c r="B6" i="71"/>
  <c r="B5" i="71"/>
  <c r="X9" i="71"/>
  <c r="AB9" i="71"/>
  <c r="T4" i="43"/>
  <c r="V4" i="43"/>
  <c r="T15" i="43"/>
  <c r="V15" i="43"/>
  <c r="T6" i="43"/>
  <c r="V6" i="43"/>
  <c r="Z8" i="71"/>
  <c r="Y3" i="71"/>
  <c r="Z3" i="71"/>
  <c r="D9" i="71"/>
  <c r="F9" i="71"/>
  <c r="F8" i="71"/>
  <c r="F7" i="71"/>
  <c r="F6" i="71"/>
  <c r="F5" i="71"/>
  <c r="C12" i="12"/>
  <c r="C14" i="12"/>
  <c r="AF3" i="71"/>
  <c r="P22" i="43"/>
  <c r="C29" i="43"/>
  <c r="C38" i="69"/>
  <c r="C34" i="43"/>
  <c r="T10" i="43"/>
  <c r="V10" i="43"/>
  <c r="T7" i="43"/>
  <c r="V7" i="43"/>
  <c r="C33" i="43"/>
  <c r="T16" i="43"/>
  <c r="V16" i="43"/>
  <c r="T13" i="43"/>
  <c r="V13" i="43"/>
  <c r="T8" i="43"/>
  <c r="V8" i="43"/>
  <c r="T2" i="43"/>
  <c r="V2" i="43"/>
  <c r="C38" i="43"/>
  <c r="T3" i="43"/>
  <c r="V3" i="43"/>
  <c r="C8" i="69"/>
  <c r="C5" i="69"/>
  <c r="G36" i="43"/>
  <c r="I36" i="43"/>
  <c r="T5" i="43"/>
  <c r="V5" i="43"/>
  <c r="R16" i="1"/>
  <c r="D19" i="69"/>
  <c r="C19" i="69"/>
  <c r="C6" i="67"/>
  <c r="C21" i="9"/>
  <c r="D22" i="9"/>
  <c r="G19" i="9"/>
  <c r="C102" i="9"/>
  <c r="B10" i="70"/>
  <c r="D102" i="9"/>
  <c r="D21" i="9"/>
  <c r="Q71" i="15"/>
  <c r="F63" i="15"/>
  <c r="C62" i="15"/>
  <c r="B6" i="70"/>
  <c r="L56" i="15"/>
  <c r="J57" i="15"/>
  <c r="J55" i="15"/>
  <c r="J58" i="15"/>
  <c r="Q50" i="15"/>
  <c r="I54" i="15"/>
  <c r="K1" i="73"/>
  <c r="B20" i="31"/>
  <c r="B21" i="31"/>
  <c r="F51" i="67"/>
  <c r="F65" i="67"/>
  <c r="J20" i="67"/>
  <c r="B12" i="70"/>
  <c r="J53" i="67"/>
  <c r="J57" i="67"/>
  <c r="J55" i="67"/>
  <c r="J58" i="67"/>
  <c r="Q50" i="67"/>
  <c r="L56" i="67"/>
  <c r="I54" i="67"/>
  <c r="F69" i="15"/>
  <c r="F50" i="15"/>
  <c r="F51" i="15"/>
  <c r="F71" i="15"/>
  <c r="B7" i="70"/>
  <c r="F69" i="67"/>
  <c r="E20" i="43"/>
  <c r="F66" i="67"/>
  <c r="B11" i="70"/>
  <c r="L59" i="15"/>
  <c r="N59" i="15"/>
  <c r="L58" i="15"/>
  <c r="M59" i="15"/>
  <c r="B8" i="70"/>
  <c r="F66" i="15"/>
  <c r="Q71" i="67"/>
  <c r="F64" i="15"/>
  <c r="F70" i="67"/>
  <c r="D103" i="9"/>
  <c r="C27" i="67"/>
  <c r="F71" i="67"/>
  <c r="F65" i="15"/>
  <c r="B9" i="70"/>
  <c r="G20" i="9"/>
  <c r="C103" i="9"/>
  <c r="N59" i="67"/>
  <c r="L59" i="67"/>
  <c r="L58" i="67"/>
  <c r="M59" i="67"/>
  <c r="B13" i="70"/>
  <c r="M7" i="67"/>
  <c r="J6" i="67"/>
  <c r="F50" i="67"/>
  <c r="F59" i="67"/>
  <c r="F63" i="67"/>
  <c r="C62" i="67"/>
  <c r="C34" i="67"/>
  <c r="F68" i="67"/>
  <c r="F64" i="67"/>
  <c r="J20" i="15"/>
  <c r="F68" i="15"/>
  <c r="D37" i="69"/>
  <c r="C37" i="69"/>
  <c r="C17" i="67"/>
  <c r="C14" i="67"/>
  <c r="C16" i="67"/>
  <c r="F10" i="39"/>
  <c r="E68" i="39"/>
  <c r="D70" i="39"/>
  <c r="J7" i="36"/>
  <c r="S7" i="37"/>
  <c r="AA7" i="37"/>
  <c r="R42" i="37"/>
  <c r="J7" i="37"/>
  <c r="F7" i="33"/>
  <c r="AA7" i="35"/>
  <c r="R38" i="35"/>
  <c r="S7" i="35"/>
  <c r="W7" i="21"/>
  <c r="AC7" i="21"/>
  <c r="V48" i="21"/>
  <c r="I48" i="21"/>
  <c r="I65" i="40"/>
  <c r="J63" i="40"/>
  <c r="U7" i="36"/>
  <c r="AB7" i="36"/>
  <c r="T36" i="36"/>
  <c r="G36" i="36"/>
  <c r="AA7" i="36"/>
  <c r="R36" i="36"/>
  <c r="S7" i="36"/>
  <c r="U7" i="37"/>
  <c r="AB7" i="37"/>
  <c r="T42" i="37"/>
  <c r="G42" i="37"/>
  <c r="AC7" i="34"/>
  <c r="V49" i="34"/>
  <c r="I49" i="34"/>
  <c r="W7" i="34"/>
  <c r="AB7" i="33"/>
  <c r="T48" i="33"/>
  <c r="G48" i="33"/>
  <c r="U7" i="33"/>
  <c r="J7" i="33"/>
  <c r="AC7" i="35"/>
  <c r="V38" i="35"/>
  <c r="I38" i="35"/>
  <c r="W7" i="35"/>
  <c r="AB7" i="35"/>
  <c r="T38" i="35"/>
  <c r="G38" i="35"/>
  <c r="U7" i="35"/>
  <c r="AA7" i="21"/>
  <c r="R48" i="21"/>
  <c r="S7" i="21"/>
  <c r="AB7" i="21"/>
  <c r="T48" i="21"/>
  <c r="G48" i="21"/>
  <c r="U7" i="21"/>
  <c r="S7" i="34"/>
  <c r="AA7" i="34"/>
  <c r="R49" i="34"/>
  <c r="U7" i="34"/>
  <c r="AB7" i="34"/>
  <c r="T49" i="34"/>
  <c r="G49" i="34"/>
  <c r="H10" i="40"/>
  <c r="J10" i="39"/>
  <c r="W10" i="39"/>
  <c r="F10" i="40"/>
  <c r="H10" i="39"/>
  <c r="U10" i="39"/>
  <c r="U10" i="40"/>
  <c r="AB10" i="40"/>
  <c r="S10" i="39"/>
  <c r="AA10" i="39"/>
  <c r="AA10" i="40"/>
  <c r="S10" i="40"/>
  <c r="AB10" i="39"/>
  <c r="W10" i="40"/>
  <c r="AC10" i="40"/>
  <c r="G35" i="43"/>
  <c r="I35" i="43"/>
  <c r="G37" i="43"/>
  <c r="I37" i="43"/>
  <c r="D7" i="71"/>
  <c r="C6" i="71"/>
  <c r="C39" i="11"/>
  <c r="C46" i="11"/>
  <c r="C45" i="11"/>
  <c r="M17" i="67"/>
  <c r="M17" i="15"/>
  <c r="F59" i="15"/>
  <c r="P24" i="43"/>
  <c r="B66" i="40"/>
  <c r="C16" i="12"/>
  <c r="P21" i="43"/>
  <c r="C20" i="69"/>
  <c r="C28" i="69"/>
  <c r="C27" i="69"/>
  <c r="C49" i="67"/>
  <c r="E39" i="43"/>
  <c r="G39" i="43"/>
  <c r="I39" i="43"/>
  <c r="P25" i="43"/>
  <c r="P23" i="43"/>
  <c r="B71" i="39"/>
  <c r="C33" i="69"/>
  <c r="C39" i="69"/>
  <c r="C30" i="43"/>
  <c r="E30" i="43"/>
  <c r="E29" i="43"/>
  <c r="E38" i="43"/>
  <c r="G38" i="43"/>
  <c r="I38" i="43"/>
  <c r="G34" i="43"/>
  <c r="I34" i="43"/>
  <c r="E34" i="43"/>
  <c r="G33" i="43"/>
  <c r="I33" i="43"/>
  <c r="E33" i="43"/>
  <c r="C26" i="43"/>
  <c r="C49" i="15"/>
  <c r="C15" i="67"/>
  <c r="C18" i="67"/>
  <c r="J18" i="15"/>
  <c r="C32" i="67"/>
  <c r="G21" i="9"/>
  <c r="C32" i="9"/>
  <c r="Q60" i="67"/>
  <c r="Q73" i="67"/>
  <c r="M28" i="43"/>
  <c r="N28" i="43"/>
  <c r="O28" i="43"/>
  <c r="P28" i="43"/>
  <c r="M11" i="67"/>
  <c r="J10" i="67"/>
  <c r="J5" i="67"/>
  <c r="F11" i="67"/>
  <c r="Q52" i="15"/>
  <c r="J18" i="67"/>
  <c r="F1" i="67"/>
  <c r="Q52" i="67"/>
  <c r="Q60" i="15"/>
  <c r="Q73" i="15"/>
  <c r="Q61" i="67"/>
  <c r="Q74" i="67"/>
  <c r="Q74" i="15"/>
  <c r="Q61" i="15"/>
  <c r="B2" i="70"/>
  <c r="B3" i="70"/>
  <c r="AC10" i="39"/>
  <c r="G52" i="21"/>
  <c r="H52" i="21"/>
  <c r="G53" i="21"/>
  <c r="H53" i="21"/>
  <c r="R49" i="21"/>
  <c r="E48" i="21"/>
  <c r="G42" i="35"/>
  <c r="H42" i="35"/>
  <c r="G43" i="35"/>
  <c r="H43" i="35"/>
  <c r="I42" i="35"/>
  <c r="J42" i="35"/>
  <c r="G46" i="37"/>
  <c r="H46" i="37"/>
  <c r="G40" i="36"/>
  <c r="H40" i="36"/>
  <c r="R39" i="35"/>
  <c r="E38" i="35"/>
  <c r="I43" i="35"/>
  <c r="J43" i="35"/>
  <c r="W7" i="37"/>
  <c r="AC7" i="37"/>
  <c r="V42" i="37"/>
  <c r="I42" i="37"/>
  <c r="G53" i="34"/>
  <c r="H53" i="34"/>
  <c r="G54" i="34"/>
  <c r="H54" i="34"/>
  <c r="R50" i="34"/>
  <c r="E49" i="34"/>
  <c r="AC7" i="33"/>
  <c r="V48" i="33"/>
  <c r="I48" i="33"/>
  <c r="W7" i="33"/>
  <c r="G52" i="33"/>
  <c r="H52" i="33"/>
  <c r="I53" i="34"/>
  <c r="J53" i="34"/>
  <c r="I54" i="34"/>
  <c r="J54" i="34"/>
  <c r="R37" i="36"/>
  <c r="E36" i="36"/>
  <c r="K63" i="40"/>
  <c r="J65" i="40"/>
  <c r="I52" i="21"/>
  <c r="J52" i="21"/>
  <c r="I53" i="21"/>
  <c r="J53" i="21"/>
  <c r="AA7" i="33"/>
  <c r="R48" i="33"/>
  <c r="S7" i="33"/>
  <c r="R43" i="37"/>
  <c r="E42" i="37"/>
  <c r="W7" i="36"/>
  <c r="AC7" i="36"/>
  <c r="V36" i="36"/>
  <c r="I36" i="36"/>
  <c r="G41" i="36"/>
  <c r="H41" i="36"/>
  <c r="E70" i="39"/>
  <c r="F68" i="39"/>
  <c r="D6" i="71"/>
  <c r="C5" i="71"/>
  <c r="C19" i="67"/>
  <c r="C20" i="67"/>
  <c r="C26" i="67"/>
  <c r="C27" i="43"/>
  <c r="J26" i="67"/>
  <c r="J29" i="67"/>
  <c r="J24" i="67"/>
  <c r="J24" i="15"/>
  <c r="C53" i="67"/>
  <c r="C48" i="67"/>
  <c r="C10" i="67"/>
  <c r="C5" i="67"/>
  <c r="C53" i="15"/>
  <c r="C48" i="15"/>
  <c r="F25" i="12"/>
  <c r="F22" i="69"/>
  <c r="F41" i="69"/>
  <c r="F24" i="67"/>
  <c r="C24" i="67"/>
  <c r="F22" i="11"/>
  <c r="C35" i="9"/>
  <c r="C46" i="69"/>
  <c r="C45" i="69"/>
  <c r="E6" i="76"/>
  <c r="C42" i="37"/>
  <c r="C43" i="37"/>
  <c r="B2" i="37"/>
  <c r="B3" i="37"/>
  <c r="R49" i="33"/>
  <c r="E48" i="33"/>
  <c r="I53" i="33"/>
  <c r="J53" i="33"/>
  <c r="L63" i="40"/>
  <c r="K65" i="40"/>
  <c r="C36" i="36"/>
  <c r="C37" i="36"/>
  <c r="B2" i="36"/>
  <c r="B3" i="36"/>
  <c r="I52" i="33"/>
  <c r="J52" i="33"/>
  <c r="C50" i="34"/>
  <c r="B2" i="34"/>
  <c r="B3" i="34"/>
  <c r="C49" i="34"/>
  <c r="C38" i="35"/>
  <c r="C39" i="35"/>
  <c r="B2" i="35"/>
  <c r="B3" i="35"/>
  <c r="C48" i="21"/>
  <c r="C49" i="21"/>
  <c r="B2" i="21"/>
  <c r="B3" i="21"/>
  <c r="F70" i="39"/>
  <c r="G68" i="39"/>
  <c r="I40" i="36"/>
  <c r="J40" i="36"/>
  <c r="I41" i="36"/>
  <c r="J41" i="36"/>
  <c r="E47" i="37"/>
  <c r="F47" i="37"/>
  <c r="E46" i="37"/>
  <c r="F46" i="37"/>
  <c r="E40" i="36"/>
  <c r="F40" i="36"/>
  <c r="E41" i="36"/>
  <c r="F41" i="36"/>
  <c r="G53" i="33"/>
  <c r="H53" i="33"/>
  <c r="E54" i="34"/>
  <c r="F54" i="34"/>
  <c r="E53" i="34"/>
  <c r="F53" i="34"/>
  <c r="I47" i="37"/>
  <c r="J47" i="37"/>
  <c r="I46" i="37"/>
  <c r="J46" i="37"/>
  <c r="E43" i="35"/>
  <c r="F43" i="35"/>
  <c r="E42" i="35"/>
  <c r="F42" i="35"/>
  <c r="G47" i="37"/>
  <c r="H47" i="37"/>
  <c r="E52" i="21"/>
  <c r="F52" i="21"/>
  <c r="E53" i="21"/>
  <c r="F53" i="21"/>
  <c r="D5" i="71"/>
  <c r="M20" i="43"/>
  <c r="F41" i="68"/>
  <c r="E2" i="76"/>
  <c r="B2" i="43"/>
  <c r="C60" i="15"/>
  <c r="C66" i="15"/>
  <c r="C26" i="69"/>
  <c r="D22" i="69"/>
  <c r="C44" i="69"/>
  <c r="D41" i="69"/>
  <c r="C23" i="69"/>
  <c r="C24" i="69"/>
  <c r="C25" i="69"/>
  <c r="C42" i="69"/>
  <c r="C26" i="12"/>
  <c r="D25" i="12"/>
  <c r="C44" i="11"/>
  <c r="D41" i="11"/>
  <c r="C23" i="11"/>
  <c r="C24" i="11"/>
  <c r="C43" i="11"/>
  <c r="C25" i="11"/>
  <c r="C26" i="11"/>
  <c r="D22" i="11"/>
  <c r="C42" i="11"/>
  <c r="C43" i="69"/>
  <c r="C38" i="67"/>
  <c r="C34" i="9"/>
  <c r="C66" i="67"/>
  <c r="C60" i="67"/>
  <c r="C23" i="67"/>
  <c r="C29" i="67"/>
  <c r="B6" i="76"/>
  <c r="M63" i="40"/>
  <c r="L65" i="40"/>
  <c r="C49" i="33"/>
  <c r="B2" i="33"/>
  <c r="B3" i="33"/>
  <c r="C48" i="33"/>
  <c r="G70" i="39"/>
  <c r="H68" i="39"/>
  <c r="E52" i="33"/>
  <c r="F52" i="33"/>
  <c r="E53" i="33"/>
  <c r="F53" i="33"/>
  <c r="B2" i="76"/>
  <c r="B3" i="76"/>
  <c r="B3" i="43"/>
  <c r="J14" i="15"/>
  <c r="C57" i="15"/>
  <c r="Q49" i="15"/>
  <c r="J19" i="15"/>
  <c r="J17" i="15"/>
  <c r="J59" i="15"/>
  <c r="J60" i="15"/>
  <c r="C41" i="11"/>
  <c r="C49" i="11"/>
  <c r="C51" i="11"/>
  <c r="C22" i="69"/>
  <c r="C31" i="69"/>
  <c r="C22" i="11"/>
  <c r="C31" i="11"/>
  <c r="C41" i="69"/>
  <c r="C49" i="69"/>
  <c r="C51" i="69"/>
  <c r="C36" i="67"/>
  <c r="C33" i="67"/>
  <c r="C31" i="67"/>
  <c r="J14" i="67"/>
  <c r="C13" i="67"/>
  <c r="J19" i="67"/>
  <c r="J17" i="67"/>
  <c r="C57" i="67"/>
  <c r="Q49" i="67"/>
  <c r="J59" i="67"/>
  <c r="J60" i="67"/>
  <c r="I68" i="39"/>
  <c r="H70" i="39"/>
  <c r="N63" i="40"/>
  <c r="M65" i="40"/>
  <c r="C52" i="11"/>
  <c r="B2" i="11"/>
  <c r="B3" i="11"/>
  <c r="Q48" i="15"/>
  <c r="L46"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L51" i="15"/>
  <c r="O63" i="40"/>
  <c r="O65" i="40"/>
  <c r="N65" i="40"/>
  <c r="F7" i="40"/>
  <c r="J68" i="39"/>
  <c r="I70" i="39"/>
  <c r="C56" i="11"/>
  <c r="C57" i="11"/>
  <c r="C58" i="15"/>
  <c r="C67" i="15"/>
  <c r="C68" i="15"/>
  <c r="C71" i="15"/>
  <c r="J16" i="15"/>
  <c r="J25" i="15"/>
  <c r="J16" i="67"/>
  <c r="J25" i="67"/>
  <c r="C80" i="67"/>
  <c r="C79" i="67"/>
  <c r="C80" i="15"/>
  <c r="C79" i="15"/>
  <c r="C58" i="67"/>
  <c r="C67" i="67"/>
  <c r="C68" i="67"/>
  <c r="Q69" i="15"/>
  <c r="Q68" i="15"/>
  <c r="Q69" i="67"/>
  <c r="Q68" i="67"/>
  <c r="C40" i="67"/>
  <c r="C57" i="69"/>
  <c r="C56" i="69"/>
  <c r="AA7" i="40"/>
  <c r="R42" i="40"/>
  <c r="S7" i="40"/>
  <c r="K68" i="39"/>
  <c r="J70" i="39"/>
  <c r="J7" i="40"/>
  <c r="H7" i="40"/>
  <c r="Q67" i="15"/>
  <c r="L57" i="15"/>
  <c r="L60" i="15"/>
  <c r="Q67" i="67"/>
  <c r="L57" i="67"/>
  <c r="L60" i="67"/>
  <c r="C45" i="67"/>
  <c r="C46" i="67"/>
  <c r="C71" i="67"/>
  <c r="B3" i="15"/>
  <c r="Q56" i="15"/>
  <c r="Q65" i="15"/>
  <c r="C43" i="15"/>
  <c r="Q47" i="15"/>
  <c r="Q53" i="15"/>
  <c r="C83" i="15"/>
  <c r="C82" i="15"/>
  <c r="C43" i="67"/>
  <c r="D2" i="67"/>
  <c r="Q47" i="67"/>
  <c r="Q53" i="67"/>
  <c r="Q56" i="67"/>
  <c r="Q65" i="67"/>
  <c r="C83" i="67"/>
  <c r="C82" i="67"/>
  <c r="C46" i="15"/>
  <c r="U7" i="40"/>
  <c r="AB7" i="40"/>
  <c r="T42" i="40"/>
  <c r="G42" i="40"/>
  <c r="AC7" i="40"/>
  <c r="V42" i="40"/>
  <c r="I42" i="40"/>
  <c r="W7" i="40"/>
  <c r="L68" i="39"/>
  <c r="K70" i="39"/>
  <c r="R43" i="40"/>
  <c r="E42" i="40"/>
  <c r="Q66" i="15"/>
  <c r="Q75" i="15"/>
  <c r="Q57" i="15"/>
  <c r="Q62" i="15"/>
  <c r="Q66" i="67"/>
  <c r="Q75" i="67"/>
  <c r="Q57" i="67"/>
  <c r="Q62" i="67"/>
  <c r="B2" i="67"/>
  <c r="B3" i="67"/>
  <c r="E46" i="40"/>
  <c r="F46" i="40"/>
  <c r="E47" i="40"/>
  <c r="F47" i="40"/>
  <c r="G47" i="40"/>
  <c r="H47" i="40"/>
  <c r="G46" i="40"/>
  <c r="H46" i="40"/>
  <c r="C43" i="40"/>
  <c r="C42" i="40"/>
  <c r="M68" i="39"/>
  <c r="L70" i="39"/>
  <c r="I46" i="40"/>
  <c r="J46" i="40"/>
  <c r="I47" i="40"/>
  <c r="J47" i="40"/>
  <c r="N68" i="39"/>
  <c r="M70" i="39"/>
  <c r="B56" i="40"/>
  <c r="F56" i="40"/>
  <c r="B60" i="40"/>
  <c r="F60" i="40"/>
  <c r="B57" i="40"/>
  <c r="F57" i="40"/>
  <c r="B51" i="40"/>
  <c r="F51" i="40"/>
  <c r="F61" i="40"/>
  <c r="B2" i="40"/>
  <c r="B3" i="40"/>
  <c r="B55" i="40"/>
  <c r="F55" i="40"/>
  <c r="B58" i="40"/>
  <c r="F58" i="40"/>
  <c r="B54" i="40"/>
  <c r="F54" i="40"/>
  <c r="B53" i="40"/>
  <c r="F53" i="40"/>
  <c r="B59" i="40"/>
  <c r="F59" i="40"/>
  <c r="B52" i="40"/>
  <c r="F52" i="40"/>
  <c r="O68" i="39"/>
  <c r="O70" i="39"/>
  <c r="N70" i="39"/>
  <c r="F7" i="39"/>
  <c r="H7" i="39"/>
  <c r="J7" i="39"/>
  <c r="W7" i="39"/>
  <c r="AC7" i="39"/>
  <c r="V47" i="39"/>
  <c r="I47" i="39"/>
  <c r="U7" i="39"/>
  <c r="AB7" i="39"/>
  <c r="T47" i="39"/>
  <c r="G47" i="39"/>
  <c r="S7" i="39"/>
  <c r="AA7" i="39"/>
  <c r="R47" i="39"/>
  <c r="R48" i="39"/>
  <c r="E47" i="39"/>
  <c r="I51" i="39"/>
  <c r="J51" i="39"/>
  <c r="I52" i="39"/>
  <c r="J52" i="39"/>
  <c r="G51" i="39"/>
  <c r="H51" i="39"/>
  <c r="G52" i="39"/>
  <c r="H52" i="39"/>
  <c r="E52" i="39"/>
  <c r="F52" i="39"/>
  <c r="E51" i="39"/>
  <c r="F51" i="39"/>
  <c r="C48" i="39"/>
  <c r="C47" i="39"/>
  <c r="B59" i="39"/>
  <c r="F59" i="39"/>
  <c r="B58" i="39"/>
  <c r="F58" i="39"/>
  <c r="B60" i="39"/>
  <c r="F60" i="39"/>
  <c r="B65" i="39"/>
  <c r="F65" i="39"/>
  <c r="B62" i="39"/>
  <c r="F62" i="39"/>
  <c r="B56" i="39"/>
  <c r="F56" i="39"/>
  <c r="B57" i="39"/>
  <c r="F57" i="39"/>
  <c r="B61" i="39"/>
  <c r="F61" i="39"/>
  <c r="B63" i="39"/>
  <c r="F63" i="39"/>
  <c r="B64" i="39"/>
  <c r="F64" i="39"/>
  <c r="F66" i="39"/>
  <c r="B2" i="39"/>
  <c r="B3" i="39"/>
  <c r="D113" i="43"/>
  <c r="C57" i="68"/>
  <c r="C56" i="68"/>
  <c r="C18" i="12"/>
  <c r="C21" i="12"/>
  <c r="C22" i="12"/>
  <c r="C27" i="12"/>
  <c r="C25" i="12"/>
  <c r="C30" i="12"/>
  <c r="C28" i="12"/>
  <c r="C32" i="12"/>
  <c r="B2" i="12"/>
  <c r="B3" i="12"/>
  <c r="L68" i="9"/>
  <c r="M68" i="9"/>
  <c r="L65" i="9"/>
  <c r="M65" i="9"/>
  <c r="L66" i="9"/>
  <c r="M66" i="9"/>
  <c r="L64" i="9"/>
  <c r="M64" i="9"/>
  <c r="L67" i="9"/>
  <c r="M67" i="9"/>
  <c r="L63" i="9"/>
  <c r="M63" i="9"/>
  <c r="M69" i="9"/>
  <c r="N69" i="9"/>
  <c r="B53" i="72"/>
  <c r="F5" i="52"/>
  <c r="F119" i="9"/>
  <c r="D119" i="9"/>
  <c r="D5" i="52"/>
  <c r="B49" i="72"/>
  <c r="E4" i="52"/>
  <c r="B48" i="72"/>
  <c r="B32" i="72"/>
  <c r="D14" i="53"/>
  <c r="B47" i="72"/>
  <c r="E118" i="9"/>
  <c r="D118" i="9"/>
  <c r="D4" i="52"/>
  <c r="C80" i="9"/>
  <c r="E80" i="9"/>
  <c r="E81" i="9"/>
  <c r="C86" i="9"/>
  <c r="C93" i="9"/>
  <c r="B52" i="72"/>
  <c r="G4" i="52"/>
  <c r="M54" i="9"/>
  <c r="D56" i="9"/>
  <c r="D58" i="9"/>
  <c r="C97" i="9"/>
  <c r="C73" i="9"/>
  <c r="C78" i="9"/>
  <c r="D54" i="9"/>
  <c r="C68" i="9"/>
  <c r="D13" i="53"/>
  <c r="B30" i="72"/>
  <c r="H102" i="9"/>
  <c r="D7" i="53"/>
  <c r="B21" i="72"/>
  <c r="D8" i="52"/>
  <c r="D123" i="9"/>
  <c r="D9" i="52"/>
  <c r="C72" i="9"/>
  <c r="C79" i="9"/>
  <c r="C81" i="9"/>
  <c r="C85" i="9"/>
  <c r="C95" i="9"/>
  <c r="C96" i="9"/>
  <c r="E96" i="9"/>
  <c r="E97" i="9"/>
  <c r="B20" i="72"/>
  <c r="C64" i="9"/>
  <c r="C63" i="9"/>
  <c r="C67" i="9"/>
  <c r="D59" i="9"/>
  <c r="M55" i="9"/>
  <c r="H5" i="52"/>
  <c r="H119" i="9"/>
  <c r="D5" i="53"/>
  <c r="D6" i="53"/>
  <c r="B22" i="72"/>
  <c r="H108" i="9"/>
  <c r="D15" i="53"/>
  <c r="B31" i="72"/>
  <c r="P57" i="9"/>
  <c r="D55" i="9"/>
  <c r="M53" i="9"/>
  <c r="N57" i="9"/>
  <c r="N58" i="9"/>
  <c r="E14" i="74"/>
  <c r="F14" i="74"/>
  <c r="D5" i="74"/>
  <c r="D14" i="74"/>
  <c r="B5" i="74"/>
  <c r="C5" i="74"/>
  <c r="N61" i="9"/>
  <c r="M49" i="9"/>
  <c r="N59" i="9"/>
  <c r="N60" i="9"/>
  <c r="C6" i="74"/>
  <c r="H107" i="9"/>
  <c r="D122" i="9"/>
  <c r="G14" i="74"/>
  <c r="B6" i="74"/>
  <c r="D6" i="74"/>
  <c r="H4" i="52"/>
  <c r="C104" i="9"/>
  <c r="C105" i="9"/>
  <c r="I4" i="52"/>
  <c r="G118" i="9"/>
  <c r="F118" i="9"/>
  <c r="F4" i="52"/>
  <c r="B51" i="72"/>
  <c r="D53" i="9"/>
  <c r="D45" i="9"/>
  <c r="D52" i="9"/>
  <c r="I118" i="9"/>
  <c r="H118" i="9"/>
  <c r="H101" i="9"/>
  <c r="M4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<sst xmlns="http://schemas.openxmlformats.org/spreadsheetml/2006/main" count="9253" uniqueCount="3649">
  <si>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</si>
  <si>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</si>
  <si>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</si>
  <si>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</si>
  <si>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</si>
  <si>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</si>
  <si>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</si>
  <si>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</si>
  <si>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</si>
  <si>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</si>
  <si>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</si>
  <si>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</si>
  <si>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</si>
  <si>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</si>
  <si>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</si>
  <si>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</si>
  <si>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</si>
  <si>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</si>
  <si>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</si>
  <si>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</si>
  <si>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</si>
  <si>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</si>
  <si>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</si>
  <si>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</si>
  <si>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</si>
  <si>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</si>
  <si>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</si>
  <si>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</si>
  <si>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</si>
  <si>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</si>
  <si>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</si>
  <si>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</si>
  <si>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</si>
  <si>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</si>
  <si>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</si>
  <si>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</si>
  <si>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</si>
  <si>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</si>
  <si>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</si>
  <si>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</si>
  <si>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</si>
  <si>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</si>
  <si>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</si>
  <si>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</si>
  <si>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</si>
  <si>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</si>
  <si>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</si>
  <si>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</si>
  <si>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</si>
  <si>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</si>
  <si>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</si>
  <si>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</si>
  <si>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</si>
  <si>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</si>
  <si>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</si>
  <si>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</si>
  <si>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</si>
  <si>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</si>
  <si>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</si>
  <si>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</si>
  <si>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</si>
  <si>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</si>
  <si>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</si>
  <si>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</si>
  <si>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</si>
  <si>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</si>
  <si>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</si>
  <si>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</si>
  <si>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</si>
  <si>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</si>
  <si>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</si>
  <si>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</si>
  <si>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</si>
  <si>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</si>
  <si>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</si>
  <si>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</si>
  <si>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</si>
  <si>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</si>
  <si>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</si>
  <si>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</si>
  <si>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</si>
  <si>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</si>
  <si>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</si>
  <si>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</si>
  <si>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</si>
  <si>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</si>
  <si>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</si>
  <si>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</si>
  <si>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</si>
  <si>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</si>
  <si>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</si>
  <si>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</si>
  <si>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</si>
  <si>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</si>
  <si>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</si>
  <si>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</si>
  <si>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</si>
  <si>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</si>
  <si>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</si>
  <si>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</si>
  <si>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</si>
  <si>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</si>
  <si>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</si>
  <si>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</si>
  <si>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</si>
  <si>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</si>
  <si>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</si>
  <si>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</si>
  <si>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</si>
  <si>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</si>
  <si>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</si>
  <si>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</si>
  <si>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</si>
  <si>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</si>
  <si>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</si>
  <si>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</si>
  <si>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</si>
  <si>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</si>
  <si>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</si>
  <si>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</si>
  <si>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</si>
  <si>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</si>
  <si>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</si>
  <si>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</si>
  <si>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</si>
  <si>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</si>
  <si>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</si>
  <si>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</si>
  <si>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</si>
  <si>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</si>
  <si>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</si>
  <si>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</si>
  <si>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</si>
  <si>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</si>
  <si>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</si>
  <si>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</si>
  <si>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</si>
  <si>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</si>
  <si>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</si>
  <si>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</si>
  <si>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</si>
  <si>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</si>
  <si>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</si>
  <si>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</si>
  <si>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</si>
  <si>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</si>
  <si>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</si>
  <si>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</si>
  <si>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</si>
  <si>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</si>
  <si>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</si>
  <si>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</si>
  <si>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</si>
  <si>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</si>
  <si>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</si>
  <si>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</si>
  <si>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</si>
  <si>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</si>
  <si>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</si>
  <si>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</si>
  <si>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</si>
  <si>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</si>
  <si>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</si>
  <si>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</si>
  <si>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</si>
  <si>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</si>
  <si>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</si>
  <si>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</si>
  <si>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</si>
  <si>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</si>
  <si>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</si>
  <si>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</si>
  <si>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</si>
  <si>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</si>
  <si>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</si>
  <si>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</si>
  <si>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</si>
  <si>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</si>
  <si>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</si>
  <si>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</si>
  <si>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</si>
  <si>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</si>
  <si>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</si>
  <si>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</si>
  <si>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</si>
  <si>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</si>
  <si>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</si>
  <si>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</si>
  <si>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</si>
  <si>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</si>
  <si>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</si>
  <si>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</si>
  <si>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</si>
  <si>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</si>
  <si>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</si>
  <si>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</si>
  <si>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</si>
  <si>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</si>
  <si>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</si>
  <si>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</si>
  <si>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</si>
  <si>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</si>
  <si>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</si>
  <si>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</si>
  <si>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</si>
  <si>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</si>
  <si>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</si>
  <si>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</si>
  <si>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</si>
  <si>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</si>
  <si>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</si>
  <si>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</si>
  <si>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</si>
  <si>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</si>
  <si>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</si>
  <si>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</si>
  <si>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</si>
  <si>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</si>
  <si>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</si>
  <si>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</si>
  <si>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</si>
  <si>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</si>
  <si>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</si>
  <si>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</si>
  <si>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</si>
  <si>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</si>
  <si>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</si>
  <si>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</si>
  <si>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</si>
  <si>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</si>
  <si>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</si>
  <si>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</si>
  <si>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</si>
  <si>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</si>
  <si>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</si>
  <si>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</si>
  <si>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</si>
  <si>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</si>
  <si>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</si>
  <si>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</si>
  <si>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</si>
  <si>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</si>
  <si>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</si>
  <si>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</si>
  <si>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</si>
  <si>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</si>
  <si>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</si>
  <si>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</si>
  <si>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</si>
  <si>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</si>
  <si>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</si>
  <si>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</si>
  <si>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</si>
  <si>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</si>
  <si>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</si>
  <si>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</si>
  <si>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</si>
  <si>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</si>
  <si>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</si>
  <si>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</si>
  <si>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</si>
  <si>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</si>
  <si>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</si>
  <si>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</si>
  <si>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</si>
  <si>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</si>
  <si>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</si>
  <si>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</si>
  <si>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</si>
  <si>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</si>
  <si>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</si>
  <si>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</si>
  <si>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</si>
  <si>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</si>
  <si>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</si>
  <si>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</si>
  <si>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</si>
  <si>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</si>
  <si>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</si>
  <si>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</si>
  <si>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</si>
  <si>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</si>
  <si>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</si>
  <si>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</si>
  <si>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</si>
  <si>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</si>
  <si>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</si>
  <si>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</si>
  <si>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</si>
  <si>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</si>
  <si>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</si>
  <si>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</si>
  <si>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</si>
  <si>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</si>
  <si>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</si>
  <si>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</si>
  <si>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</si>
  <si>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</si>
  <si>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</si>
  <si>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</si>
  <si>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</si>
  <si>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</si>
  <si>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</si>
  <si>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</si>
  <si>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</si>
  <si>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</si>
  <si>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</si>
  <si>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</si>
  <si>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</si>
  <si>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</si>
  <si>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</si>
  <si>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</si>
  <si>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</si>
  <si>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</si>
  <si>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</si>
  <si>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</si>
  <si>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</si>
  <si>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</si>
  <si>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</si>
  <si>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</si>
  <si>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</si>
  <si>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</si>
  <si>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</si>
  <si>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</si>
  <si>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</si>
  <si>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</si>
  <si>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</si>
  <si>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</si>
  <si>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</si>
  <si>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</si>
  <si>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</si>
  <si>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</si>
  <si>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</si>
  <si>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</si>
  <si>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</si>
  <si>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</si>
  <si>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</si>
  <si>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</si>
  <si>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</si>
  <si>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</si>
  <si>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</si>
  <si>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</si>
  <si>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</si>
  <si>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</si>
  <si>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</si>
  <si>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</si>
  <si>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</si>
  <si>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</si>
  <si>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</si>
  <si>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</si>
  <si>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</si>
  <si>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</si>
  <si>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</si>
  <si>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</si>
  <si>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</si>
  <si>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</si>
  <si>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</si>
  <si>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</si>
  <si>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</si>
  <si>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</si>
  <si>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</si>
  <si>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</si>
  <si>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</si>
  <si>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</si>
  <si>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</si>
  <si>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</si>
  <si>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</si>
  <si>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</si>
  <si>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</si>
  <si>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</si>
  <si>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</si>
  <si>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</si>
  <si>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</si>
  <si>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</si>
  <si>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</si>
  <si>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</si>
  <si>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</si>
  <si>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</si>
  <si>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</si>
  <si>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</si>
  <si>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</si>
  <si>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</si>
  <si>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</si>
  <si>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</si>
  <si>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</si>
  <si>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</si>
  <si>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</si>
  <si>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</si>
  <si>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</si>
  <si>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</si>
  <si>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</si>
  <si>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</si>
  <si>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</si>
  <si>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</si>
  <si>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</si>
  <si>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</si>
  <si>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</si>
  <si>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</si>
  <si>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</si>
  <si>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</si>
  <si>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</si>
  <si>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</si>
  <si>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</si>
  <si>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</si>
  <si>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</si>
  <si>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</si>
  <si>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</si>
  <si>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</si>
  <si>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</si>
  <si>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</si>
  <si>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</si>
  <si>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</si>
  <si>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</si>
  <si>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</si>
  <si>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</si>
  <si>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</si>
  <si>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</si>
  <si>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</si>
  <si>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</si>
  <si>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</si>
  <si>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</si>
  <si>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</si>
  <si>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</si>
  <si>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</si>
  <si>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</si>
  <si>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</si>
  <si>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</si>
  <si>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</si>
  <si>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</si>
  <si>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</si>
  <si>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</si>
  <si>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</si>
  <si>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</si>
  <si>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</si>
  <si>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</si>
  <si>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</si>
  <si>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</si>
  <si>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</si>
  <si>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</si>
  <si>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</si>
  <si>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</si>
  <si>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</si>
  <si>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</si>
  <si>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</si>
  <si>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</si>
  <si>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</si>
  <si>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</si>
  <si>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</si>
  <si>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</si>
  <si>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</si>
  <si>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</si>
  <si>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</si>
  <si>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</si>
  <si>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</si>
  <si>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</si>
  <si>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</si>
  <si>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</si>
  <si>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</si>
  <si>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</si>
  <si>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</si>
  <si>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</si>
  <si>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</si>
  <si>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</si>
  <si>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</si>
  <si>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</si>
  <si>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</si>
  <si>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</si>
  <si>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</si>
  <si>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</si>
  <si>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</si>
  <si>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</si>
  <si>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</si>
  <si>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</si>
  <si>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</si>
  <si>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</si>
  <si>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</si>
  <si>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</si>
  <si>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</si>
  <si>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</si>
  <si>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</si>
  <si>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</si>
  <si>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</si>
  <si>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</si>
  <si>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</si>
  <si>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</si>
  <si>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</si>
  <si>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</si>
  <si>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</si>
  <si>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</si>
  <si>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</si>
  <si>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</si>
  <si>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</si>
  <si>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</si>
  <si>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</si>
  <si>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</si>
  <si>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</si>
  <si>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</si>
  <si>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</si>
  <si>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</si>
  <si>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</si>
  <si>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</si>
  <si>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</si>
  <si>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</si>
  <si>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</si>
  <si>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</si>
  <si>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</si>
  <si>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</si>
  <si>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</si>
  <si>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</si>
  <si>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</si>
  <si>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</si>
  <si>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</si>
  <si>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</si>
  <si>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</si>
  <si>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</si>
  <si>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</si>
  <si>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</si>
  <si>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</si>
  <si>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</si>
  <si>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</si>
  <si>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</si>
  <si>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</si>
  <si>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</si>
  <si>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</si>
  <si>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</si>
  <si>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</si>
  <si>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</si>
  <si>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</si>
  <si>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</si>
  <si>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</si>
  <si>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</si>
  <si>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</si>
  <si>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</si>
  <si>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</si>
  <si>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</si>
  <si>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</si>
  <si>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</si>
  <si>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</si>
  <si>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</si>
  <si>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</si>
  <si>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</si>
  <si>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</si>
  <si>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</si>
  <si>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</si>
  <si>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</si>
  <si>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</si>
  <si>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</si>
  <si>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</si>
  <si>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</si>
  <si>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</si>
  <si>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</si>
  <si>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</si>
  <si>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</si>
  <si>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</si>
  <si>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</si>
  <si>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</si>
  <si>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</si>
  <si>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</si>
  <si>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</si>
  <si>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</si>
  <si>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</si>
  <si>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</si>
  <si>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</si>
  <si>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</si>
  <si>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</si>
  <si>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</si>
  <si>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</si>
  <si>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</si>
  <si>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</si>
  <si>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</si>
  <si>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</si>
  <si>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</si>
  <si>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</si>
  <si>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</si>
  <si>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</si>
  <si>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</si>
  <si>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</si>
  <si>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</si>
  <si>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</si>
  <si>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</si>
  <si>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</si>
  <si>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</si>
  <si>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</si>
  <si>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</si>
  <si>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</si>
  <si>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</si>
  <si>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</si>
  <si>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</si>
  <si>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</si>
  <si>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</si>
  <si>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</si>
  <si>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</si>
  <si>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</si>
  <si>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</si>
  <si>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</si>
  <si>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</si>
  <si>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</si>
  <si>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</si>
  <si>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</si>
  <si>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</si>
  <si>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</si>
  <si>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</si>
  <si>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</si>
  <si>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</si>
  <si>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</si>
  <si>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</si>
  <si>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</si>
  <si>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</si>
  <si>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</si>
  <si>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</si>
  <si>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</si>
  <si>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</si>
  <si>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</si>
  <si>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</si>
  <si>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</si>
  <si>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</si>
  <si>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</si>
  <si>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</si>
  <si>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</si>
  <si>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</si>
  <si>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</si>
  <si>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</si>
  <si>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</si>
  <si>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</si>
  <si>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</si>
  <si>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</si>
  <si>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</si>
  <si>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</si>
  <si>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</si>
  <si>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</si>
  <si>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</si>
  <si>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</si>
  <si>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</si>
  <si>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</si>
  <si>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</si>
  <si>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</si>
  <si>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</si>
  <si>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</si>
  <si>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</si>
  <si>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</si>
  <si>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</si>
  <si>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</si>
  <si>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</si>
  <si>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</si>
  <si>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</si>
  <si>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</si>
  <si>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</si>
  <si>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</si>
  <si>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</si>
  <si>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</si>
  <si>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</si>
  <si>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</si>
  <si>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</si>
  <si>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</si>
  <si>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</si>
  <si>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</si>
  <si>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</si>
  <si>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</si>
  <si>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</si>
  <si>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</si>
  <si>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</si>
  <si>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</si>
  <si>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</si>
  <si>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</si>
  <si>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</si>
  <si>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</si>
  <si>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</si>
  <si>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</si>
  <si>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</si>
  <si>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</si>
  <si>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</si>
  <si>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</si>
  <si>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</si>
  <si>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</si>
  <si>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</si>
  <si>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</si>
  <si>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</si>
  <si>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</si>
  <si>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</si>
  <si>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</si>
  <si>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</si>
  <si>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</si>
  <si>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</si>
  <si>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</si>
  <si>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</si>
  <si>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</si>
  <si>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</si>
  <si>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</si>
  <si>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</si>
  <si>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</si>
  <si>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</si>
  <si>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</si>
  <si>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</si>
  <si>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</si>
  <si>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</si>
  <si>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</si>
  <si>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</si>
  <si>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</si>
  <si>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</si>
  <si>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</si>
  <si>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</si>
  <si>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</si>
  <si>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</si>
  <si>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</si>
  <si>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</si>
  <si>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</si>
  <si>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</si>
  <si>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</si>
  <si>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</si>
  <si>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</si>
  <si>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</si>
  <si>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</si>
  <si>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</si>
  <si>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</si>
  <si>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</si>
  <si>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</si>
  <si>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</si>
  <si>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</si>
  <si>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</si>
  <si>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</si>
  <si>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</si>
  <si>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</si>
  <si>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</si>
  <si>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</si>
  <si>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</si>
  <si>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</si>
  <si>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</si>
  <si>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</si>
  <si>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</si>
  <si>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</si>
  <si>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</si>
  <si>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</si>
  <si>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</si>
  <si>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</si>
  <si>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</si>
  <si>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</si>
  <si>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</si>
  <si>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</si>
  <si>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</si>
  <si>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</si>
  <si>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</si>
  <si>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</si>
  <si>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</si>
  <si>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</si>
  <si>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</si>
  <si>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</si>
  <si>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</si>
  <si>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</si>
  <si>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</si>
  <si>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</si>
  <si>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</si>
  <si>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</si>
  <si>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</si>
  <si>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</si>
  <si>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</si>
  <si>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</si>
  <si>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</si>
  <si>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</si>
  <si>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</si>
  <si>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</si>
  <si>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</si>
  <si>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</si>
  <si>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</si>
  <si>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</si>
  <si>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</si>
  <si>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</si>
  <si>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</si>
  <si>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</si>
  <si>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</si>
  <si>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</si>
  <si>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</si>
  <si>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</si>
  <si>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</si>
  <si>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</si>
  <si>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</si>
  <si>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</si>
  <si>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</si>
  <si>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</si>
  <si>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</si>
  <si>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</si>
  <si>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</si>
  <si>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</si>
  <si>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</si>
  <si>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</si>
  <si>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</si>
  <si>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</si>
  <si>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</si>
  <si>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</si>
  <si>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</si>
  <si>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</si>
  <si>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</si>
  <si>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</si>
  <si>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</si>
  <si>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</si>
  <si>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</si>
  <si>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</si>
  <si>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</si>
  <si>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</si>
  <si>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</si>
  <si>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</si>
  <si>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</si>
  <si>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</si>
  <si>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</si>
  <si>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</si>
  <si>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</si>
  <si>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</si>
  <si>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</si>
  <si>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</si>
  <si>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</si>
  <si>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</si>
  <si>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</si>
  <si>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</si>
  <si>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</si>
  <si>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</si>
  <si>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</si>
  <si>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</si>
  <si>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</si>
  <si>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</si>
  <si>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</si>
  <si>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</si>
  <si>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</si>
  <si>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</si>
  <si>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</si>
  <si>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</si>
  <si>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</si>
  <si>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</si>
  <si>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</si>
  <si>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</si>
  <si>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</si>
  <si>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</si>
  <si>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</si>
  <si>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</si>
  <si>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</si>
  <si>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</si>
  <si>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</si>
  <si>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</si>
  <si>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</si>
  <si>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</si>
  <si>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</si>
  <si>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</si>
  <si>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</si>
  <si>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</si>
  <si>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</si>
  <si>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</si>
  <si>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</si>
  <si>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</si>
  <si>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</si>
  <si>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</si>
  <si>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</si>
  <si>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</si>
  <si>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</si>
  <si>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</si>
  <si>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</si>
  <si>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</si>
  <si>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</si>
  <si>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</si>
  <si>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</si>
  <si>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</si>
  <si>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</si>
  <si>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</si>
  <si>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</si>
  <si>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</si>
  <si>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</si>
  <si>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</si>
  <si>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</si>
  <si>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</si>
  <si>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</si>
  <si>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</si>
  <si>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</si>
  <si>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</si>
  <si>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</si>
  <si>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</si>
  <si>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</si>
  <si>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</si>
  <si>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</si>
  <si>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</si>
  <si>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</si>
  <si>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</si>
  <si>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</si>
  <si>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</si>
  <si>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</si>
  <si>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</si>
  <si>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</si>
  <si>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</si>
  <si>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</si>
  <si>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</si>
  <si>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</si>
  <si>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</si>
  <si>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</si>
  <si>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</si>
  <si>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</si>
  <si>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</si>
  <si>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</si>
  <si>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</si>
  <si>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</si>
  <si>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</si>
  <si>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</si>
  <si>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</si>
  <si>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</si>
  <si>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</si>
  <si>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</si>
  <si>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</si>
  <si>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</si>
  <si>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</si>
  <si>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</si>
  <si>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</si>
  <si>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</si>
  <si>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</si>
  <si>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</si>
  <si>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</si>
  <si>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</si>
  <si>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</si>
  <si>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</si>
  <si>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</si>
  <si>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</si>
  <si>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</si>
  <si>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</si>
  <si>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</si>
  <si>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</si>
  <si>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</si>
  <si>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</si>
  <si>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</si>
  <si>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</si>
  <si>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</si>
  <si>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</si>
  <si>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</si>
  <si>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</si>
  <si>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</si>
  <si>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</si>
  <si>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</si>
  <si>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</si>
  <si>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</si>
  <si>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</si>
  <si>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</si>
  <si>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</si>
  <si>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</si>
  <si>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</si>
  <si>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</si>
  <si>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</si>
  <si>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</si>
  <si>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</si>
  <si>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</si>
  <si>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</si>
  <si>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</si>
  <si>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</si>
  <si>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</si>
  <si>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</si>
  <si>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</si>
  <si>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</si>
  <si>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</si>
  <si>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</si>
  <si>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</si>
  <si>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</si>
  <si>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</si>
  <si>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</si>
  <si>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</si>
  <si>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</si>
  <si>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</si>
  <si>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</si>
  <si>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</si>
  <si>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</si>
  <si>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</si>
  <si>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</si>
  <si>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</si>
  <si>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</si>
  <si>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</si>
  <si>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</si>
  <si>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</si>
  <si>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</si>
  <si>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</si>
  <si>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</si>
  <si>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</si>
  <si>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</si>
  <si>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</si>
  <si>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</si>
  <si>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</si>
  <si>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</si>
  <si>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</si>
  <si>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</si>
  <si>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</si>
  <si>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</si>
  <si>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</si>
  <si>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</si>
  <si>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</si>
  <si>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</si>
  <si>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</si>
  <si>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</si>
  <si>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</si>
  <si>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</si>
  <si>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</si>
  <si>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</si>
  <si>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</si>
  <si>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</si>
  <si>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</si>
  <si>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</si>
  <si>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</si>
  <si>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</si>
  <si>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</si>
  <si>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</si>
  <si>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</si>
  <si>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</si>
  <si>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</si>
  <si>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</si>
  <si>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</si>
  <si>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</si>
  <si>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</si>
  <si>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</si>
  <si>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</si>
  <si>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</si>
  <si>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</si>
  <si>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</si>
  <si>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</si>
  <si>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</si>
  <si>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</si>
  <si>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</si>
  <si>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</si>
  <si>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</si>
  <si>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</si>
  <si>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</si>
  <si>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</si>
  <si>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</si>
  <si>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</si>
  <si>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</si>
  <si>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</si>
  <si>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</si>
  <si>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</si>
  <si>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</si>
  <si>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</si>
  <si>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</si>
  <si>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</si>
  <si>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</si>
  <si>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</si>
  <si>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</si>
  <si>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</si>
  <si>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</si>
  <si>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</si>
  <si>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</si>
  <si>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</si>
  <si>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</si>
  <si>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</si>
  <si>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</si>
  <si>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</si>
  <si>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</si>
  <si>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</si>
  <si>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</si>
  <si>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</si>
  <si>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</si>
  <si>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</si>
  <si>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</si>
  <si>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</si>
  <si>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</si>
  <si>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</si>
  <si>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</si>
  <si>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</si>
  <si>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</si>
  <si>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</si>
  <si>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</si>
  <si>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</si>
  <si>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</si>
  <si>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</si>
  <si>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</si>
  <si>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</si>
  <si>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</si>
  <si>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</si>
  <si>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</si>
  <si>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</si>
  <si>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</si>
  <si>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</si>
  <si>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</si>
  <si>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</si>
  <si>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</si>
  <si>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</si>
  <si>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</si>
  <si>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</si>
  <si>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</si>
  <si>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</si>
  <si>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</si>
  <si>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</si>
  <si>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</si>
  <si>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</si>
  <si>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</si>
  <si>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</si>
  <si>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</si>
  <si>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</si>
  <si>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</si>
  <si>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</si>
  <si>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</si>
  <si>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</si>
  <si>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</si>
  <si>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</si>
  <si>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</si>
  <si>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</si>
  <si>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</si>
  <si>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</si>
  <si>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</si>
  <si>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</si>
  <si>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</si>
  <si>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</si>
  <si>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</si>
  <si>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</si>
  <si>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</si>
  <si>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</si>
  <si>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</si>
  <si>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</si>
  <si>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</si>
  <si>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</si>
  <si>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</si>
  <si>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</si>
  <si>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</si>
  <si>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</si>
  <si>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</si>
  <si>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</si>
  <si>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</si>
  <si>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</si>
  <si>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</si>
  <si>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</si>
  <si>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</si>
  <si>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</si>
  <si>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</si>
  <si>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</si>
  <si>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</si>
  <si>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</si>
  <si>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</si>
  <si>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</si>
  <si>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</si>
  <si>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</si>
  <si>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</si>
  <si>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</si>
  <si>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</si>
  <si>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</si>
  <si>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</si>
  <si>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</si>
  <si>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</si>
  <si>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</si>
  <si>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</si>
  <si>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</si>
  <si>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</si>
  <si>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</si>
  <si>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</si>
  <si>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</si>
  <si>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</si>
  <si>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</si>
  <si>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</si>
  <si>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</si>
  <si>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</si>
  <si>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</si>
  <si>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</si>
  <si>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</si>
  <si>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</si>
  <si>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</si>
  <si>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</si>
  <si>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</si>
  <si>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</si>
  <si>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</si>
  <si>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</si>
  <si>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</si>
  <si>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</si>
  <si>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</si>
  <si>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</si>
  <si>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</si>
  <si>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</si>
  <si>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</si>
  <si>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</si>
  <si>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</si>
  <si>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</si>
  <si>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</si>
  <si>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</si>
  <si>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</si>
  <si>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</si>
  <si>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</si>
  <si>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</si>
  <si>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</si>
  <si>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</si>
  <si>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</si>
  <si>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</si>
  <si>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</si>
  <si>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</si>
  <si>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</si>
  <si>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</si>
  <si>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</si>
  <si>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</si>
  <si>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</si>
  <si>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</si>
  <si>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</si>
  <si>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</si>
  <si>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</si>
  <si>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</si>
  <si>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</si>
  <si>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</si>
  <si>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</si>
  <si>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</si>
  <si>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</si>
  <si>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</si>
  <si>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</si>
  <si>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</si>
  <si>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</si>
  <si>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</si>
  <si>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</si>
  <si>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</si>
  <si>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</si>
  <si>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</si>
  <si>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</si>
  <si>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</si>
  <si>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</si>
  <si>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</si>
  <si>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</si>
  <si>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</si>
  <si>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</si>
  <si>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</si>
  <si>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</si>
  <si>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</si>
  <si>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</si>
  <si>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</si>
  <si>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</si>
  <si>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</si>
  <si>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</si>
  <si>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</si>
  <si>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</si>
  <si>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</si>
  <si>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</si>
  <si>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</si>
  <si>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</si>
  <si>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</si>
  <si>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</si>
  <si>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</si>
  <si>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</si>
  <si>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</si>
  <si>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</si>
  <si>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</si>
  <si>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</si>
  <si>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</si>
  <si>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</si>
  <si>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</si>
  <si>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</si>
  <si>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</si>
  <si>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</si>
  <si>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</si>
  <si>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</si>
  <si>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</si>
  <si>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</si>
  <si>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</si>
  <si>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</si>
  <si>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</si>
  <si>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</si>
  <si>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</si>
  <si>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</si>
  <si>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</si>
  <si>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</si>
  <si>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</si>
  <si>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</si>
  <si>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</si>
  <si>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</si>
  <si>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</si>
  <si>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</si>
  <si>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</si>
  <si>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</si>
  <si>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</si>
  <si>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</si>
  <si>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</si>
  <si>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</si>
  <si>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</si>
  <si>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</si>
  <si>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</si>
  <si>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</si>
  <si>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</si>
  <si>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</si>
  <si>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</si>
  <si>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</si>
  <si>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</si>
  <si>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</si>
  <si>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</si>
  <si>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</si>
  <si>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</si>
  <si>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</si>
  <si>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</si>
  <si>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</si>
  <si>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</si>
  <si>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</si>
  <si>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</si>
  <si>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</si>
  <si>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</si>
  <si>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</si>
  <si>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</si>
  <si>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</si>
  <si>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</si>
  <si>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</si>
  <si>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</si>
  <si>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</si>
  <si>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</si>
  <si>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</si>
  <si>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</si>
  <si>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</si>
  <si>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</si>
  <si>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</si>
  <si>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</si>
  <si>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</si>
  <si>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</si>
  <si>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</si>
  <si>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</si>
  <si>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</si>
  <si>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</si>
  <si>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</si>
  <si>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</si>
  <si>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</si>
  <si>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</si>
  <si>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</si>
  <si>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</si>
  <si>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</si>
  <si>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</si>
  <si>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</si>
  <si>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</si>
  <si>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</si>
  <si>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</si>
  <si>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</si>
  <si>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</si>
  <si>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</si>
  <si>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</si>
  <si>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</si>
  <si>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</si>
  <si>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</si>
  <si>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</si>
  <si>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</si>
  <si>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</si>
  <si>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</si>
  <si>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</si>
  <si>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</si>
  <si>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</si>
  <si>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</si>
  <si>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</si>
  <si>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</si>
  <si>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</si>
  <si>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</si>
  <si>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</si>
  <si>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</si>
  <si>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</si>
  <si>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</si>
  <si>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</si>
  <si>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</si>
  <si>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</si>
  <si>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</si>
  <si>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</si>
  <si>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</si>
  <si>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</si>
  <si>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</si>
  <si>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</si>
  <si>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</si>
  <si>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</si>
  <si>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</si>
  <si>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</si>
  <si>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</si>
  <si>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</si>
  <si>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</si>
  <si>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</si>
  <si>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</si>
  <si>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</si>
  <si>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</si>
  <si>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</si>
  <si>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</si>
  <si>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</si>
  <si>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</si>
  <si>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</si>
  <si>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</si>
  <si>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</si>
  <si>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</si>
  <si>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</si>
  <si>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</si>
  <si>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</si>
  <si>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</si>
  <si>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</si>
  <si>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</si>
  <si>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</si>
  <si>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</si>
  <si>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</si>
  <si>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</si>
  <si>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</si>
  <si>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</si>
  <si>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</si>
  <si>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</si>
  <si>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</si>
  <si>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</si>
  <si>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</si>
  <si>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</si>
  <si>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</si>
  <si>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</si>
  <si>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</si>
  <si>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</si>
  <si>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</si>
  <si>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</si>
  <si>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</si>
  <si>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</si>
  <si>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</si>
  <si>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</si>
  <si>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</si>
  <si>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</si>
  <si>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</si>
  <si>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</si>
  <si>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</si>
  <si>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</si>
  <si>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</si>
  <si>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</si>
  <si>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</si>
  <si>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</si>
  <si>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</si>
  <si>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</si>
  <si>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</si>
  <si>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</si>
  <si>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</si>
  <si>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</si>
  <si>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</si>
  <si>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</si>
  <si>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</si>
  <si>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</si>
  <si>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</si>
  <si>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</si>
  <si>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</si>
  <si>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</si>
  <si>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</si>
  <si>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</si>
  <si>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</si>
  <si>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</si>
  <si>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</si>
  <si>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</si>
  <si>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</si>
  <si>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</si>
  <si>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</si>
  <si>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</si>
  <si>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</si>
  <si>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</si>
  <si>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</si>
  <si>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</si>
  <si>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</si>
  <si>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</si>
  <si>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</si>
  <si>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</si>
  <si>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</si>
  <si>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</si>
  <si>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</si>
  <si>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</si>
  <si>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</si>
  <si>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</si>
  <si>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</si>
  <si>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</si>
  <si>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</si>
  <si>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</si>
  <si>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</si>
  <si>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</si>
  <si>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</si>
  <si>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</si>
  <si>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</si>
  <si>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</si>
  <si>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</si>
  <si>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</si>
  <si>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</si>
  <si>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</si>
  <si>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</si>
  <si>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</si>
  <si>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</si>
  <si>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</si>
  <si>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</si>
  <si>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</si>
  <si>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</si>
  <si>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</si>
  <si>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</si>
  <si>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</si>
  <si>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</si>
  <si>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</si>
  <si>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</si>
  <si>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</si>
  <si>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</si>
  <si>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</si>
  <si>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</si>
  <si>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</si>
  <si>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</si>
  <si>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</si>
  <si>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</si>
  <si>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</si>
  <si>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</si>
  <si>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</si>
  <si>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</si>
  <si>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</si>
  <si>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</si>
  <si>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</si>
  <si>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</si>
  <si>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</si>
  <si>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</si>
  <si>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</si>
  <si>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</si>
  <si>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</si>
  <si>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</si>
  <si>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</si>
  <si>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</si>
  <si>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</si>
  <si>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</si>
  <si>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</si>
  <si>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</si>
  <si>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</si>
  <si>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</si>
  <si>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</si>
  <si>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</si>
  <si>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</si>
  <si>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</si>
  <si>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</si>
  <si>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</si>
  <si>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</si>
  <si>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</si>
  <si>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</si>
  <si>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</si>
  <si>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</si>
  <si>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</si>
  <si>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</si>
  <si>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</si>
  <si>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</si>
  <si>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</si>
  <si>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</si>
  <si>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</si>
  <si>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</si>
  <si>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</si>
  <si>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</si>
  <si>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</si>
  <si>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</si>
  <si>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</si>
  <si>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</si>
  <si>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</si>
  <si>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</si>
  <si>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</si>
  <si>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</si>
  <si>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</si>
  <si>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</si>
  <si>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</si>
  <si>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</si>
  <si>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</si>
  <si>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</si>
  <si>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</si>
  <si>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</si>
  <si>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</si>
  <si>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</si>
  <si>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</si>
  <si>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</si>
  <si>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</si>
  <si>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</si>
  <si>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</si>
  <si>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</si>
  <si>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</si>
  <si>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</si>
  <si>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</si>
  <si>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</si>
  <si>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</si>
  <si>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</si>
  <si>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</si>
  <si>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</si>
  <si>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</si>
  <si>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</si>
  <si>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</si>
  <si>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</si>
  <si>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</si>
  <si>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</si>
  <si>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</si>
  <si>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</si>
  <si>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</si>
  <si>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</si>
  <si>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</si>
  <si>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</si>
  <si>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</si>
  <si>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</si>
  <si>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</si>
  <si>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</si>
  <si>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</si>
  <si>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</si>
  <si>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</si>
  <si>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</si>
  <si>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</si>
  <si>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</si>
  <si>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</si>
  <si>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</si>
  <si>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</si>
  <si>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</si>
  <si>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</si>
  <si>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</si>
  <si>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</si>
  <si>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</si>
  <si>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</si>
  <si>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</si>
  <si>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</si>
  <si>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</si>
  <si>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</si>
  <si>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</si>
  <si>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</si>
  <si>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</si>
  <si>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</si>
  <si>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</si>
  <si>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</si>
  <si>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</si>
  <si>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</si>
  <si>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</si>
  <si>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</si>
  <si>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</si>
  <si>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</si>
  <si>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</si>
  <si>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</si>
  <si>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</si>
  <si>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</si>
  <si>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</si>
  <si>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</si>
  <si>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</si>
  <si>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</si>
  <si>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</si>
  <si>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</si>
  <si>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</si>
  <si>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</si>
  <si>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</si>
  <si>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</si>
  <si>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</si>
  <si>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</si>
  <si>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</si>
  <si>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</si>
  <si>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</si>
  <si>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</si>
  <si>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</si>
  <si>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</si>
  <si>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</si>
  <si>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</si>
  <si>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</si>
  <si>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</si>
  <si>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</si>
  <si>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</si>
  <si>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</si>
  <si>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</si>
  <si>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</si>
  <si>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</si>
  <si>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</si>
  <si>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</si>
  <si>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</si>
  <si>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</si>
  <si>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</si>
  <si>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</si>
  <si>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</si>
  <si>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</si>
  <si>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</si>
  <si>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</si>
  <si>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</si>
  <si>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</si>
  <si>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</si>
  <si>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</si>
  <si>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</si>
  <si>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</si>
  <si>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</si>
  <si>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</si>
  <si>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</si>
  <si>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</si>
  <si>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</si>
  <si>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</si>
  <si>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</si>
  <si>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</si>
  <si>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</si>
  <si>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</si>
  <si>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</si>
  <si>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</si>
  <si>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</si>
  <si>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</si>
  <si>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</si>
  <si>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</si>
  <si>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</si>
  <si>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</si>
  <si>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</si>
  <si>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</si>
  <si>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</si>
  <si>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</si>
  <si>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</si>
  <si>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</si>
  <si>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</si>
  <si>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</si>
  <si>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</si>
  <si>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</si>
  <si>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</si>
  <si>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</si>
  <si>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</si>
  <si>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</si>
  <si>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</si>
  <si>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</si>
  <si>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</si>
  <si>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</si>
  <si>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</si>
  <si>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</si>
  <si>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</si>
  <si>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</si>
  <si>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</si>
  <si>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</si>
  <si>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</si>
  <si>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</si>
  <si>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</si>
  <si>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</si>
  <si>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</si>
  <si>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</si>
  <si>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</si>
  <si>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</si>
  <si>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</si>
  <si>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</si>
  <si>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</si>
  <si>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</si>
  <si>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</si>
  <si>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</si>
  <si>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</si>
  <si>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</si>
  <si>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</si>
  <si>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</si>
  <si>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</si>
  <si>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</si>
  <si>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</si>
  <si>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</si>
  <si>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</si>
  <si>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</si>
  <si>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</si>
  <si>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</si>
  <si>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</si>
  <si>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</si>
  <si>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</si>
  <si>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</si>
  <si>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</si>
  <si>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</si>
  <si>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</si>
  <si>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</si>
  <si>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</si>
  <si>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</si>
  <si>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</si>
  <si>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</si>
  <si>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</si>
  <si>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</si>
  <si>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</si>
  <si>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</si>
  <si>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</si>
  <si>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</si>
  <si>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</si>
  <si>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</si>
  <si>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</si>
  <si>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</si>
  <si>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</si>
  <si>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</si>
  <si>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</si>
  <si>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</si>
  <si>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</si>
  <si>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</si>
  <si>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</si>
  <si>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</si>
  <si>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</si>
  <si>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</si>
  <si>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</si>
  <si>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</si>
  <si>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</si>
  <si>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</si>
  <si>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</si>
  <si>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</si>
  <si>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</si>
  <si>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</si>
  <si>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</si>
  <si>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</si>
  <si>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</si>
  <si>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</si>
  <si>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</si>
  <si>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</si>
  <si>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</si>
  <si>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</si>
  <si>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</si>
  <si>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</si>
  <si>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</si>
  <si>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</si>
  <si>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</si>
  <si>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</si>
  <si>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</si>
  <si>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</si>
  <si>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</si>
  <si>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</si>
  <si>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</si>
  <si>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</si>
  <si>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</si>
  <si>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</si>
  <si>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</si>
  <si>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</si>
  <si>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</si>
  <si>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</si>
  <si>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</si>
  <si>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</si>
  <si>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</si>
  <si>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</si>
  <si>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</si>
  <si>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</si>
  <si>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</si>
  <si>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</si>
  <si>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</si>
  <si>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</si>
  <si>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</si>
  <si>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</si>
  <si>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</si>
  <si>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</si>
  <si>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</si>
  <si>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</si>
  <si>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</si>
  <si>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</si>
  <si>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</si>
  <si>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</si>
  <si>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</si>
  <si>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</si>
  <si>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</si>
  <si>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</si>
  <si>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</si>
  <si>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</si>
  <si>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</si>
  <si>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</si>
  <si>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</si>
  <si>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</si>
  <si>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</si>
  <si>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</si>
  <si>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</si>
  <si>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</si>
  <si>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</si>
  <si>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</si>
  <si>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</si>
  <si>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</si>
  <si>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</si>
  <si>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</si>
  <si>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</si>
  <si>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</si>
  <si>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</si>
  <si>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</si>
  <si>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</si>
  <si>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</si>
  <si>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</si>
  <si>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</si>
  <si>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</si>
  <si>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</si>
  <si>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</si>
  <si>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</si>
  <si>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</si>
  <si>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</si>
  <si>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</si>
  <si>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</si>
  <si>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</si>
  <si>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</si>
  <si>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</si>
  <si>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</si>
  <si>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</si>
  <si>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</si>
  <si>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</si>
  <si>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</si>
  <si>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</si>
  <si>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</si>
  <si>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</si>
  <si>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</si>
  <si>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</si>
  <si>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</si>
  <si>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</si>
  <si>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</si>
  <si>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</si>
  <si>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</si>
  <si>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</si>
  <si>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</si>
  <si>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</si>
  <si>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</si>
  <si>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</si>
  <si>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</si>
  <si>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</si>
  <si>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</si>
  <si>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</si>
  <si>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</si>
  <si>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</si>
  <si>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</si>
  <si>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</si>
  <si>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</si>
  <si>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</si>
  <si>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</si>
  <si>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</si>
  <si>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</si>
  <si>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</si>
  <si>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</si>
  <si>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</si>
  <si>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</si>
  <si>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</si>
  <si>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</si>
  <si>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</si>
  <si>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</si>
  <si>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</si>
  <si>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</si>
  <si>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</si>
  <si>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</si>
  <si>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</si>
  <si>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</si>
  <si>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</si>
  <si>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</si>
  <si>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</si>
  <si>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</si>
  <si>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</si>
  <si>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</si>
  <si>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</si>
  <si>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</si>
  <si>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</si>
  <si>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</si>
  <si>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</si>
  <si>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</si>
  <si>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</si>
  <si>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</si>
  <si>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</si>
  <si>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</si>
  <si>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</si>
  <si>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</si>
  <si>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</si>
  <si>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</si>
  <si>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</si>
  <si>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</si>
  <si>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</si>
  <si>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</si>
  <si>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</si>
  <si>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</si>
  <si>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</si>
  <si>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</si>
  <si>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</si>
  <si>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</si>
  <si>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</si>
  <si>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</si>
  <si>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</si>
  <si>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</si>
  <si>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</si>
  <si>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</si>
  <si>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</si>
  <si>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</si>
  <si>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</si>
  <si>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</si>
  <si>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</si>
  <si>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</si>
  <si>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</si>
  <si>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</si>
  <si>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</si>
  <si>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</si>
  <si>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</si>
  <si>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</si>
  <si>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</si>
  <si>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</si>
  <si>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</si>
  <si>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</si>
  <si>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</si>
  <si>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</si>
  <si>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</si>
  <si>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</si>
  <si>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</si>
  <si>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</si>
  <si>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</si>
  <si>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</si>
  <si>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</si>
  <si>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</si>
  <si>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</si>
  <si>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</si>
  <si>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</si>
  <si>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</si>
  <si>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</si>
  <si>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</si>
  <si>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</si>
  <si>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</si>
  <si>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</si>
  <si>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</si>
  <si>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</si>
  <si>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</si>
  <si>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</si>
  <si>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</si>
  <si>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</si>
  <si>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</si>
  <si>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</si>
  <si>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</si>
  <si>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</si>
  <si>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</si>
  <si>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</si>
  <si>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</si>
  <si>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</si>
  <si>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</si>
  <si>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</si>
  <si>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</si>
  <si>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</si>
  <si>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</si>
  <si>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</si>
  <si>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</si>
  <si>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</si>
  <si>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</si>
  <si>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</si>
  <si>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</si>
  <si>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</si>
  <si>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</si>
  <si>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</si>
  <si>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</si>
  <si>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</si>
  <si>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</si>
  <si>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</si>
  <si>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</si>
  <si>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</si>
  <si>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</si>
  <si>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</si>
  <si>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</si>
  <si>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</si>
  <si>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</si>
  <si>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</si>
  <si>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</si>
  <si>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</si>
  <si>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</si>
  <si>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</si>
  <si>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</si>
  <si>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</si>
  <si>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</si>
  <si>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</si>
  <si>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</si>
  <si>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</si>
  <si>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</si>
  <si>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</si>
  <si>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</si>
  <si>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</si>
  <si>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</si>
  <si>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</si>
  <si>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</si>
  <si>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</si>
  <si>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</si>
  <si>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</si>
  <si>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</si>
  <si>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</si>
  <si>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</si>
  <si>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</si>
  <si>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</si>
  <si>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</si>
  <si>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</si>
  <si>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</si>
  <si>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</si>
  <si>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</si>
  <si>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</si>
  <si>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</si>
  <si>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</si>
  <si>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</si>
  <si>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</si>
  <si>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</si>
  <si>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</si>
  <si>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</si>
  <si>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</si>
  <si>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</si>
  <si>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</si>
  <si>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</si>
  <si>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</si>
  <si>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</si>
  <si>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</si>
  <si>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</si>
  <si>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</si>
  <si>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</si>
  <si>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</si>
  <si>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</si>
  <si>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</si>
  <si>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</si>
  <si>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</si>
  <si>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</si>
  <si>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</si>
  <si>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</si>
  <si>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</si>
  <si>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</si>
  <si>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</si>
  <si>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</si>
  <si>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</si>
  <si>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</si>
  <si>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</si>
  <si>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</si>
  <si>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</si>
  <si>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</si>
  <si>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</si>
  <si>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</si>
  <si>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</si>
  <si>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</si>
  <si>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</si>
  <si>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</si>
  <si>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</si>
  <si>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</si>
  <si>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</si>
  <si>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</si>
  <si>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</si>
  <si>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</si>
  <si>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</si>
  <si>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</si>
  <si>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</si>
  <si>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</si>
  <si>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</si>
  <si>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</si>
  <si>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</si>
  <si>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</si>
  <si>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</si>
  <si>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</si>
  <si>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</si>
  <si>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</si>
  <si>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</si>
  <si>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</si>
  <si>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</si>
  <si>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</si>
  <si>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</si>
  <si>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</si>
  <si>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</si>
  <si>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</si>
  <si>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</si>
  <si>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</si>
  <si>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</si>
  <si>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</si>
  <si>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</si>
  <si>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</si>
  <si>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</si>
  <si>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</si>
  <si>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</si>
  <si>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</si>
  <si>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</si>
  <si>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</si>
  <si>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</si>
  <si>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</si>
  <si>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</si>
  <si>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</si>
  <si>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</si>
  <si>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</si>
  <si>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</si>
  <si>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</si>
  <si>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</si>
  <si>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</si>
  <si>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</si>
  <si>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</si>
  <si>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</si>
  <si>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</si>
  <si>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</si>
  <si>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</si>
  <si>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</si>
  <si>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</si>
  <si>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</si>
  <si>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</si>
  <si>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</si>
  <si>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</si>
  <si>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</si>
  <si>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</si>
  <si>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</si>
  <si>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</si>
  <si>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</si>
  <si>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</si>
  <si>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</si>
  <si>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</si>
  <si>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</si>
  <si>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</si>
  <si>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</si>
  <si>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</si>
  <si>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</si>
  <si>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</si>
  <si>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</si>
  <si>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</si>
  <si>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</si>
  <si>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</si>
  <si>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</si>
  <si>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</si>
  <si>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</si>
  <si>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</si>
  <si>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</si>
  <si>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</si>
  <si>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</si>
  <si>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</si>
  <si>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</si>
  <si>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</si>
  <si>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</si>
  <si>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</si>
  <si>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</si>
  <si>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</si>
  <si>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</si>
  <si>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</si>
  <si>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</si>
  <si>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</si>
  <si>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</si>
  <si>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</si>
  <si>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</si>
  <si>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</si>
  <si>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</si>
  <si>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</si>
  <si>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</si>
  <si>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</si>
  <si>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</si>
  <si>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</si>
  <si>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</si>
  <si>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</si>
  <si>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</si>
  <si>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</si>
  <si>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</si>
  <si>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</si>
  <si>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</si>
  <si>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</si>
  <si>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</si>
  <si>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</si>
  <si>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</si>
  <si>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</si>
  <si>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</si>
  <si>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</si>
  <si>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</si>
  <si>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</si>
  <si>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</si>
  <si>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</si>
  <si>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</si>
  <si>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</si>
  <si>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</si>
  <si>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</si>
  <si>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</si>
  <si>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</si>
  <si>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</si>
  <si>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</si>
  <si>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</si>
  <si>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</si>
  <si>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</si>
  <si>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</si>
  <si>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</si>
  <si>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</si>
  <si>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</si>
  <si>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</si>
  <si>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</si>
  <si>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</si>
  <si>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</si>
  <si>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</si>
  <si>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</si>
  <si>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</si>
  <si>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</si>
  <si>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</si>
  <si>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</si>
  <si>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</si>
  <si>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</si>
  <si>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</si>
  <si>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</si>
  <si>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</si>
  <si>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</si>
  <si>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</si>
  <si>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</si>
  <si>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</si>
  <si>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</si>
  <si>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</si>
  <si>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</si>
  <si>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</si>
  <si>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</si>
  <si>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</si>
  <si>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</si>
  <si>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</si>
  <si>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</si>
  <si>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</si>
  <si>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</si>
  <si>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</si>
  <si>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</si>
  <si>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</si>
  <si>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</si>
  <si>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</si>
  <si>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</si>
  <si>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</si>
  <si>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</si>
  <si>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</si>
  <si>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</si>
  <si>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</si>
  <si>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</si>
  <si>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</si>
  <si>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</si>
  <si>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</si>
  <si>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</si>
  <si>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</si>
  <si>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</si>
  <si>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</si>
  <si>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</si>
  <si>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</si>
  <si>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</si>
  <si>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</si>
  <si>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</si>
  <si>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</si>
  <si>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</si>
  <si>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</si>
  <si>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</si>
  <si>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</si>
  <si>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</si>
  <si>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</si>
  <si>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</si>
  <si>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</si>
  <si>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</si>
  <si>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</si>
  <si>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</si>
  <si>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</si>
  <si>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</si>
  <si>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</si>
  <si>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</si>
  <si>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</si>
  <si>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</si>
  <si>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</si>
  <si>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</si>
  <si>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</si>
  <si>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</si>
  <si>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</si>
  <si>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</si>
  <si>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</si>
  <si>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</si>
  <si>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</si>
  <si>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</si>
  <si>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</si>
  <si>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</si>
  <si>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</si>
  <si>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</si>
  <si>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</si>
  <si>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</si>
  <si>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</si>
  <si>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</si>
  <si>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</si>
  <si>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</si>
  <si>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</si>
  <si>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</si>
  <si>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</si>
  <si>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</si>
  <si>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</si>
  <si>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</si>
  <si>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</si>
  <si>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</si>
  <si>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</si>
  <si>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</si>
  <si>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</si>
  <si>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</si>
  <si>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</si>
  <si>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</si>
  <si>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</si>
  <si>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</si>
  <si>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</si>
  <si>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</si>
  <si>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</si>
  <si>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</si>
  <si>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</si>
  <si>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</si>
  <si>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</si>
  <si>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</si>
  <si>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</si>
  <si>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</si>
  <si>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</si>
  <si>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</si>
  <si>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</si>
  <si>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</si>
  <si>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</si>
  <si>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</si>
  <si>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</si>
  <si>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</si>
  <si>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</si>
  <si>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</si>
  <si>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</si>
  <si>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</si>
  <si>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</si>
  <si>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</si>
  <si>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</si>
  <si>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</si>
  <si>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</si>
  <si>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</si>
  <si>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</si>
  <si>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</si>
  <si>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</si>
  <si>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</si>
  <si>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</si>
  <si>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</si>
  <si>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</si>
  <si>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</si>
  <si>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</si>
  <si>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</si>
  <si>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</si>
  <si>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</si>
  <si>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</si>
  <si>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</si>
  <si>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</si>
  <si>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</si>
  <si>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</si>
  <si>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</si>
  <si>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</si>
  <si>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</si>
  <si>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</si>
  <si>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</si>
  <si>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</si>
  <si>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</si>
  <si>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</si>
  <si>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</si>
  <si>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</si>
  <si>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</si>
  <si>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</si>
  <si>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</si>
  <si>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</si>
  <si>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</si>
  <si>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</si>
  <si>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</si>
  <si>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</si>
  <si>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</si>
  <si>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</si>
  <si>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</si>
  <si>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</si>
  <si>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</si>
  <si>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</si>
  <si>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</si>
  <si>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</si>
  <si>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</si>
  <si>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</si>
  <si>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</si>
  <si>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</si>
  <si>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</si>
  <si>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</si>
  <si>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</si>
  <si>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</si>
  <si>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</si>
  <si>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</si>
  <si>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</si>
  <si>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</si>
  <si>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</si>
  <si>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</si>
  <si>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</si>
  <si>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</si>
  <si>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</si>
  <si>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</si>
  <si>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</si>
  <si>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</si>
  <si>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</si>
  <si>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</si>
  <si>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</si>
  <si>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</si>
  <si>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</si>
  <si>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</si>
  <si>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</si>
  <si>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</si>
  <si>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</si>
  <si>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</si>
  <si>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</si>
  <si>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</si>
  <si>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</si>
  <si>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</si>
  <si>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</si>
  <si>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</si>
  <si>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</si>
  <si>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</si>
  <si>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</si>
  <si>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</si>
  <si>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</si>
  <si>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</si>
  <si>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</si>
  <si>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</si>
  <si>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</si>
  <si>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</si>
  <si>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</si>
  <si>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</si>
  <si>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</si>
  <si>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</si>
  <si>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</si>
  <si>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</si>
  <si>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</si>
  <si>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</si>
  <si>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</si>
  <si>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</si>
  <si>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</si>
  <si>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</si>
  <si>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</si>
  <si>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</si>
  <si>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</si>
  <si>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</si>
  <si>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</si>
  <si>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</si>
  <si>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</si>
  <si>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</si>
  <si>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</si>
  <si>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</si>
  <si>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</si>
  <si>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</si>
  <si>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</si>
  <si>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</si>
  <si>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</si>
  <si>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</si>
  <si>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</si>
  <si>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</si>
  <si>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</si>
  <si>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</si>
  <si>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</si>
  <si>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</si>
  <si>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</si>
  <si>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</si>
  <si>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</si>
  <si>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</si>
  <si>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</si>
  <si>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</si>
  <si>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</si>
  <si>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</si>
  <si>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</si>
  <si>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</si>
  <si>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</si>
  <si>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</si>
  <si>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</si>
  <si>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</si>
  <si>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</si>
  <si>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</si>
  <si>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</si>
  <si>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</si>
  <si>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</si>
  <si>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</si>
  <si>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</si>
  <si>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</si>
  <si>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</si>
  <si>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</si>
  <si>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</si>
  <si>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</si>
  <si>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</si>
  <si>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</si>
  <si>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</si>
  <si>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</si>
  <si>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</si>
  <si>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</si>
  <si>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</si>
  <si>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</si>
  <si>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</si>
  <si>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</si>
  <si>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</si>
  <si>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</si>
  <si>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</si>
  <si>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</si>
  <si>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</si>
  <si>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</si>
  <si>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</si>
  <si>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</si>
  <si>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</si>
  <si>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</si>
  <si>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</si>
  <si>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</si>
  <si>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</si>
  <si>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</si>
  <si>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</si>
  <si>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</si>
  <si>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</si>
  <si>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</si>
  <si>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</si>
  <si>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</si>
  <si>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</si>
  <si>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</si>
  <si>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</si>
  <si>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</si>
  <si>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</si>
  <si>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</si>
  <si>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</si>
  <si>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</si>
  <si>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</si>
  <si>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</si>
  <si>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</si>
  <si>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</si>
  <si>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</si>
  <si>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</si>
  <si>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</si>
  <si>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</si>
  <si>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</si>
  <si>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</si>
  <si>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</si>
  <si>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</si>
  <si>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</si>
  <si>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</si>
  <si>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</si>
  <si>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</si>
  <si>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</si>
  <si>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</si>
  <si>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</si>
  <si>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</si>
  <si>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</si>
  <si>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</si>
  <si>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</si>
  <si>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</si>
  <si>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</si>
  <si>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</si>
  <si>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</si>
  <si>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</si>
  <si>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</si>
  <si>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</si>
  <si>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</si>
  <si>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</si>
  <si>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</si>
  <si>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</si>
  <si>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</si>
  <si>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</si>
  <si>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</si>
  <si>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</si>
  <si>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</si>
  <si>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</si>
  <si>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</si>
  <si>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</si>
  <si>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</si>
  <si>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</si>
  <si>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</si>
  <si>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</si>
  <si>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</si>
  <si>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</si>
  <si>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</si>
  <si>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</si>
  <si>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</si>
  <si>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</si>
  <si>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</si>
  <si>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</si>
  <si>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</si>
  <si>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</si>
  <si>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</si>
  <si>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</si>
  <si>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</si>
  <si>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</si>
  <si>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</si>
  <si>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</si>
  <si>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</si>
  <si>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</si>
  <si>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</si>
  <si>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</si>
  <si>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</si>
  <si>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</si>
  <si>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</si>
  <si>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</si>
  <si>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</si>
  <si>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</si>
  <si>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</si>
  <si>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</si>
  <si>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</si>
  <si>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</si>
  <si>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</si>
  <si>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</si>
  <si>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</si>
  <si>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</si>
  <si>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</si>
  <si>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</si>
  <si>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</si>
  <si>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</si>
  <si>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</si>
  <si>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</si>
  <si>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</si>
  <si>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</si>
  <si>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</si>
  <si>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</si>
  <si>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</si>
  <si>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</si>
  <si>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</si>
  <si>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</si>
  <si>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</si>
  <si>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</si>
  <si>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</si>
  <si>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</si>
  <si>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</si>
  <si>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</si>
  <si>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</si>
  <si>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</si>
  <si>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</si>
  <si>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</si>
  <si>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</si>
  <si>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</si>
  <si>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</si>
  <si>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</si>
  <si>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</si>
  <si>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</si>
  <si>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</si>
  <si>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</si>
  <si>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</si>
  <si>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</si>
  <si>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</si>
  <si>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</si>
  <si>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</si>
  <si>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</si>
  <si>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</si>
  <si>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</si>
  <si>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</si>
  <si>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</si>
  <si>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</si>
  <si>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</si>
  <si>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</si>
  <si>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</si>
  <si>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</si>
  <si>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</si>
  <si>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</si>
  <si>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</si>
  <si>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</si>
  <si>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</si>
  <si>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</si>
  <si>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</si>
  <si>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</si>
  <si>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</si>
  <si>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</si>
  <si>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</si>
  <si>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</si>
  <si>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</si>
  <si>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</si>
  <si>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</si>
  <si>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</si>
  <si>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</si>
  <si>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</si>
  <si>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</si>
  <si>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</si>
  <si>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</si>
  <si>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</si>
  <si>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</si>
  <si>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</si>
  <si>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</si>
  <si>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</si>
  <si>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</si>
  <si>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</si>
  <si>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</si>
  <si>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</si>
  <si>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</si>
  <si>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</si>
  <si>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</si>
  <si>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</si>
  <si>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</si>
  <si>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</si>
  <si>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</si>
  <si>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</si>
  <si>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</si>
  <si>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</si>
  <si>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</si>
  <si>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</si>
  <si>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</si>
  <si>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</si>
  <si>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</si>
  <si>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</si>
  <si>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</si>
  <si>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</si>
  <si>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</si>
  <si>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</si>
  <si>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</si>
  <si>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</si>
  <si>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</si>
  <si>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</si>
  <si>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</si>
  <si>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</si>
  <si>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</si>
  <si>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</si>
  <si>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</si>
  <si>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</si>
  <si>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</si>
  <si>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</si>
  <si>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</si>
  <si>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</si>
  <si>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</si>
  <si>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</si>
  <si>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</si>
  <si>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</si>
  <si>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</si>
  <si>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</si>
  <si>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</si>
  <si>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</si>
  <si>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</si>
  <si>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</si>
  <si>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</si>
  <si>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</si>
  <si>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</si>
  <si>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</si>
  <si>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</si>
  <si>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</si>
  <si>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</si>
  <si>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</si>
  <si>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</si>
  <si>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</si>
  <si>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</si>
  <si>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</si>
  <si>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</si>
  <si>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</si>
  <si>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</si>
  <si>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</si>
  <si>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</si>
  <si>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</si>
  <si>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</si>
  <si>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</si>
  <si>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</si>
  <si>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</si>
  <si>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</si>
  <si>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</si>
  <si>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</si>
  <si>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</si>
  <si>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</si>
  <si>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</si>
  <si>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</si>
  <si>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</si>
  <si>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</si>
  <si>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</si>
  <si>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</si>
  <si>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</si>
  <si>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</si>
  <si>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</si>
  <si>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</si>
  <si>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</si>
  <si>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</si>
  <si>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</si>
  <si>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</si>
  <si>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</si>
  <si>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</si>
  <si>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</si>
  <si>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</si>
  <si>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</si>
  <si>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</si>
  <si>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</si>
  <si>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</si>
  <si>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</si>
  <si>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</si>
  <si>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</si>
  <si>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</si>
  <si>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</si>
  <si>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</si>
  <si>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</si>
  <si>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</si>
  <si>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</si>
  <si>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</si>
  <si>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</si>
  <si>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</si>
  <si>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</si>
  <si>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</si>
  <si>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</si>
  <si>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</si>
  <si>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</si>
  <si>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</si>
  <si>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</si>
  <si>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</si>
  <si>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</si>
  <si>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</si>
  <si>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</si>
  <si>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</si>
  <si>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</si>
  <si>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</si>
  <si>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</si>
  <si>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</si>
  <si>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</si>
  <si>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</si>
  <si>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</si>
  <si>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</si>
  <si>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</si>
  <si>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</si>
  <si>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</si>
  <si>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</si>
  <si>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</si>
  <si>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</si>
  <si>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</si>
  <si>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</si>
  <si>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</si>
  <si>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</si>
  <si>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</si>
  <si>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</si>
  <si>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</si>
  <si>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</si>
  <si>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</si>
  <si>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</si>
  <si>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</si>
  <si>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</si>
  <si>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</si>
  <si>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</si>
  <si>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</si>
  <si>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</si>
  <si>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</si>
  <si>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</si>
  <si>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</si>
  <si>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</si>
  <si>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</si>
  <si>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</si>
  <si>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</si>
  <si>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</si>
  <si>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</si>
  <si>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</si>
  <si>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</si>
  <si>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</si>
  <si>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</si>
  <si>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</si>
  <si>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</si>
  <si>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</si>
  <si>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</si>
  <si>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</si>
  <si>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</si>
  <si>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</si>
  <si>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</si>
  <si>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</si>
  <si>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</si>
  <si>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</si>
  <si>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</si>
  <si>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</si>
  <si>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</si>
  <si>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</si>
  <si>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</si>
  <si>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</si>
  <si>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</si>
  <si>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</si>
  <si>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</si>
  <si>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</si>
  <si>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</si>
  <si>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</si>
  <si>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</si>
  <si>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</si>
  <si>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</si>
  <si>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</si>
  <si>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</si>
  <si>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</si>
  <si>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</si>
  <si>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</si>
  <si>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</si>
  <si>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</si>
  <si>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</si>
  <si>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</si>
  <si>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</si>
  <si>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</si>
  <si>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</si>
  <si>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</si>
  <si>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</si>
  <si>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</si>
  <si>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</si>
  <si>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</si>
  <si>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</si>
  <si>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</si>
  <si>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</si>
  <si>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</si>
  <si>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</si>
  <si>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</si>
  <si>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</si>
  <si>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</si>
  <si>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</si>
  <si>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</si>
  <si>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</si>
  <si>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</si>
  <si>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</si>
  <si>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</si>
  <si>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</si>
  <si>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</si>
  <si>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</si>
  <si>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</si>
  <si>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</si>
  <si>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</si>
  <si>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</si>
  <si>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</si>
  <si>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</si>
  <si>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</si>
  <si>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</si>
  <si>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</si>
  <si>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</si>
  <si>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</si>
  <si>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</si>
  <si>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</si>
  <si>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</si>
  <si>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</si>
  <si>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</si>
  <si>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</si>
  <si>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</si>
  <si>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</si>
  <si>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</si>
  <si>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</si>
  <si>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</si>
  <si>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</si>
  <si>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</si>
  <si>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</si>
  <si>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</si>
  <si>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</si>
  <si>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</si>
  <si>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</si>
  <si>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</si>
  <si>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</si>
  <si>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</si>
  <si>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</si>
  <si>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</si>
  <si>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</si>
  <si>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</si>
  <si>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</si>
  <si>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</si>
  <si>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</si>
  <si>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</si>
  <si>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</si>
  <si>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</si>
  <si>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</si>
  <si>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</si>
  <si>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</si>
  <si>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</si>
  <si>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</si>
  <si>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</si>
  <si>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</si>
  <si>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</si>
  <si>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</si>
  <si>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</si>
  <si>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</si>
  <si>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</si>
  <si>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</si>
  <si>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</si>
  <si>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</si>
  <si>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</si>
  <si>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</si>
  <si>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</si>
  <si>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</si>
  <si>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</si>
  <si>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</si>
  <si>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</si>
  <si>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</si>
  <si>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</si>
  <si>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</si>
  <si>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</si>
  <si>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</si>
  <si>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</si>
  <si>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</si>
  <si>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</si>
  <si>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</si>
  <si>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</si>
  <si>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</si>
  <si>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</si>
  <si>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</si>
  <si>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</si>
  <si>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</si>
  <si>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</si>
  <si>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</si>
  <si>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</si>
  <si>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</si>
  <si>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</si>
  <si>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</si>
  <si>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</si>
  <si>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</si>
  <si>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</si>
  <si>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</si>
  <si>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</si>
  <si>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</si>
  <si>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</si>
  <si>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</si>
  <si>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</si>
  <si>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</si>
  <si>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</si>
  <si>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</si>
  <si>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</si>
  <si>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</si>
  <si>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</si>
  <si>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</si>
  <si>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</si>
  <si>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</si>
  <si>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</si>
  <si>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</si>
  <si>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</si>
  <si>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</si>
  <si>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</si>
  <si>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</si>
  <si>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</si>
  <si>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</si>
  <si>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</si>
  <si>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</si>
  <si>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</si>
  <si>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</si>
  <si>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</si>
  <si>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</si>
  <si>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</si>
  <si>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</si>
  <si>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</si>
  <si>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</si>
  <si>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</si>
  <si>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</si>
  <si>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</si>
  <si>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</si>
  <si>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</si>
  <si>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</si>
  <si>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</si>
  <si>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</si>
  <si>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</si>
  <si>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</si>
  <si>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</si>
  <si>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</si>
  <si>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</si>
  <si>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</si>
  <si>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</si>
  <si>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</si>
  <si>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</si>
  <si>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</si>
  <si>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</si>
  <si>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</si>
  <si>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</si>
  <si>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</si>
  <si>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</si>
  <si>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</si>
  <si>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</si>
  <si>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</si>
  <si>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</si>
  <si>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</si>
  <si>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</si>
  <si>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</si>
  <si>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</si>
  <si>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</si>
  <si>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</si>
  <si>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</si>
  <si>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</si>
  <si>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自持</t>
  </si>
  <si>
    <t>1号</t>
  </si>
  <si>
    <t>住宅</t>
  </si>
  <si>
    <t>经营性</t>
  </si>
  <si>
    <t>套数</t>
  </si>
  <si>
    <t>总层数</t>
  </si>
  <si>
    <t>2号</t>
  </si>
  <si>
    <t>3号</t>
  </si>
  <si>
    <t>4号</t>
  </si>
  <si>
    <t>可售</t>
  </si>
  <si>
    <t>5号</t>
  </si>
  <si>
    <t>6号</t>
  </si>
  <si>
    <t>7号</t>
  </si>
  <si>
    <t>8号</t>
  </si>
  <si>
    <t>9号</t>
  </si>
  <si>
    <t>10号</t>
  </si>
  <si>
    <t>部分可售、部分自持</t>
  </si>
  <si>
    <t>1#地下车库</t>
  </si>
  <si>
    <t>人防</t>
  </si>
  <si>
    <t>设备用房</t>
    <phoneticPr fontId="140" type="noConversion"/>
  </si>
  <si>
    <t>地下</t>
    <phoneticPr fontId="140" type="noConversion"/>
  </si>
  <si>
    <t>配套用房</t>
    <phoneticPr fontId="140" type="noConversion"/>
  </si>
  <si>
    <t>仓储</t>
    <phoneticPr fontId="140" type="noConversion"/>
  </si>
  <si>
    <t>车库</t>
    <phoneticPr fontId="140" type="noConversion"/>
  </si>
  <si>
    <t>合计</t>
    <phoneticPr fontId="140" type="noConversion"/>
  </si>
  <si>
    <t>1#人防室外出入口</t>
    <phoneticPr fontId="140" type="noConversion"/>
  </si>
  <si>
    <t>2#人防室外出入口</t>
  </si>
  <si>
    <t>3#人防室外出入口</t>
  </si>
  <si>
    <t>4#人防室外出入口</t>
  </si>
  <si>
    <t>B#分界室</t>
    <phoneticPr fontId="140" type="noConversion"/>
  </si>
  <si>
    <t>地上</t>
    <phoneticPr fontId="140" type="noConversion"/>
  </si>
  <si>
    <t>出让合同</t>
    <phoneticPr fontId="140" type="noConversion"/>
  </si>
  <si>
    <t>序号</t>
    <phoneticPr fontId="140" type="noConversion"/>
  </si>
  <si>
    <t>地块名称</t>
    <phoneticPr fontId="140" type="noConversion"/>
  </si>
  <si>
    <t>电子监管号</t>
    <phoneticPr fontId="140" type="noConversion"/>
  </si>
  <si>
    <t>土地面积</t>
    <phoneticPr fontId="140" type="noConversion"/>
  </si>
  <si>
    <t>用途</t>
    <phoneticPr fontId="140" type="noConversion"/>
  </si>
  <si>
    <t>建筑面积</t>
    <phoneticPr fontId="140" type="noConversion"/>
  </si>
  <si>
    <t>地上</t>
    <phoneticPr fontId="140" type="noConversion"/>
  </si>
  <si>
    <t>未出让教育</t>
    <phoneticPr fontId="140" type="noConversion"/>
  </si>
  <si>
    <t>产权人</t>
    <phoneticPr fontId="140" type="noConversion"/>
  </si>
  <si>
    <t>签订日期</t>
    <phoneticPr fontId="140" type="noConversion"/>
  </si>
  <si>
    <t>地价款（万元）</t>
    <phoneticPr fontId="140" type="noConversion"/>
  </si>
  <si>
    <t>住宅售价限制</t>
    <phoneticPr fontId="140" type="noConversion"/>
  </si>
  <si>
    <t>自持面积</t>
    <phoneticPr fontId="140" type="noConversion"/>
  </si>
  <si>
    <t>缴纳证明</t>
    <phoneticPr fontId="140" type="noConversion"/>
  </si>
  <si>
    <t>立项批复</t>
    <phoneticPr fontId="140" type="noConversion"/>
  </si>
  <si>
    <t>1101002017B00859</t>
    <phoneticPr fontId="140" type="noConversion"/>
  </si>
  <si>
    <t>居住、商业、办公</t>
    <phoneticPr fontId="140" type="noConversion"/>
  </si>
  <si>
    <t>北京和信兴泰房地产开发有限公司</t>
    <phoneticPr fontId="140" type="noConversion"/>
  </si>
  <si>
    <t>居住70%</t>
    <phoneticPr fontId="140" type="noConversion"/>
  </si>
  <si>
    <t>√</t>
    <phoneticPr fontId="140" type="noConversion"/>
  </si>
  <si>
    <t>不动产权证</t>
    <phoneticPr fontId="140" type="noConversion"/>
  </si>
  <si>
    <t>序号</t>
    <phoneticPr fontId="140" type="noConversion"/>
  </si>
  <si>
    <t>地块名称</t>
    <phoneticPr fontId="140" type="noConversion"/>
  </si>
  <si>
    <t>不动产权证号</t>
    <phoneticPr fontId="140" type="noConversion"/>
  </si>
  <si>
    <t>土地面积</t>
    <phoneticPr fontId="140" type="noConversion"/>
  </si>
  <si>
    <t>用途</t>
    <phoneticPr fontId="140" type="noConversion"/>
  </si>
  <si>
    <t>产权人</t>
    <phoneticPr fontId="140" type="noConversion"/>
  </si>
  <si>
    <t>发证日期</t>
    <phoneticPr fontId="140" type="noConversion"/>
  </si>
  <si>
    <t>终止日期</t>
    <phoneticPr fontId="140" type="noConversion"/>
  </si>
  <si>
    <t>0010地块</t>
    <phoneticPr fontId="140" type="noConversion"/>
  </si>
  <si>
    <t>大兴区旧宫镇DX07-0201-0010、0011、0012地块R2二类居住、A33基础教育用地</t>
    <phoneticPr fontId="140" type="noConversion"/>
  </si>
  <si>
    <t>京（2017）大不动产权第0000134号</t>
    <phoneticPr fontId="140" type="noConversion"/>
  </si>
  <si>
    <t>居住、商业、办公</t>
    <phoneticPr fontId="140" type="noConversion"/>
  </si>
  <si>
    <t>北京和信兴泰房地产开发有限公司</t>
    <phoneticPr fontId="140" type="noConversion"/>
  </si>
  <si>
    <t>居住2087-5-21；商业2057-5-21；办公2069-5-21</t>
    <phoneticPr fontId="140" type="noConversion"/>
  </si>
  <si>
    <t>0012地块</t>
    <phoneticPr fontId="140" type="noConversion"/>
  </si>
  <si>
    <t>京（2017）大不动产权第0000135号</t>
    <phoneticPr fontId="140" type="noConversion"/>
  </si>
  <si>
    <t>0006地块</t>
    <phoneticPr fontId="140" type="noConversion"/>
  </si>
  <si>
    <t>京（2017）大不动产权第0000136号</t>
    <phoneticPr fontId="140" type="noConversion"/>
  </si>
  <si>
    <t>北京和信金泰房地产开发有限公司</t>
    <phoneticPr fontId="140" type="noConversion"/>
  </si>
  <si>
    <t>大兴区旧宫镇DX07-0201-0010、0011、0012地块R2二类居住、A33基础教育用地</t>
    <phoneticPr fontId="140" type="noConversion"/>
  </si>
  <si>
    <t>大兴区旧宫镇DX07-0201-0010、0011、0012地块</t>
    <phoneticPr fontId="140" type="noConversion"/>
  </si>
  <si>
    <t>大兴区旧宫镇DX07-0201-0006、0007地块R2二类居住用地</t>
  </si>
  <si>
    <t>大兴区旧宫镇DX07-0201-0006、0007地块R2二类居住用地</t>
    <phoneticPr fontId="140" type="noConversion"/>
  </si>
  <si>
    <t>合计</t>
    <phoneticPr fontId="140" type="noConversion"/>
  </si>
  <si>
    <t>规证</t>
    <phoneticPr fontId="140" type="noConversion"/>
  </si>
  <si>
    <t>A#配套</t>
    <phoneticPr fontId="140" type="noConversion"/>
  </si>
  <si>
    <t>京（2017）大不动产权第0000137号</t>
  </si>
  <si>
    <t>0007地块</t>
    <phoneticPr fontId="140" type="noConversion"/>
  </si>
  <si>
    <t>人防及非机动车库出入口</t>
    <phoneticPr fontId="140" type="noConversion"/>
  </si>
  <si>
    <t>1101002017B00878</t>
    <phoneticPr fontId="140" type="noConversion"/>
  </si>
  <si>
    <t>A#配套</t>
    <phoneticPr fontId="140" type="noConversion"/>
  </si>
  <si>
    <t>自持住宅</t>
    <phoneticPr fontId="140" type="noConversion"/>
  </si>
  <si>
    <t>物业用房</t>
    <phoneticPr fontId="140" type="noConversion"/>
  </si>
  <si>
    <t>居住2087-5-21；商业2057-5-21；办公2069-5-21</t>
    <phoneticPr fontId="140" type="noConversion"/>
  </si>
  <si>
    <t>出让</t>
  </si>
  <si>
    <t>抵押</t>
  </si>
  <si>
    <t>房地产抵押价值</t>
  </si>
  <si>
    <t>通路</t>
  </si>
  <si>
    <t>通电</t>
  </si>
  <si>
    <t>通讯</t>
  </si>
  <si>
    <t>通上水</t>
  </si>
  <si>
    <t>通下水</t>
  </si>
  <si>
    <t>通热</t>
  </si>
  <si>
    <t>燃气</t>
  </si>
  <si>
    <t>是</t>
  </si>
  <si>
    <t>否</t>
  </si>
  <si>
    <t>自持住宅</t>
  </si>
  <si>
    <t>自持住宅</t>
    <phoneticPr fontId="16" type="noConversion"/>
  </si>
  <si>
    <t>地上</t>
  </si>
  <si>
    <r>
      <t>1368</t>
    </r>
    <r>
      <rPr>
        <sz val="10"/>
        <color indexed="8"/>
        <rFont val="宋体"/>
        <family val="3"/>
        <charset val="134"/>
      </rPr>
      <t>套</t>
    </r>
    <phoneticPr fontId="3" type="noConversion"/>
  </si>
  <si>
    <t>平层住宅</t>
  </si>
  <si>
    <t>地下</t>
  </si>
  <si>
    <t>仓储</t>
  </si>
  <si>
    <t>戊类库房</t>
  </si>
  <si>
    <t>车库</t>
  </si>
  <si>
    <t>自持住宅</t>
    <phoneticPr fontId="7" type="noConversion"/>
  </si>
  <si>
    <t>成新度</t>
  </si>
  <si>
    <t>未包含在土地购买价格中</t>
  </si>
  <si>
    <t>全部缴纳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</si>
  <si>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</si>
  <si>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</si>
  <si>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</si>
  <si>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</si>
  <si>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</si>
  <si>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</si>
  <si>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</si>
  <si>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</si>
  <si>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</si>
  <si>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</si>
  <si>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</si>
  <si>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</si>
  <si>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</si>
  <si>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</si>
  <si>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</si>
  <si>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</si>
  <si>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</si>
  <si>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</si>
  <si>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</si>
  <si>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</si>
  <si>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</si>
  <si>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</si>
  <si>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</si>
  <si>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</si>
  <si>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</si>
  <si>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</si>
  <si>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</si>
  <si>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</si>
  <si>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</si>
  <si>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</si>
  <si>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</si>
  <si>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</si>
  <si>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</si>
  <si>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</si>
  <si>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</si>
  <si>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</si>
  <si>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</si>
  <si>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</si>
  <si>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</si>
  <si>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</si>
  <si>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</si>
  <si>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</si>
  <si>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</si>
  <si>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</si>
  <si>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</si>
  <si>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</si>
  <si>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集体建设用地区级统筹大兴区瀛海镇YZ00-0803-2003、2004、2005A、2005B、2008地块</t>
  </si>
  <si>
    <t>北京市</t>
  </si>
  <si>
    <t>综合用地(含住宅)</t>
  </si>
  <si>
    <t>大兴区</t>
  </si>
  <si>
    <t>瀛海</t>
  </si>
  <si>
    <t>大兴区瀛海镇</t>
  </si>
  <si>
    <t>挂牌</t>
  </si>
  <si>
    <t>京土集使挂(兴)[2019]003号</t>
  </si>
  <si>
    <t>F81绿隔产业用地(建设共有产权房)</t>
  </si>
  <si>
    <t>f81≤2.5</t>
  </si>
  <si>
    <t>本次出让宗地F81建筑规模全部建设“共有产权住房”,销售均价29000元/平方米(含全装修费用)。</t>
  </si>
  <si>
    <t>限房价,含自住房/共有产权住房</t>
  </si>
  <si>
    <t>未开工</t>
  </si>
  <si>
    <t>2019-08-01</t>
  </si>
  <si>
    <t>2020-12-11</t>
  </si>
  <si>
    <t>2020-12-25</t>
  </si>
  <si>
    <t>已成交</t>
  </si>
  <si>
    <t>北京北投如郡房地产开发有限公司</t>
  </si>
  <si>
    <t>北京城市副中心投资建设集团有限公司</t>
  </si>
  <si>
    <t>居住70年、商业40年、办公50年</t>
  </si>
  <si>
    <t>3星</t>
  </si>
  <si>
    <t>北京市大兴区黄村镇狼垡地区集体产业用地2号地DX00-1002-L06地块</t>
  </si>
  <si>
    <t>黄村北</t>
  </si>
  <si>
    <t>东至区界,西至芦花路,南至横三路,北至横四路</t>
  </si>
  <si>
    <t>京土集使挂(兴)[2020]001号</t>
  </si>
  <si>
    <t>F81绿隔产业用地</t>
  </si>
  <si>
    <t>≤2.5</t>
  </si>
  <si>
    <t>45米</t>
  </si>
  <si>
    <t>含人才住房</t>
  </si>
  <si>
    <t>2020-11-16</t>
  </si>
  <si>
    <t>2020-12-07</t>
  </si>
  <si>
    <t>2020-12-22</t>
  </si>
  <si>
    <t>北京兴业恒盛置业有限公司</t>
  </si>
  <si>
    <t>北京兴业利民置业有限公司</t>
  </si>
  <si>
    <t>50年</t>
  </si>
  <si>
    <t>4星</t>
  </si>
  <si>
    <t>北京经济技术开发区河西区X46R1、X46R2地块R2二类居住用地、A334托幼用地国有建设用地</t>
  </si>
  <si>
    <t>北京经济技术开发区河西区X46R1、X46R2地块</t>
  </si>
  <si>
    <t>京土整储挂(开)[2020]028号</t>
  </si>
  <si>
    <t>R2二类居住用地、A334托幼用地</t>
  </si>
  <si>
    <t>r2≤2.5,a33≤0.8</t>
  </si>
  <si>
    <t>≤30%</t>
  </si>
  <si>
    <t>R2≤80米,A33≤18米</t>
  </si>
  <si>
    <t>限地价,竞自持,报高标准商品住宅建设方案</t>
  </si>
  <si>
    <t>限地价</t>
  </si>
  <si>
    <t>2020-06-30</t>
  </si>
  <si>
    <t>2020-07-20</t>
  </si>
  <si>
    <t>2020-08-03</t>
  </si>
  <si>
    <t>北京中海地产有限公司</t>
  </si>
  <si>
    <t>中国海外发展有限公司</t>
  </si>
  <si>
    <t>北京市大兴区采育镇01-0129地块R2二类居住用地、01-0115地块R53托幼用地</t>
  </si>
  <si>
    <t>采育</t>
  </si>
  <si>
    <t>大兴区采育镇</t>
  </si>
  <si>
    <t>京土整储挂(兴)[2020]017号</t>
  </si>
  <si>
    <t>R2二类居住用地、R53托幼用地</t>
  </si>
  <si>
    <t>r2≤1.05,a53≤0.8</t>
  </si>
  <si>
    <t>R2≤30米,R53≤9米</t>
  </si>
  <si>
    <t>开工中</t>
  </si>
  <si>
    <t>2020-03-30</t>
  </si>
  <si>
    <t>2020-04-29</t>
  </si>
  <si>
    <t>2020-05-15</t>
  </si>
  <si>
    <t>北京路劲隽御房地产开发有限公司和北京首都开发股份有限公司联合体</t>
  </si>
  <si>
    <t>路劲基建有限公司</t>
  </si>
  <si>
    <t>2星</t>
  </si>
  <si>
    <t>北京市大兴区西红门镇B1-05-(3)地块R2二类居住用地</t>
  </si>
  <si>
    <t>住宅用地</t>
  </si>
  <si>
    <t>西红门</t>
  </si>
  <si>
    <t>大兴区西红门镇</t>
  </si>
  <si>
    <t>京土整储挂(兴)[2020]011号</t>
  </si>
  <si>
    <t>R2二类居住用地</t>
  </si>
  <si>
    <t>≤2.1</t>
  </si>
  <si>
    <t>≤30米</t>
  </si>
  <si>
    <t>限地价,限房价,竞自持,报高标准商品住宅建设方案,90/70</t>
  </si>
  <si>
    <t>限地价,限房价,90/70</t>
  </si>
  <si>
    <t>2020-03-27</t>
  </si>
  <si>
    <t>2020-04-16</t>
  </si>
  <si>
    <t>北京尚恒龙端商业运营管理有限公司和北京首都开发股份有限公司联合体</t>
  </si>
  <si>
    <t>北京首都开发股份有限公司,龙湖集团控股有限公司</t>
  </si>
  <si>
    <t>北京市大兴区西红门镇B1-05-(2)地块R2二类居住用地、B2-02地块S4社会停车场用地</t>
  </si>
  <si>
    <t>京土整储挂(兴)[2020]010号</t>
  </si>
  <si>
    <t>R2二类居住用地、S4社会停车场用地</t>
  </si>
  <si>
    <t>r2≤2.1</t>
  </si>
  <si>
    <t>北京新城万隆房地产开发有限公司</t>
  </si>
  <si>
    <t>新城发展控股有限公司</t>
  </si>
  <si>
    <t>北京市大兴区采育镇DX10-0001-6004地块R2二类居住用地</t>
  </si>
  <si>
    <t>京土整储挂(兴)[2019]054号</t>
  </si>
  <si>
    <t>≤60米</t>
  </si>
  <si>
    <t>2019-12-31</t>
  </si>
  <si>
    <t>2020-02-04</t>
  </si>
  <si>
    <t>2020-02-18</t>
  </si>
  <si>
    <t>北京住总房地产开发有限责任公司和北京兴创置地房地产开发有限公司联合体</t>
  </si>
  <si>
    <t>北京市大兴区国有资本投资运营有限公司,北京住总集团有限责任公司</t>
  </si>
  <si>
    <t>北京市大兴区旧宫镇YZ00-0801-0018、0019、0024、0025、0026地块二类居住用地、基础教育用地</t>
  </si>
  <si>
    <t>旧宫</t>
  </si>
  <si>
    <t>大兴区旧宫镇</t>
  </si>
  <si>
    <t>京土整储挂(兴)[2019]055号</t>
  </si>
  <si>
    <t>二类居住用地、基础教育用地</t>
  </si>
  <si>
    <t>基础教育≤0.8,二类居住≤2.5</t>
  </si>
  <si>
    <t>二类居住≤45米,基础教育≤12米</t>
  </si>
  <si>
    <t>北京昱意房地产开发有限公司</t>
  </si>
  <si>
    <t>保利发展控股集团股份有限公司,绿城中国控股有限公司</t>
  </si>
  <si>
    <t>5星</t>
  </si>
  <si>
    <t>北京市大兴区采育镇01-0042地块R2二类居住用地</t>
  </si>
  <si>
    <t>京土整储挂(兴)[2019]052号</t>
  </si>
  <si>
    <t>≤1.05</t>
  </si>
  <si>
    <t>2020-01-22</t>
  </si>
  <si>
    <t>2020-02-11</t>
  </si>
  <si>
    <t>京能置业股份有限公司</t>
  </si>
  <si>
    <t>北京经济技术开发区路东区E9R2、E9A2地块R2二类居住用地、A33基础教育用地</t>
  </si>
  <si>
    <t>北京经济技术开发区路东区E9R2、E9A2地块</t>
  </si>
  <si>
    <t>京土整储挂(开)[2019]030号</t>
  </si>
  <si>
    <t>R2二类居住用地、A33基础教育用地</t>
  </si>
  <si>
    <t>r2≤2.8,a33≤0.8</t>
  </si>
  <si>
    <t>2019-10-10</t>
  </si>
  <si>
    <t>2019-10-30</t>
  </si>
  <si>
    <t>2019-11-13</t>
  </si>
  <si>
    <t>山西通建房地产开发有限公司</t>
  </si>
  <si>
    <t>山西交通控股集团有限公司</t>
  </si>
  <si>
    <t>北京经济技术开发区路东区E9R3、E9R4地块R2二类居住用地</t>
  </si>
  <si>
    <t>北京经济技术开发区路东区E9R3、E9R4地块</t>
  </si>
  <si>
    <t>京土整储挂(开)[2019]031号</t>
  </si>
  <si>
    <t>≤2.8</t>
  </si>
  <si>
    <t>≤80米</t>
  </si>
  <si>
    <t>招商局地产(北京)有限公司</t>
  </si>
  <si>
    <t>招商局蛇口工业区控股股份有限公司</t>
  </si>
  <si>
    <t>北京市大兴区黄村镇孙村组团DX00-0009-6010地块R2二类居住用地、DX00-0009-6009地块A33基础教育用地</t>
  </si>
  <si>
    <t>黄村南</t>
  </si>
  <si>
    <t>大兴区黄村镇</t>
  </si>
  <si>
    <t>京土整储挂(兴)[2019]025号</t>
  </si>
  <si>
    <t>r2≤1.8,a33≤0.8</t>
  </si>
  <si>
    <t>R2≤24米,A33≤18米</t>
  </si>
  <si>
    <t>2019-08-28</t>
  </si>
  <si>
    <t>2019-09-26</t>
  </si>
  <si>
    <t>2019-10-15</t>
  </si>
  <si>
    <t>北京融创恒基地产有限公司和北京昌政大道实业有限公司联合体</t>
  </si>
  <si>
    <t>融创中国控股有限公司</t>
  </si>
  <si>
    <t>北京市大兴区地铁亦庄线旧宫东站2号地项目DX05-0102-6003、6004、6005地块R2居住用地、A334基础教育用地及S1城市道路用地</t>
  </si>
  <si>
    <t>京土整储挂(兴)[2019]026号</t>
  </si>
  <si>
    <t>R2居住用地及A334基础教育用地及S1城市道路用地</t>
  </si>
  <si>
    <t>r2≤2.5,幼儿园≤0.8,a33≤0.8</t>
  </si>
  <si>
    <t>R2≤60米,幼儿园≤12米,A33≤24米</t>
  </si>
  <si>
    <t>中国电建地产集团有限公司和京能置业股份有限公司联合体</t>
  </si>
  <si>
    <t>中国电建地产集团有限公司,京能置业股份有限公司</t>
  </si>
  <si>
    <t>北京市大兴区庞各庄镇DX06-0103-6001、6002、6003地块R2二类居住用地、A33基础教育用地</t>
  </si>
  <si>
    <t>庞各庄</t>
  </si>
  <si>
    <t>大兴区庞各庄镇</t>
  </si>
  <si>
    <t>京土整储挂(兴)[2019]023号</t>
  </si>
  <si>
    <t>r2≤2,a33≤0.8</t>
  </si>
  <si>
    <t>A33≤12米</t>
  </si>
  <si>
    <t>限地价,90/70</t>
  </si>
  <si>
    <t>2019-08-21</t>
  </si>
  <si>
    <t>2019-09-10</t>
  </si>
  <si>
    <t>2019-09-25</t>
  </si>
  <si>
    <t>保利(北京)房地产开发有限公司</t>
  </si>
  <si>
    <t>保利发展控股集团股份有限公司</t>
  </si>
  <si>
    <t>北京市大兴区瀛海镇YZ00-0803-0802、6021地块R2二类居住用地</t>
  </si>
  <si>
    <t>京土整储挂(兴)[2019]022号</t>
  </si>
  <si>
    <t>≤2.2</t>
  </si>
  <si>
    <t>≤45米</t>
  </si>
  <si>
    <t>集体建设用地区级统筹大兴区瀛海镇YZ00-0803-2010、2013A、2013B、2014、2016地块</t>
  </si>
  <si>
    <t>京土集使挂(兴)[2019]002号</t>
  </si>
  <si>
    <t>2019-08-22</t>
  </si>
  <si>
    <t>2019-09-12</t>
  </si>
  <si>
    <t>北京上瑞置业有限公司</t>
  </si>
  <si>
    <t>河南正商置业有限公司</t>
  </si>
  <si>
    <t>北京经济技术开发区河西区X92R1地块R2二类居住用地</t>
  </si>
  <si>
    <t>北京经济技术开发区河西区X92R1地块</t>
  </si>
  <si>
    <t>京土整储挂(开)[2019]010号</t>
  </si>
  <si>
    <t/>
  </si>
  <si>
    <t>2019-05-17</t>
  </si>
  <si>
    <t>2019-06-06</t>
  </si>
  <si>
    <t>2019-06-21</t>
  </si>
  <si>
    <t>北京雅信房地产开发有限公司</t>
  </si>
  <si>
    <t>雅居乐集团控股有限公司</t>
  </si>
  <si>
    <t>北京经济技术开发区河西区X92R2地块R2二类居住用地</t>
  </si>
  <si>
    <t>北京经济技术开发区河西区X92R2地块</t>
  </si>
  <si>
    <t>京土整储挂(开)[2019]011号</t>
  </si>
  <si>
    <t>港中旅房地产开发有限公司</t>
  </si>
  <si>
    <t>北京市大兴区瀛海镇YZ00-0803-6024、6025、6032、6035、6038地块F1住宅混合公建用地、A33基础教育用地、S32公交场站设施用地</t>
  </si>
  <si>
    <t>京土整储挂(兴)[2019]001号</t>
  </si>
  <si>
    <t>F1住宅混合公建用地、A33基础教育用地、S32公交场站设施用地</t>
  </si>
  <si>
    <t>f1=2.5,a33=0.8</t>
  </si>
  <si>
    <t>F1≤60米,A33≤12米</t>
  </si>
  <si>
    <t>2019-01-17</t>
  </si>
  <si>
    <t>2019-02-11</t>
  </si>
  <si>
    <t>2019-02-25</t>
  </si>
  <si>
    <t>居住70年,商业40年,办公50年</t>
  </si>
  <si>
    <t>北京市大兴区黄村镇三合庄村DX00-0202-6009地块F1住宅混合公建用地</t>
  </si>
  <si>
    <t>兴丰街道</t>
  </si>
  <si>
    <t>大兴区黄村镇三合庄村</t>
  </si>
  <si>
    <t>京土整储挂(兴)[2019]002号</t>
  </si>
  <si>
    <t>F1住宅混合公建用地</t>
  </si>
  <si>
    <t>≤50米</t>
  </si>
  <si>
    <t>北京金地达远企业管理咨询有限公司</t>
  </si>
  <si>
    <t>金地(集团)股份有限公司</t>
  </si>
  <si>
    <t>北京市大兴区采育镇区01-0119地块R2二类居住用地</t>
  </si>
  <si>
    <t>京土整储挂(兴)[2018]035号</t>
  </si>
  <si>
    <t>≤30</t>
  </si>
  <si>
    <t>限地价,限房价,竞自持,报高标准商品住宅建设方案</t>
  </si>
  <si>
    <t>限地价,限房价</t>
  </si>
  <si>
    <t>2018-10-23</t>
  </si>
  <si>
    <t>2018-11-12</t>
  </si>
  <si>
    <t>2018-11-26</t>
  </si>
  <si>
    <t>北京城建新城投资开发有限公司</t>
  </si>
  <si>
    <t>北京城建投资发展股份有限公司</t>
  </si>
  <si>
    <t>北京市大兴区采育镇区01-0128A地块R2二类居住用地</t>
  </si>
  <si>
    <t>京土整储挂(兴)[2018]031号</t>
  </si>
  <si>
    <t>30米</t>
  </si>
  <si>
    <t>限地价,限房价,竞自持</t>
  </si>
  <si>
    <t>2018-10-22</t>
  </si>
  <si>
    <t>北京住总房地产开发有限责任公司</t>
  </si>
  <si>
    <t>北京住总集团有限责任公司</t>
  </si>
  <si>
    <t>北京经济技术开发区河西区X89R1地块R2二类居住用地</t>
  </si>
  <si>
    <t>北京经济技术开发区河西区X89R1地块</t>
  </si>
  <si>
    <t>京土整储挂(开)[2018]021号</t>
  </si>
  <si>
    <t>≤60</t>
  </si>
  <si>
    <t>2018-09-10</t>
  </si>
  <si>
    <t>2018-09-30</t>
  </si>
  <si>
    <t>2018-10-19</t>
  </si>
  <si>
    <t>北京金隅兴大房地产开发有限公司</t>
  </si>
  <si>
    <t>北京金隅集团股份有限公司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</si>
  <si>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</si>
  <si>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</si>
  <si>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</si>
  <si>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</si>
  <si>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中国金茂控股集团有限公司,中国铁建股份有限公司,路劲基建有限公司</t>
  </si>
  <si>
    <t>北京市大兴区魏善庄镇DX07-0102-6013地块R2二类居住用地、DX07-0102-6016地块A33基础教育用地</t>
  </si>
  <si>
    <t>魏善庄</t>
  </si>
  <si>
    <t>大兴区魏善庄镇</t>
  </si>
  <si>
    <t>京土整储挂(兴)[2018]015号</t>
  </si>
  <si>
    <t>R2≤30%;A33≤35%</t>
  </si>
  <si>
    <t>R2≤45;A33≤15</t>
  </si>
  <si>
    <t>2018-07-20</t>
  </si>
  <si>
    <t>2018-08-09</t>
  </si>
  <si>
    <t>2018-08-23</t>
  </si>
  <si>
    <t>北京喜茂置业有限公司</t>
  </si>
  <si>
    <t>中国金茂控股集团有限公司</t>
  </si>
  <si>
    <t>北京市大兴区魏善庄镇DX07-0102-6015地块R2二类居住用地</t>
  </si>
  <si>
    <t>京土整储挂(兴)[2018]016号</t>
  </si>
  <si>
    <t>≤45</t>
  </si>
  <si>
    <t>北京市大兴区庞各庄镇PGZ02-21地块R2二类居住用地</t>
  </si>
  <si>
    <t>京土整储挂(兴)[2017]115号</t>
  </si>
  <si>
    <t>2017-12-29</t>
  </si>
  <si>
    <t>2018-01-19</t>
  </si>
  <si>
    <t>2018-02-02</t>
  </si>
  <si>
    <t>北京市大兴区黄村镇三合庄0202-0206、0202-0208地块F1住宅混合公建用地</t>
  </si>
  <si>
    <t>京土整储挂(兴)[2017]114号</t>
  </si>
  <si>
    <t>≤35%</t>
  </si>
  <si>
    <t>已完工</t>
  </si>
  <si>
    <t>2017-12-27</t>
  </si>
  <si>
    <t>2018-01-16</t>
  </si>
  <si>
    <t>2018-01-30</t>
  </si>
  <si>
    <t>招商局地产(北京)有限公司和北京永世同创信息咨询有限公司联合体</t>
  </si>
  <si>
    <t>北京市大兴区黄村镇DX00-0103-1304地块R2二类居住用地</t>
  </si>
  <si>
    <t>林校路街道</t>
  </si>
  <si>
    <t>招标</t>
  </si>
  <si>
    <t>京土整储招(兴)[2017]110*号</t>
  </si>
  <si>
    <t>≤25%</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</si>
  <si>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</si>
  <si>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</si>
  <si>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</si>
  <si>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</si>
  <si>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</si>
  <si>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居住建筑规模全部建设“共有产权住房”</t>
  </si>
  <si>
    <t>2017-09-30</t>
  </si>
  <si>
    <t>2017-10-24</t>
  </si>
  <si>
    <t>2017-11-07</t>
  </si>
  <si>
    <t>北京首都开发股份有限公司和保利(北京)房地产开发有限公司联合体</t>
  </si>
  <si>
    <t>北京首都开发股份有限公司,保利发展控股集团股份有限公司</t>
  </si>
  <si>
    <t>北京市大兴区黄村镇DX00-0301-0029等地块R2二类居住用地、F3其他类多功能用地、A33基础教育用地</t>
  </si>
  <si>
    <t>观音寺街道</t>
  </si>
  <si>
    <t>京土整储挂(兴)[2017]075号</t>
  </si>
  <si>
    <t>R2二类居住用地、F3其他类多功能用地、A33基础教育用地</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</si>
  <si>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</si>
  <si>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</si>
  <si>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</si>
  <si>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</si>
  <si>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</si>
  <si>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</si>
  <si>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</si>
  <si>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</si>
  <si>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</si>
  <si>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</si>
  <si>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</si>
  <si>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</si>
  <si>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</si>
  <si>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</si>
  <si>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</si>
  <si>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</si>
  <si>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</si>
  <si>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</si>
  <si>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</si>
  <si>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</si>
  <si>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</si>
  <si>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</si>
  <si>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</si>
  <si>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</si>
  <si>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</si>
  <si>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</si>
  <si>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</si>
  <si>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</si>
  <si>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</si>
  <si>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金地(集团)股份有限公司,北京首都开发股份有限公司,保利发展控股集团股份有限公司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</si>
  <si>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</si>
  <si>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</si>
  <si>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</si>
  <si>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</si>
  <si>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2017-06-30</t>
  </si>
  <si>
    <t>2017-07-25</t>
  </si>
  <si>
    <t>2017-08-08</t>
  </si>
  <si>
    <t>北京中瑞凯华投资管理有限公司和北京德俊置业有限公司联合体</t>
  </si>
  <si>
    <t>远洋集团控股有限公司,首创置业股份有限公司</t>
  </si>
  <si>
    <t>大兴区黄村镇DX00-0102-0901地块F1住宅混合公建用地</t>
  </si>
  <si>
    <t>大兴区黄村镇饮马井、义和庄村</t>
  </si>
  <si>
    <t>京土整储挂(兴)[2017]053号</t>
  </si>
  <si>
    <t>2017-06-27</t>
  </si>
  <si>
    <t>2017-07-21</t>
  </si>
  <si>
    <t>2017-08-04</t>
  </si>
  <si>
    <t>远洋地产有限公司</t>
  </si>
  <si>
    <t>远洋集团控股有限公司,北京首都开发股份有限公司</t>
  </si>
  <si>
    <t>大兴区瀛海镇YZ00-0803-0512、YZ00-0803-0514、C07-3地块R2二类居住用地、A33基础教育用地</t>
  </si>
  <si>
    <t>京土整储挂(兴)[2017]047号</t>
  </si>
  <si>
    <t>r2:2;a33:0.8</t>
  </si>
  <si>
    <t>2017-06-23</t>
  </si>
  <si>
    <t>2017-07-13</t>
  </si>
  <si>
    <t>2017-07-27</t>
  </si>
  <si>
    <t>北京中瑞凯华投资管理有限公司、北京德俊置业有限公司和上海骞乐企业管理有限公司联合体</t>
  </si>
  <si>
    <t>远洋集团控股有限公司,首创置业股份有限公司,世茂集团控股有限公司</t>
  </si>
  <si>
    <t>大兴区黄村镇DX00-0102-0702地块F1住宅混合公建用地</t>
  </si>
  <si>
    <t>京土整储挂(兴)[2017]048号</t>
  </si>
  <si>
    <t>北京融平企业管理服务有限公司</t>
  </si>
  <si>
    <t>金融街控股股份有限公司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</si>
  <si>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</si>
  <si>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</si>
  <si>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</si>
  <si>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</si>
  <si>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</si>
  <si>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</si>
  <si>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中国海外发展有限公司,保利发展控股集团股份有限公司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</si>
  <si>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</si>
  <si>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</si>
  <si>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</si>
  <si>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</si>
  <si>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</si>
  <si>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</si>
  <si>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</si>
  <si>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</si>
  <si>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</si>
  <si>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</si>
  <si>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</si>
  <si>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</si>
  <si>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</si>
  <si>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</si>
  <si>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</si>
  <si>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</si>
  <si>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</si>
  <si>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</si>
  <si>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大兴区旧宫镇DX07-0201-0010、0011、0012地块</t>
  </si>
  <si>
    <t>京土整储挂(兴)[2017]012号</t>
  </si>
  <si>
    <t>2017-03-02</t>
  </si>
  <si>
    <t>2017-04-13</t>
  </si>
  <si>
    <t>北京首都开发股份有限公司、北京中海地产有限公司、保利(北京)房地产开发有限公司和北京龙湖中佰置业有限公司联合体</t>
  </si>
  <si>
    <t>中国海外发展有限公司,北京首都开发股份有限公司,保利发展控股集团股份有限公司,龙湖集团控股有限公司</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</si>
  <si>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</si>
  <si>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</si>
  <si>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</si>
  <si>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</si>
  <si>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</si>
  <si>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</si>
  <si>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</si>
  <si>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</si>
  <si>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</si>
  <si>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中国铁建股份有限公司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</si>
  <si>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</si>
  <si>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</si>
  <si>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</si>
  <si>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</si>
  <si>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</si>
  <si>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</si>
  <si>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</si>
  <si>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</si>
  <si>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</si>
  <si>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</si>
  <si>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</si>
  <si>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</si>
  <si>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</si>
  <si>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</si>
  <si>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</si>
  <si>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绿地控股集团股份有限公司</t>
  </si>
  <si>
    <t>大兴区旧宫镇YZ00-0801-0039、6001地块</t>
  </si>
  <si>
    <t>京土整储挂(兴)[2015]072号</t>
  </si>
  <si>
    <t>R2二类居住、A61机构养老设施用地</t>
  </si>
  <si>
    <t>2015-11-19</t>
  </si>
  <si>
    <t>2015-12-09</t>
  </si>
  <si>
    <t>2015-12-23</t>
  </si>
  <si>
    <t>中铁置业集团北京有限公司</t>
  </si>
  <si>
    <t>中铁置业集团有限公司</t>
  </si>
  <si>
    <t>大兴区瀛海镇区DX08-0002-0301地块(原瀛海镇西区C5组团土地一级开发项目部分地块)</t>
  </si>
  <si>
    <t>京土整储挂(兴)[2015]024号</t>
  </si>
  <si>
    <t>限价房,</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</si>
  <si>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</si>
  <si>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</si>
  <si>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</si>
  <si>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</si>
  <si>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</si>
  <si>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</si>
  <si>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</si>
  <si>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</si>
  <si>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</si>
  <si>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</si>
  <si>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</si>
  <si>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</si>
  <si>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</si>
  <si>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</si>
  <si>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</si>
  <si>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</si>
  <si>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</si>
  <si>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</si>
  <si>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</si>
  <si>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成本法</t>
  </si>
  <si>
    <t>成本法</t>
    <phoneticPr fontId="140" type="noConversion"/>
  </si>
  <si>
    <t>现金流折现法</t>
    <phoneticPr fontId="140" type="noConversion"/>
  </si>
  <si>
    <t>权重</t>
    <phoneticPr fontId="140" type="noConversion"/>
  </si>
  <si>
    <t>总值</t>
    <phoneticPr fontId="140" type="noConversion"/>
  </si>
  <si>
    <t>结果</t>
    <phoneticPr fontId="140" type="noConversion"/>
  </si>
  <si>
    <t>押一</t>
  </si>
  <si>
    <t>按租金收入计税</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</si>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</sst>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rgb="FFFF0000"/>
      <name val="宋体"/>
      <family val="3"/>
      <charset val="134"/>
      <scheme val="minor"/>
    </font>
    <font>
      <sz val="10"/>
      <name val="宋体"/>
      <family val="3"/>
      <charset val="134"/>
      <scheme val="minor"/>
    </font>
    <font>
      <sz val="10"/>
      <color theme="1"/>
      <name val="宋体"/>
      <family val="2"/>
      <scheme val="minor"/>
    </font>
    <font>
      <sz val="12"/>
      <color indexed="8"/>
      <name val="仿宋_GB2312"/>
      <family val="3"/>
      <charset val="134"/>
    </font>
    <font>
      <sz val="12"/>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11" fillId="0" borderId="0" xfId="0" applyFont="1">
      <alignment vertical="center"/>
    </xf>
    <xf numFmtId="0" fontId="254" fillId="0" borderId="0" xfId="0" applyFont="1">
      <alignment vertical="center"/>
    </xf>
    <xf numFmtId="0" fontId="255" fillId="0" borderId="0" xfId="0" applyFont="1">
      <alignment vertical="center"/>
    </xf>
    <xf numFmtId="0" fontId="254" fillId="0" borderId="0" xfId="0" applyNumberFormat="1" applyFont="1">
      <alignment vertical="center"/>
    </xf>
    <xf numFmtId="0" fontId="255" fillId="0" borderId="0" xfId="0" applyNumberFormat="1" applyFont="1">
      <alignment vertical="center"/>
    </xf>
    <xf numFmtId="0" fontId="256" fillId="0" borderId="0" xfId="0" applyFont="1" applyAlignment="1">
      <alignment horizontal="left" vertical="center" wrapText="1"/>
    </xf>
    <xf numFmtId="14" fontId="256" fillId="0" borderId="0" xfId="0" applyNumberFormat="1" applyFont="1" applyAlignment="1">
      <alignment horizontal="left" vertical="center" wrapText="1"/>
    </xf>
    <xf numFmtId="0" fontId="117" fillId="0" borderId="0" xfId="0" applyFont="1">
      <alignment vertical="center"/>
    </xf>
    <xf numFmtId="0" fontId="117" fillId="0" borderId="0" xfId="0" applyFont="1" applyAlignment="1">
      <alignment horizontal="left" vertical="center" wrapText="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4" fontId="257" fillId="0" borderId="1" xfId="0" applyNumberFormat="1" applyFont="1" applyFill="1" applyBorder="1" applyAlignment="1" applyProtection="1">
      <alignment horizontal="center" vertical="center" shrinkToFit="1"/>
      <protection locked="0"/>
    </xf>
    <xf numFmtId="177" fontId="257" fillId="5" borderId="1" xfId="1" applyNumberFormat="1" applyFont="1" applyFill="1" applyBorder="1" applyAlignment="1" applyProtection="1">
      <alignment horizontal="center" vertical="center"/>
      <protection locked="0"/>
    </xf>
    <xf numFmtId="0" fontId="258" fillId="5" borderId="1"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254" fillId="0" borderId="0" xfId="0" applyFont="1" applyAlignment="1"/>
    <xf numFmtId="0" fontId="111" fillId="0" borderId="1" xfId="0" applyFont="1" applyBorder="1">
      <alignment vertical="center"/>
    </xf>
    <xf numFmtId="9" fontId="111" fillId="0" borderId="1" xfId="0" applyNumberFormat="1" applyFont="1" applyBorder="1">
      <alignment vertical="center"/>
    </xf>
    <xf numFmtId="0" fontId="111" fillId="0" borderId="1" xfId="0" applyFont="1" applyBorder="1" applyAlignment="1">
      <alignment horizontal="center" vertical="center"/>
    </xf>
    <xf numFmtId="0" fontId="111" fillId="0" borderId="1" xfId="0" applyNumberFormat="1"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53</xdr:col>
      <xdr:colOff>101459</xdr:colOff>
      <xdr:row>105</xdr:row>
      <xdr:rowOff>104283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020235"/>
          <a:ext cx="17571430" cy="8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20852;&#26087;&#23467;&#39033;&#30446;&#36164;&#20135;&#35777;&#21048;&#21270;&#29616;&#37329;&#27969;&#39044;&#279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租金案例"/>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54">
          <cell r="A54">
            <v>228224.16999999998</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受贵公司委托，我公司对进行了预评估。</v>
      </c>
    </row>
    <row r="7" spans="1:2" s="1365" customFormat="1">
      <c r="A7" s="1363" t="s">
        <v>1231</v>
      </c>
      <c r="B7" s="1364" t="str">
        <f>'预评函-1'!A7</f>
        <v>估价对象为房地产，为所有。根据《国有土地使用证》[]，估价对象（分摊）出让国有建设用地使用权面积为62231.63平方米，建筑面积为77547平方米。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估价对象为房地产,属开发建设的，该项目尚在开发建设中。根据《国有土地使用证》[]，估价对象（分摊）出让国有建设用地使用权面积为62231.63平方米，规划建筑面积为77547平方米。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2022年1月1日</v>
      </c>
    </row>
    <row r="13" spans="1:2" s="1365" customFormat="1">
      <c r="A13" s="1363" t="s">
        <v>1194</v>
      </c>
      <c r="B13" s="1364" t="str">
        <f>'预评函-1'!A18</f>
        <v>本次估价的“房地产价值”是指在正常市场情况下，在价值时点2022年1月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77547</v>
      </c>
    </row>
    <row r="44" spans="1:2" s="1365" customFormat="1">
      <c r="A44" s="1363" t="s">
        <v>1240</v>
      </c>
      <c r="B44" s="1364" t="str">
        <f>'预评函-3'!C2</f>
        <v>(分摊)土地面积</v>
      </c>
    </row>
    <row r="45" spans="1:2" s="1365" customFormat="1">
      <c r="A45" s="1363" t="s">
        <v>1212</v>
      </c>
      <c r="B45" s="1364">
        <f>'预评函-3'!C4</f>
        <v>62231.63</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1" sqref="A31"/>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1655</v>
      </c>
      <c r="C1" s="1728" t="s">
        <v>759</v>
      </c>
      <c r="D1" s="1729" t="s">
        <v>1656</v>
      </c>
      <c r="E1" s="1729" t="s">
        <v>1657</v>
      </c>
      <c r="F1" s="1729" t="s">
        <v>1658</v>
      </c>
      <c r="G1" s="1729" t="s">
        <v>1659</v>
      </c>
      <c r="H1" s="1729" t="s">
        <v>1660</v>
      </c>
      <c r="I1" s="1729" t="s">
        <v>1661</v>
      </c>
      <c r="J1" s="1729" t="s">
        <v>1662</v>
      </c>
      <c r="K1" s="1729" t="s">
        <v>1663</v>
      </c>
      <c r="L1" s="1729" t="s">
        <v>1664</v>
      </c>
      <c r="M1" s="1729" t="s">
        <v>1665</v>
      </c>
      <c r="N1" s="1729" t="s">
        <v>1666</v>
      </c>
      <c r="O1" s="1729" t="s">
        <v>1667</v>
      </c>
      <c r="P1" s="1730" t="s">
        <v>753</v>
      </c>
      <c r="Q1" s="1730" t="s">
        <v>1112</v>
      </c>
      <c r="R1" s="1729" t="s">
        <v>1106</v>
      </c>
      <c r="S1" s="1729" t="s">
        <v>1668</v>
      </c>
      <c r="T1" s="1731" t="s">
        <v>1669</v>
      </c>
      <c r="U1" s="1729" t="s">
        <v>1670</v>
      </c>
      <c r="V1" s="1729" t="s">
        <v>1671</v>
      </c>
      <c r="W1" s="1729" t="s">
        <v>755</v>
      </c>
    </row>
    <row r="2" spans="1:23">
      <c r="A2" s="1733" t="s">
        <v>22</v>
      </c>
      <c r="B2" s="1733" t="s">
        <v>1672</v>
      </c>
      <c r="C2" s="1734" t="s">
        <v>760</v>
      </c>
      <c r="D2" s="1735" t="s">
        <v>1673</v>
      </c>
      <c r="E2" s="1735" t="s">
        <v>1674</v>
      </c>
      <c r="F2" s="1735" t="s">
        <v>1675</v>
      </c>
      <c r="G2" s="1735">
        <v>40</v>
      </c>
      <c r="H2" s="1735" t="s">
        <v>1675</v>
      </c>
      <c r="I2" s="1735" t="s">
        <v>1676</v>
      </c>
      <c r="J2" s="1735" t="s">
        <v>1677</v>
      </c>
      <c r="K2" s="1735" t="s">
        <v>1678</v>
      </c>
      <c r="L2" s="1735" t="s">
        <v>1678</v>
      </c>
      <c r="M2" s="1735" t="s">
        <v>1678</v>
      </c>
      <c r="N2" s="1735" t="s">
        <v>1678</v>
      </c>
      <c r="O2" s="1735" t="s">
        <v>1678</v>
      </c>
      <c r="P2" s="1735" t="s">
        <v>1678</v>
      </c>
      <c r="Q2" s="1735" t="s">
        <v>1678</v>
      </c>
      <c r="R2" s="1735" t="s">
        <v>1108</v>
      </c>
      <c r="S2" s="1735" t="s">
        <v>1678</v>
      </c>
      <c r="T2" s="1735" t="s">
        <v>1679</v>
      </c>
      <c r="U2" s="1735" t="s">
        <v>1678</v>
      </c>
      <c r="V2" s="1735" t="s">
        <v>1680</v>
      </c>
      <c r="W2" s="1735" t="s">
        <v>1678</v>
      </c>
    </row>
    <row r="3" spans="1:23">
      <c r="A3" s="1733" t="s">
        <v>1681</v>
      </c>
      <c r="B3" s="1736" t="s">
        <v>1113</v>
      </c>
      <c r="C3" s="1737" t="s">
        <v>761</v>
      </c>
      <c r="D3" s="1735" t="s">
        <v>1682</v>
      </c>
      <c r="E3" s="1735" t="s">
        <v>16</v>
      </c>
      <c r="F3" s="1735" t="s">
        <v>1683</v>
      </c>
      <c r="G3" s="1735">
        <v>50</v>
      </c>
      <c r="H3" s="1735" t="s">
        <v>1683</v>
      </c>
      <c r="I3" s="1735" t="s">
        <v>1684</v>
      </c>
      <c r="J3" s="1735" t="s">
        <v>1685</v>
      </c>
      <c r="K3" s="1735" t="s">
        <v>1686</v>
      </c>
      <c r="L3" s="1735" t="s">
        <v>1686</v>
      </c>
      <c r="M3" s="1735" t="s">
        <v>1686</v>
      </c>
      <c r="N3" s="1735" t="s">
        <v>1686</v>
      </c>
      <c r="O3" s="1735" t="s">
        <v>1686</v>
      </c>
      <c r="P3" s="1735" t="s">
        <v>1686</v>
      </c>
      <c r="Q3" s="1735" t="s">
        <v>1686</v>
      </c>
      <c r="R3" s="1735" t="s">
        <v>1107</v>
      </c>
      <c r="S3" s="1735" t="s">
        <v>1686</v>
      </c>
      <c r="T3" s="1735" t="s">
        <v>1687</v>
      </c>
      <c r="U3" s="1735" t="s">
        <v>1686</v>
      </c>
      <c r="V3" s="1735" t="s">
        <v>1688</v>
      </c>
      <c r="W3" s="1735" t="s">
        <v>1686</v>
      </c>
    </row>
    <row r="4" spans="1:23">
      <c r="A4" s="1733" t="s">
        <v>1689</v>
      </c>
      <c r="B4" s="1733" t="s">
        <v>1690</v>
      </c>
      <c r="C4" s="1734" t="s">
        <v>762</v>
      </c>
      <c r="D4" s="1735" t="s">
        <v>836</v>
      </c>
      <c r="E4" s="1735" t="s">
        <v>1691</v>
      </c>
      <c r="F4" s="1735" t="s">
        <v>1692</v>
      </c>
      <c r="G4" s="1735">
        <v>70</v>
      </c>
      <c r="H4" s="1735" t="s">
        <v>1692</v>
      </c>
      <c r="I4" s="1735" t="s">
        <v>1693</v>
      </c>
      <c r="K4" s="1735" t="s">
        <v>1694</v>
      </c>
      <c r="L4" s="1735" t="s">
        <v>1694</v>
      </c>
      <c r="M4" s="1735" t="s">
        <v>1694</v>
      </c>
      <c r="N4" s="1735" t="s">
        <v>1694</v>
      </c>
      <c r="O4" s="1735" t="s">
        <v>1694</v>
      </c>
      <c r="P4" s="1735" t="s">
        <v>1694</v>
      </c>
      <c r="Q4" s="1735" t="s">
        <v>1694</v>
      </c>
      <c r="R4" s="1735" t="s">
        <v>1109</v>
      </c>
      <c r="S4" s="1735" t="s">
        <v>1694</v>
      </c>
      <c r="T4" s="1735" t="s">
        <v>1695</v>
      </c>
      <c r="U4" s="1735" t="s">
        <v>1694</v>
      </c>
      <c r="W4" s="1735" t="s">
        <v>1694</v>
      </c>
    </row>
    <row r="5" spans="1:23">
      <c r="A5" s="1733" t="s">
        <v>1696</v>
      </c>
      <c r="B5" s="1733" t="s">
        <v>1697</v>
      </c>
      <c r="C5" s="1734" t="s">
        <v>763</v>
      </c>
      <c r="F5" s="1735" t="s">
        <v>1698</v>
      </c>
      <c r="H5" s="1735" t="s">
        <v>1699</v>
      </c>
      <c r="I5" s="1735" t="s">
        <v>1700</v>
      </c>
      <c r="K5" s="1735" t="s">
        <v>1701</v>
      </c>
      <c r="L5" s="1735" t="s">
        <v>1701</v>
      </c>
      <c r="M5" s="1735" t="s">
        <v>1701</v>
      </c>
      <c r="N5" s="1735" t="s">
        <v>1701</v>
      </c>
      <c r="O5" s="1735" t="s">
        <v>1701</v>
      </c>
      <c r="P5" s="1735" t="s">
        <v>1701</v>
      </c>
      <c r="Q5" s="1735" t="s">
        <v>1701</v>
      </c>
      <c r="R5" s="1735" t="s">
        <v>1110</v>
      </c>
      <c r="S5" s="1735" t="s">
        <v>1701</v>
      </c>
      <c r="T5" s="1735" t="s">
        <v>1702</v>
      </c>
      <c r="U5" s="1735" t="s">
        <v>1701</v>
      </c>
      <c r="W5" s="1735" t="s">
        <v>1701</v>
      </c>
    </row>
    <row r="6" spans="1:23">
      <c r="A6" s="1733" t="s">
        <v>1703</v>
      </c>
      <c r="B6" s="1736" t="s">
        <v>1114</v>
      </c>
      <c r="C6" s="1739" t="s">
        <v>30</v>
      </c>
      <c r="F6" s="1735" t="s">
        <v>1699</v>
      </c>
      <c r="H6" s="1735" t="s">
        <v>1704</v>
      </c>
      <c r="I6" s="1735" t="s">
        <v>1705</v>
      </c>
      <c r="K6" s="1735" t="s">
        <v>1706</v>
      </c>
      <c r="L6" s="1735" t="s">
        <v>1706</v>
      </c>
      <c r="M6" s="1735" t="s">
        <v>1706</v>
      </c>
      <c r="N6" s="1735" t="s">
        <v>1706</v>
      </c>
      <c r="O6" s="1735" t="s">
        <v>1706</v>
      </c>
      <c r="P6" s="1735" t="s">
        <v>1706</v>
      </c>
      <c r="Q6" s="1735" t="s">
        <v>1706</v>
      </c>
      <c r="R6" s="1735" t="s">
        <v>1111</v>
      </c>
      <c r="S6" s="1735" t="s">
        <v>1706</v>
      </c>
      <c r="T6" s="1735"/>
      <c r="U6" s="1735" t="s">
        <v>1706</v>
      </c>
      <c r="W6" s="1735" t="s">
        <v>1706</v>
      </c>
    </row>
    <row r="7" spans="1:23">
      <c r="A7" s="1733" t="s">
        <v>1707</v>
      </c>
      <c r="B7" s="1736" t="s">
        <v>1115</v>
      </c>
      <c r="C7" s="1734" t="s">
        <v>31</v>
      </c>
      <c r="F7" s="1735" t="s">
        <v>1708</v>
      </c>
      <c r="H7" s="1735" t="s">
        <v>1709</v>
      </c>
      <c r="I7" s="1735" t="s">
        <v>1710</v>
      </c>
    </row>
    <row r="8" spans="1:23">
      <c r="A8" s="1733" t="s">
        <v>1711</v>
      </c>
      <c r="B8" s="1733" t="s">
        <v>1712</v>
      </c>
      <c r="C8" s="1734" t="s">
        <v>764</v>
      </c>
      <c r="F8" s="1735" t="s">
        <v>1713</v>
      </c>
      <c r="H8" s="1735"/>
      <c r="I8" s="1735" t="s">
        <v>1714</v>
      </c>
    </row>
    <row r="9" spans="1:23">
      <c r="A9" s="1733" t="s">
        <v>1715</v>
      </c>
      <c r="B9" s="1733" t="s">
        <v>1716</v>
      </c>
      <c r="C9" s="1734" t="s">
        <v>765</v>
      </c>
      <c r="F9" s="1735" t="s">
        <v>1717</v>
      </c>
      <c r="H9" s="1735"/>
    </row>
    <row r="10" spans="1:23">
      <c r="A10" s="1733" t="s">
        <v>1718</v>
      </c>
      <c r="B10" s="1733" t="s">
        <v>1719</v>
      </c>
      <c r="C10" s="1734" t="s">
        <v>766</v>
      </c>
      <c r="F10" s="1735" t="s">
        <v>16</v>
      </c>
    </row>
    <row r="11" spans="1:23">
      <c r="A11" s="1733" t="s">
        <v>1720</v>
      </c>
      <c r="B11" s="1733" t="s">
        <v>1721</v>
      </c>
      <c r="C11" s="1734" t="s">
        <v>767</v>
      </c>
    </row>
    <row r="12" spans="1:23">
      <c r="A12" s="1733" t="s">
        <v>1722</v>
      </c>
      <c r="B12" s="1733" t="s">
        <v>1723</v>
      </c>
      <c r="C12" s="1734" t="s">
        <v>768</v>
      </c>
    </row>
    <row r="13" spans="1:23">
      <c r="A13" s="1733" t="s">
        <v>1724</v>
      </c>
      <c r="B13" s="1733" t="s">
        <v>1725</v>
      </c>
      <c r="C13" s="1734" t="s">
        <v>769</v>
      </c>
    </row>
    <row r="14" spans="1:23">
      <c r="A14" s="1733" t="s">
        <v>1726</v>
      </c>
      <c r="B14" s="1733" t="s">
        <v>1727</v>
      </c>
      <c r="C14" s="1735" t="s">
        <v>16</v>
      </c>
    </row>
    <row r="15" spans="1:23">
      <c r="A15" s="1733" t="s">
        <v>1728</v>
      </c>
      <c r="B15" s="1733" t="s">
        <v>1729</v>
      </c>
      <c r="C15" s="1734"/>
    </row>
    <row r="16" spans="1:23">
      <c r="A16" s="1733" t="s">
        <v>1730</v>
      </c>
      <c r="B16" s="1733" t="s">
        <v>756</v>
      </c>
      <c r="C16" s="1734"/>
    </row>
    <row r="17" spans="1:3">
      <c r="A17" s="1733" t="s">
        <v>1731</v>
      </c>
      <c r="B17" s="1733" t="s">
        <v>3040</v>
      </c>
      <c r="C17" s="1734"/>
    </row>
    <row r="18" spans="1:3">
      <c r="A18" s="1733" t="s">
        <v>1732</v>
      </c>
      <c r="B18" s="1733" t="s">
        <v>757</v>
      </c>
      <c r="C18" s="1734"/>
    </row>
    <row r="19" spans="1:3">
      <c r="A19" s="1733" t="s">
        <v>1733</v>
      </c>
      <c r="B19" s="1733" t="s">
        <v>757</v>
      </c>
      <c r="C19" s="1734"/>
    </row>
    <row r="20" spans="1:3">
      <c r="A20" s="1733" t="s">
        <v>1734</v>
      </c>
      <c r="B20" s="1733" t="s">
        <v>757</v>
      </c>
      <c r="C20" s="1734"/>
    </row>
    <row r="21" spans="1:3">
      <c r="A21" s="1733" t="s">
        <v>1735</v>
      </c>
      <c r="B21" s="1733" t="s">
        <v>757</v>
      </c>
      <c r="C21" s="1734"/>
    </row>
    <row r="22" spans="1:3">
      <c r="A22" s="1733" t="s">
        <v>1736</v>
      </c>
      <c r="B22" s="1733" t="s">
        <v>757</v>
      </c>
      <c r="C22" s="1734"/>
    </row>
    <row r="23" spans="1:3">
      <c r="A23" s="1733" t="s">
        <v>1737</v>
      </c>
      <c r="B23" s="1733" t="s">
        <v>757</v>
      </c>
      <c r="C23" s="1734"/>
    </row>
    <row r="24" spans="1:3">
      <c r="A24" s="1733" t="s">
        <v>1738</v>
      </c>
      <c r="B24" s="1733" t="s">
        <v>757</v>
      </c>
      <c r="C24" s="1734"/>
    </row>
    <row r="25" spans="1:3">
      <c r="A25" s="1733" t="s">
        <v>1739</v>
      </c>
      <c r="B25" s="1733" t="s">
        <v>757</v>
      </c>
      <c r="C25" s="1734"/>
    </row>
    <row r="26" spans="1:3">
      <c r="A26" s="1733" t="s">
        <v>1740</v>
      </c>
      <c r="B26" s="1733" t="s">
        <v>757</v>
      </c>
      <c r="C26" s="1734"/>
    </row>
    <row r="27" spans="1:3">
      <c r="A27" s="1733" t="s">
        <v>3163</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1741" t="s">
        <v>832</v>
      </c>
      <c r="C54" s="1738" t="s">
        <v>1248</v>
      </c>
    </row>
    <row r="55" spans="1:4">
      <c r="A55" s="3097"/>
      <c r="B55" s="1741" t="s">
        <v>833</v>
      </c>
      <c r="C55" s="1738" t="s">
        <v>1249</v>
      </c>
    </row>
    <row r="56" spans="1:4">
      <c r="A56" s="3097"/>
      <c r="B56" s="1741" t="s">
        <v>834</v>
      </c>
      <c r="C56" s="1738" t="s">
        <v>1253</v>
      </c>
    </row>
    <row r="57" spans="1:4">
      <c r="A57" s="309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55" sqref="I55"/>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2915</v>
      </c>
      <c r="B1" s="3106" t="str">
        <f>IF(B10="北京市","北京市",C10)&amp;F10&amp;IF(结果表!G1="在建","出让国有建设用地使用权及在建建筑物",IF(结果表!G1="土地","出让国有建设用地使用权",))&amp;B9&amp;"预评估"</f>
        <v>预评估</v>
      </c>
      <c r="C1" s="3107"/>
      <c r="D1" s="3107"/>
      <c r="E1" s="3107"/>
      <c r="F1" s="3107"/>
      <c r="G1" s="3107"/>
      <c r="H1" s="3107"/>
      <c r="I1" s="3108"/>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
      </c>
      <c r="T1" s="1933"/>
      <c r="U1" s="1933"/>
      <c r="V1" s="1933"/>
      <c r="W1" s="1933"/>
      <c r="X1" s="1933"/>
      <c r="Y1" s="1933"/>
      <c r="Z1" s="1933"/>
      <c r="AA1" s="1933"/>
      <c r="AB1" s="1933"/>
    </row>
    <row r="2" spans="1:28">
      <c r="A2" s="2593" t="s">
        <v>2916</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2917</v>
      </c>
      <c r="B3" s="2599"/>
      <c r="C3" s="2600" t="s">
        <v>2918</v>
      </c>
      <c r="D3" s="2599">
        <v>44562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2920</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2921</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2922</v>
      </c>
      <c r="B7" s="2613"/>
      <c r="C7" s="2611"/>
      <c r="D7" s="2612"/>
      <c r="E7" s="2891"/>
      <c r="F7" s="2893"/>
      <c r="G7" s="2893"/>
      <c r="H7" s="2893"/>
      <c r="I7" s="2893"/>
      <c r="J7" s="2667"/>
      <c r="K7" s="2844"/>
      <c r="L7" s="2841"/>
      <c r="M7" s="2841"/>
      <c r="N7" s="2667"/>
      <c r="O7" s="2678"/>
      <c r="P7" s="2667"/>
      <c r="Q7" s="2667"/>
      <c r="R7" s="2667"/>
    </row>
    <row r="8" spans="1:28">
      <c r="A8" s="2614" t="s">
        <v>2923</v>
      </c>
      <c r="B8" s="2615" t="s">
        <v>3151</v>
      </c>
      <c r="C8" s="2616"/>
      <c r="D8" s="3109" t="s">
        <v>2924</v>
      </c>
      <c r="E8" s="2617" t="s">
        <v>3152</v>
      </c>
      <c r="F8" s="2618"/>
      <c r="G8" s="2892"/>
      <c r="H8" s="2892"/>
      <c r="I8" s="2892"/>
      <c r="J8" s="2667"/>
      <c r="K8" s="2842"/>
      <c r="L8" s="2841"/>
      <c r="M8" s="2841"/>
      <c r="N8" s="2667"/>
      <c r="O8" s="2678"/>
      <c r="P8" s="2667"/>
      <c r="Q8" s="2667"/>
      <c r="R8" s="2667"/>
    </row>
    <row r="9" spans="1:28" ht="13.5" thickBot="1">
      <c r="A9" s="2619" t="s">
        <v>2925</v>
      </c>
      <c r="B9" s="2620"/>
      <c r="C9" s="2621"/>
      <c r="D9" s="3110"/>
      <c r="E9" s="2620"/>
      <c r="F9" s="2622"/>
      <c r="G9" s="2894"/>
      <c r="H9" s="2894"/>
      <c r="I9" s="2894"/>
      <c r="J9" s="2667"/>
      <c r="K9" s="2844"/>
      <c r="L9" s="2841"/>
      <c r="M9" s="2841"/>
      <c r="N9" s="2667"/>
      <c r="O9" s="2678"/>
      <c r="P9" s="2667"/>
      <c r="Q9" s="2667"/>
      <c r="R9" s="2667"/>
    </row>
    <row r="10" spans="1:28" ht="13.5" thickTop="1">
      <c r="A10" s="2623" t="s">
        <v>2926</v>
      </c>
      <c r="B10" s="2624"/>
      <c r="C10" s="2625"/>
      <c r="D10" s="2608"/>
      <c r="E10" s="2626" t="s">
        <v>2927</v>
      </c>
      <c r="F10" s="2895"/>
      <c r="G10" s="2896"/>
      <c r="H10" s="2897"/>
      <c r="I10" s="2898"/>
      <c r="J10" s="2667"/>
      <c r="K10" s="2844"/>
      <c r="L10" s="2841"/>
      <c r="M10" s="2841"/>
      <c r="N10" s="2667"/>
      <c r="O10" s="2678"/>
      <c r="P10" s="2667"/>
      <c r="Q10" s="2667"/>
      <c r="R10" s="2667"/>
    </row>
    <row r="11" spans="1:28">
      <c r="A11" s="2627" t="s">
        <v>2928</v>
      </c>
      <c r="B11" s="2628"/>
      <c r="C11" s="2629"/>
      <c r="D11" s="2630"/>
      <c r="E11" s="2596"/>
      <c r="F11" s="2596"/>
      <c r="G11" s="2596"/>
      <c r="H11" s="2596"/>
      <c r="I11" s="2596"/>
      <c r="J11" s="2667"/>
      <c r="K11" s="2844"/>
      <c r="L11" s="2841"/>
      <c r="M11" s="2841"/>
      <c r="N11" s="2667"/>
      <c r="O11" s="2678"/>
      <c r="P11" s="2667"/>
      <c r="Q11" s="2667"/>
      <c r="R11" s="2667"/>
    </row>
    <row r="12" spans="1:28">
      <c r="A12" s="2631" t="s">
        <v>2929</v>
      </c>
      <c r="B12" s="2628" t="s">
        <v>3150</v>
      </c>
      <c r="C12" s="329" t="s">
        <v>2930</v>
      </c>
      <c r="D12" s="2632" t="s">
        <v>2931</v>
      </c>
      <c r="E12" s="2632" t="s">
        <v>2932</v>
      </c>
      <c r="F12" s="2632" t="s">
        <v>2933</v>
      </c>
      <c r="G12" s="2632" t="s">
        <v>2934</v>
      </c>
      <c r="H12" s="2632" t="s">
        <v>2935</v>
      </c>
      <c r="I12" s="2632" t="s">
        <v>2936</v>
      </c>
      <c r="J12" s="2667"/>
      <c r="K12" s="2844"/>
      <c r="L12" s="2841"/>
      <c r="M12" s="2841"/>
      <c r="N12" s="2667"/>
      <c r="O12" s="2678"/>
      <c r="P12" s="2667"/>
      <c r="Q12" s="2667"/>
      <c r="R12" s="2667"/>
    </row>
    <row r="13" spans="1:28" ht="14.25">
      <c r="A13" s="1241"/>
      <c r="B13" s="2633"/>
      <c r="C13" s="2634" t="s">
        <v>2937</v>
      </c>
      <c r="D13" s="965">
        <v>68443</v>
      </c>
      <c r="E13" s="3394">
        <v>57486</v>
      </c>
      <c r="F13" s="3394">
        <v>61138</v>
      </c>
      <c r="G13" s="3394">
        <v>61138</v>
      </c>
      <c r="H13" s="3394">
        <v>61138</v>
      </c>
      <c r="I13" s="965"/>
      <c r="J13" s="2667"/>
      <c r="K13" s="2844"/>
      <c r="L13" s="2841"/>
      <c r="M13" s="2841"/>
      <c r="N13" s="2667"/>
      <c r="O13" s="2678"/>
      <c r="P13" s="2667"/>
      <c r="Q13" s="2667"/>
      <c r="R13" s="2667"/>
    </row>
    <row r="14" spans="1:28" ht="14.25">
      <c r="A14" s="1241"/>
      <c r="B14" s="2633"/>
      <c r="C14" s="2634" t="s">
        <v>2938</v>
      </c>
      <c r="D14" s="2635">
        <v>70</v>
      </c>
      <c r="E14" s="3395">
        <v>40</v>
      </c>
      <c r="F14" s="3395">
        <v>50</v>
      </c>
      <c r="G14" s="3395">
        <v>50</v>
      </c>
      <c r="H14" s="3395">
        <v>50</v>
      </c>
      <c r="I14" s="2635"/>
      <c r="J14" s="2667"/>
      <c r="K14" s="2845"/>
      <c r="L14" s="2841"/>
      <c r="M14" s="2841"/>
      <c r="N14" s="2667"/>
      <c r="O14" s="2678"/>
      <c r="P14" s="2667"/>
      <c r="Q14" s="2667"/>
      <c r="R14" s="2667"/>
    </row>
    <row r="15" spans="1:28">
      <c r="A15" s="326"/>
      <c r="B15" s="2636"/>
      <c r="C15" s="2637" t="s">
        <v>2939</v>
      </c>
      <c r="D15" s="2638">
        <f>IF(B12="出让",IF(D13="","",ROUNDDOWN(MIN((D13-$D$3)/365,D14),2)),D14)</f>
        <v>65.42</v>
      </c>
      <c r="E15" s="2638">
        <f>IF(B12="出让",IF(E13="","",ROUNDDOWN(MIN((E13-$D$3)/365,E14),2)),E14)</f>
        <v>35.4</v>
      </c>
      <c r="F15" s="2638">
        <f>IF(B12="出让",IF(F13="","",ROUNDDOWN(MIN((F13-$D$3)/365,F14),2)),F14)</f>
        <v>45.41</v>
      </c>
      <c r="G15" s="2638">
        <f>IF(B12="出让",IF(G13="","",ROUNDDOWN(MIN((G13-$D$3)/365,G14),2)),G14)</f>
        <v>45.41</v>
      </c>
      <c r="H15" s="2638">
        <f>IF(B12="出让",IF(H13="","",ROUNDDOWN(MIN((H13-$D$3)/365,H14),2)),H14)</f>
        <v>45.41</v>
      </c>
      <c r="I15" s="2638" t="str">
        <f>IF(B12="出让",IF(I13="","",ROUNDDOWN(MIN((I13-$D$3)/365,I14),2)),I14)</f>
        <v/>
      </c>
      <c r="J15" s="2667"/>
      <c r="K15" s="2846"/>
      <c r="L15" s="2679"/>
      <c r="M15" s="2679"/>
      <c r="N15" s="2737"/>
      <c r="O15" s="2679"/>
      <c r="P15" s="2737"/>
      <c r="Q15" s="2667"/>
      <c r="R15" s="2667"/>
    </row>
    <row r="16" spans="1:28">
      <c r="A16" s="2626" t="s">
        <v>2940</v>
      </c>
      <c r="B16" s="3116"/>
      <c r="C16" s="3117"/>
      <c r="D16" s="3118"/>
      <c r="E16" s="2641" t="s">
        <v>2941</v>
      </c>
      <c r="F16" s="3119"/>
      <c r="G16" s="3120"/>
      <c r="H16" s="3120"/>
      <c r="I16" s="3121"/>
      <c r="J16" s="2667"/>
      <c r="K16" s="2846"/>
      <c r="L16" s="2679"/>
      <c r="M16" s="2679"/>
      <c r="N16" s="2737"/>
      <c r="O16" s="2679"/>
      <c r="P16" s="2737"/>
      <c r="Q16" s="2667"/>
      <c r="R16" s="2667"/>
    </row>
    <row r="17" spans="1:28">
      <c r="A17" s="319" t="s">
        <v>2942</v>
      </c>
      <c r="B17" s="308" t="s">
        <v>2943</v>
      </c>
      <c r="C17" s="11">
        <f>'数据-汇总表'!E3</f>
        <v>77547</v>
      </c>
      <c r="D17" s="2547" t="s">
        <v>2944</v>
      </c>
      <c r="E17" s="3122" t="s">
        <v>2945</v>
      </c>
      <c r="F17" s="3123"/>
      <c r="G17" s="3123"/>
      <c r="H17" s="3123"/>
      <c r="I17" s="3124"/>
      <c r="J17" s="2667"/>
      <c r="K17" s="2847"/>
      <c r="L17" s="2679"/>
      <c r="M17" s="2679"/>
      <c r="N17" s="2737"/>
      <c r="O17" s="2679"/>
      <c r="P17" s="2737"/>
      <c r="Q17" s="2667"/>
      <c r="R17" s="2667"/>
      <c r="S17" s="2667"/>
      <c r="T17" s="2667"/>
      <c r="U17" s="2667"/>
      <c r="V17" s="2667"/>
    </row>
    <row r="18" spans="1:28" ht="24.75" thickBot="1">
      <c r="A18" s="2642" t="s">
        <v>2946</v>
      </c>
      <c r="B18" s="1250" t="s">
        <v>2947</v>
      </c>
      <c r="C18" s="2643">
        <f>'数据-汇总表'!D3</f>
        <v>62231.63</v>
      </c>
      <c r="D18" s="1252" t="s">
        <v>2948</v>
      </c>
      <c r="E18" s="3125" t="s">
        <v>2949</v>
      </c>
      <c r="F18" s="3126"/>
      <c r="G18" s="3126"/>
      <c r="H18" s="3126"/>
      <c r="I18" s="3127"/>
      <c r="J18" s="2667"/>
      <c r="K18" s="2847"/>
      <c r="L18" s="2679"/>
      <c r="M18" s="2679"/>
      <c r="N18" s="2737"/>
      <c r="O18" s="2679"/>
      <c r="P18" s="2737"/>
      <c r="Q18" s="2667"/>
      <c r="R18" s="2667"/>
      <c r="S18" s="2667"/>
      <c r="T18" s="2667"/>
      <c r="U18" s="2667"/>
      <c r="V18" s="2667"/>
    </row>
    <row r="19" spans="1:28" ht="37.5" thickTop="1" thickBot="1">
      <c r="A19" s="333" t="s">
        <v>1741</v>
      </c>
      <c r="B19" s="313" t="s">
        <v>2950</v>
      </c>
      <c r="C19" s="1750"/>
      <c r="D19" s="1751" t="s">
        <v>2951</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2952</v>
      </c>
      <c r="B20" s="3112" t="s">
        <v>2953</v>
      </c>
      <c r="C20" s="3113"/>
      <c r="D20" s="3114" t="s">
        <v>2954</v>
      </c>
      <c r="E20" s="3115"/>
      <c r="F20" s="2876" t="s">
        <v>1742</v>
      </c>
      <c r="G20" s="2893"/>
      <c r="H20" s="2893"/>
      <c r="I20" s="2893"/>
      <c r="J20" s="2667"/>
      <c r="K20" s="3111" t="s">
        <v>2955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2956</v>
      </c>
      <c r="C21" s="2863" t="s">
        <v>1743</v>
      </c>
      <c r="D21" s="1755" t="s">
        <v>2957</v>
      </c>
      <c r="E21" s="2864" t="s">
        <v>1743</v>
      </c>
      <c r="F21" s="2877"/>
      <c r="G21" s="2893"/>
      <c r="H21" s="2893"/>
      <c r="I21" s="2893"/>
      <c r="J21" s="2667"/>
      <c r="K21" s="31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2958</v>
      </c>
      <c r="C22" s="2863" t="s">
        <v>1744</v>
      </c>
      <c r="D22" s="2892"/>
      <c r="E22" s="2892"/>
      <c r="F22" s="2892"/>
      <c r="G22" s="2893"/>
      <c r="H22" s="2893"/>
      <c r="I22" s="2893"/>
      <c r="J22" s="2667"/>
      <c r="K22" s="31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2959</v>
      </c>
      <c r="B23" s="2730" t="s">
        <v>2960</v>
      </c>
      <c r="C23" s="2867"/>
      <c r="D23" s="2868" t="s">
        <v>2960</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1745</v>
      </c>
      <c r="C24" s="2870"/>
      <c r="D24" s="2866" t="s">
        <v>1745</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1746</v>
      </c>
      <c r="C25" s="2870"/>
      <c r="D25" s="2866" t="s">
        <v>1746</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1747</v>
      </c>
      <c r="C26" s="2874"/>
      <c r="D26" s="2872" t="s">
        <v>1747</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099" t="s">
        <v>2961</v>
      </c>
      <c r="B27" s="326" t="s">
        <v>2962</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099"/>
      <c r="B28" s="308" t="s">
        <v>2963</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099"/>
      <c r="B29" s="308" t="s">
        <v>2964</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00"/>
      <c r="B30" s="308" t="s">
        <v>2965</v>
      </c>
      <c r="C30" s="3101"/>
      <c r="D30" s="3102"/>
      <c r="E30" s="2893"/>
      <c r="F30" s="2893"/>
      <c r="G30" s="2893"/>
      <c r="H30" s="2893"/>
      <c r="I30" s="2893"/>
      <c r="J30" s="2667"/>
      <c r="K30" s="2844"/>
      <c r="L30" s="2841"/>
      <c r="M30" s="2841"/>
      <c r="N30" s="2667"/>
      <c r="O30" s="2678"/>
      <c r="P30" s="2667"/>
      <c r="Q30" s="2667"/>
      <c r="R30" s="2667"/>
      <c r="S30" s="2667"/>
      <c r="T30" s="2667"/>
      <c r="U30" s="2667"/>
      <c r="V30" s="2667"/>
    </row>
    <row r="31" spans="1:28">
      <c r="A31" s="3103" t="s">
        <v>2966</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04"/>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04"/>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ht="14.25">
      <c r="A34" s="308" t="s">
        <v>2967</v>
      </c>
      <c r="B34" s="3396" t="s">
        <v>3153</v>
      </c>
      <c r="C34" s="3396" t="s">
        <v>3154</v>
      </c>
      <c r="D34" s="3396" t="s">
        <v>3155</v>
      </c>
      <c r="E34" s="3396" t="s">
        <v>3156</v>
      </c>
      <c r="F34" s="3396" t="s">
        <v>3157</v>
      </c>
      <c r="G34" s="2216" t="s">
        <v>3158</v>
      </c>
      <c r="H34" s="2216" t="s">
        <v>3159</v>
      </c>
      <c r="I34" s="2893"/>
      <c r="J34" s="2667"/>
      <c r="K34" s="2655">
        <f>COUNTIF(B34:H34,"——")</f>
        <v>0</v>
      </c>
      <c r="L34" s="329" t="s">
        <v>2968</v>
      </c>
      <c r="M34" s="329" t="s">
        <v>2969</v>
      </c>
      <c r="N34" s="329" t="s">
        <v>2970</v>
      </c>
      <c r="O34" s="329" t="s">
        <v>2971</v>
      </c>
      <c r="P34" s="329" t="s">
        <v>2972</v>
      </c>
      <c r="Q34" s="329" t="s">
        <v>2973</v>
      </c>
      <c r="R34" s="329" t="s">
        <v>2974</v>
      </c>
      <c r="S34" s="3098" t="s">
        <v>2975</v>
      </c>
      <c r="T34" s="2656" t="str">
        <f>NUMBERSTRING(7-K34,1)&amp;"通"</f>
        <v>七通</v>
      </c>
      <c r="U34" s="2667"/>
      <c r="V34" s="2667"/>
    </row>
    <row r="35" spans="1:30">
      <c r="A35" s="2657"/>
      <c r="B35" s="3105" t="s">
        <v>2976</v>
      </c>
      <c r="C35" s="3105"/>
      <c r="D35" s="3105"/>
      <c r="E35" s="3105"/>
      <c r="F35" s="673">
        <f>C10</f>
        <v>0</v>
      </c>
      <c r="G35" s="2893"/>
      <c r="H35" s="2893"/>
      <c r="I35" s="2893"/>
      <c r="J35" s="266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098"/>
      <c r="T35" s="335" t="str">
        <f>IF(T34="一通",L35,IF(T34="二通",M35,IF(T34="三通",N35,IF(T34="四通",O35,IF(T34="五通",P35,IF(T34="六通",Q35,R35))))))</f>
        <v>通路、通电、通讯、通上水、通下水、通热、燃气</v>
      </c>
      <c r="U35" s="2667"/>
      <c r="V35" s="2667"/>
    </row>
    <row r="36" spans="1:30">
      <c r="A36" s="2658"/>
      <c r="B36" s="673" t="s">
        <v>2932</v>
      </c>
      <c r="C36" s="673" t="s">
        <v>2933</v>
      </c>
      <c r="D36" s="673" t="s">
        <v>2931</v>
      </c>
      <c r="E36" s="673" t="s">
        <v>2936</v>
      </c>
      <c r="F36" s="2899"/>
      <c r="G36" s="2893"/>
      <c r="H36" s="2893"/>
      <c r="I36" s="2893"/>
      <c r="J36" s="2667"/>
      <c r="K36" s="2844"/>
      <c r="L36" s="2841"/>
      <c r="M36" s="2841"/>
      <c r="N36" s="2667"/>
      <c r="O36" s="2678"/>
      <c r="P36" s="2667"/>
      <c r="Q36" s="2667"/>
      <c r="R36" s="2667"/>
      <c r="S36" s="2667"/>
      <c r="T36" s="2667"/>
      <c r="U36" s="2667"/>
      <c r="V36" s="2667"/>
    </row>
    <row r="37" spans="1:30">
      <c r="A37" s="2859" t="s">
        <v>2977</v>
      </c>
      <c r="B37" s="2659"/>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2978</v>
      </c>
      <c r="B38" s="2660"/>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2979</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2980</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2981</v>
      </c>
      <c r="B42" s="11" t="s">
        <v>2982</v>
      </c>
      <c r="C42" s="11" t="s">
        <v>2983</v>
      </c>
      <c r="D42" s="11" t="s">
        <v>2984</v>
      </c>
      <c r="E42" s="11" t="s">
        <v>2985</v>
      </c>
      <c r="F42" s="11" t="s">
        <v>2986</v>
      </c>
      <c r="G42" s="11" t="s">
        <v>2987</v>
      </c>
      <c r="H42" s="11" t="s">
        <v>2988</v>
      </c>
      <c r="I42" s="11" t="s">
        <v>2989</v>
      </c>
      <c r="J42" s="2855" t="s">
        <v>2990</v>
      </c>
      <c r="K42" s="2856" t="s">
        <v>2991</v>
      </c>
      <c r="L42" s="2856" t="s">
        <v>2992</v>
      </c>
      <c r="M42" s="2856" t="s">
        <v>2993</v>
      </c>
      <c r="N42" s="2849" t="s">
        <v>2994</v>
      </c>
      <c r="O42" s="2849" t="s">
        <v>2995</v>
      </c>
      <c r="P42" s="2849" t="s">
        <v>2996</v>
      </c>
      <c r="Q42" s="2850" t="s">
        <v>2997</v>
      </c>
      <c r="R42" s="2850" t="s">
        <v>2998</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8"/>
  <sheetViews>
    <sheetView topLeftCell="C1" workbookViewId="0">
      <selection activeCell="AC45" sqref="AC45"/>
    </sheetView>
  </sheetViews>
  <sheetFormatPr defaultColWidth="5" defaultRowHeight="12"/>
  <cols>
    <col min="1" max="1" width="8.5" style="3046" bestFit="1" customWidth="1"/>
    <col min="2" max="2" width="15.125" style="3046" bestFit="1" customWidth="1"/>
    <col min="3" max="3" width="10.375" style="3046" customWidth="1"/>
    <col min="4" max="4" width="9" style="3046" customWidth="1"/>
    <col min="5" max="5" width="5.125" style="3046" bestFit="1" customWidth="1"/>
    <col min="6" max="6" width="6.75" style="3046" bestFit="1" customWidth="1"/>
    <col min="7" max="7" width="9.625" style="3046" customWidth="1"/>
    <col min="8" max="8" width="19" style="3046" customWidth="1"/>
    <col min="9" max="9" width="7.875" style="3046" customWidth="1"/>
    <col min="10" max="11" width="9.125" style="3046" customWidth="1"/>
    <col min="12" max="12" width="7.75" style="3046" customWidth="1"/>
    <col min="13" max="13" width="7.625" style="3046" customWidth="1"/>
    <col min="14" max="14" width="5.125" style="3046" bestFit="1" customWidth="1"/>
    <col min="15" max="16384" width="5" style="3046"/>
  </cols>
  <sheetData>
    <row r="1" spans="1:17">
      <c r="A1" s="3053" t="s">
        <v>3136</v>
      </c>
      <c r="D1" s="3046" t="s">
        <v>3066</v>
      </c>
      <c r="G1" s="3046" t="s">
        <v>3093</v>
      </c>
      <c r="H1" s="3046" t="s">
        <v>3083</v>
      </c>
      <c r="I1" s="3046" t="s">
        <v>3093</v>
      </c>
      <c r="J1" s="3046" t="s">
        <v>3083</v>
      </c>
      <c r="K1" s="3046" t="s">
        <v>3083</v>
      </c>
      <c r="L1" s="3046" t="s">
        <v>3093</v>
      </c>
    </row>
    <row r="2" spans="1:17" ht="11.25" customHeight="1">
      <c r="A2" s="3053" t="s">
        <v>3140</v>
      </c>
      <c r="C2" s="3046" t="s">
        <v>3087</v>
      </c>
      <c r="D2" s="3046" t="s">
        <v>3065</v>
      </c>
      <c r="E2" s="3046" t="s">
        <v>3085</v>
      </c>
      <c r="F2" s="3046" t="s">
        <v>3086</v>
      </c>
      <c r="G2" s="3046" t="s">
        <v>3148</v>
      </c>
      <c r="H2" s="3046" t="s">
        <v>3148</v>
      </c>
      <c r="I2" s="3046" t="s">
        <v>3084</v>
      </c>
      <c r="J2" s="3046" t="s">
        <v>3084</v>
      </c>
      <c r="K2" s="3046" t="s">
        <v>3082</v>
      </c>
      <c r="L2" s="3046" t="s">
        <v>3082</v>
      </c>
      <c r="M2" s="3046" t="s">
        <v>3081</v>
      </c>
      <c r="N2" s="3046" t="s">
        <v>3068</v>
      </c>
      <c r="O2" s="3046" t="s">
        <v>3067</v>
      </c>
    </row>
    <row r="3" spans="1:17" s="3047" customFormat="1">
      <c r="A3" s="3047" t="s">
        <v>3063</v>
      </c>
      <c r="B3" s="3047" t="s">
        <v>3064</v>
      </c>
      <c r="C3" s="3047">
        <f t="shared" ref="C3:C19" si="0">SUM(D3:M3)</f>
        <v>10835.1</v>
      </c>
      <c r="D3" s="3049">
        <v>10835.1</v>
      </c>
      <c r="E3" s="3049"/>
      <c r="F3" s="3049"/>
      <c r="N3" s="3047">
        <v>15</v>
      </c>
      <c r="O3" s="3047">
        <v>154</v>
      </c>
      <c r="Q3" s="3047">
        <f>D3/O3</f>
        <v>70.357792207792215</v>
      </c>
    </row>
    <row r="4" spans="1:17" s="3047" customFormat="1">
      <c r="A4" s="3047" t="s">
        <v>3063</v>
      </c>
      <c r="B4" s="3047" t="s">
        <v>3069</v>
      </c>
      <c r="C4" s="3047">
        <f t="shared" si="0"/>
        <v>11366</v>
      </c>
      <c r="D4" s="3049">
        <v>11366</v>
      </c>
      <c r="E4" s="3049"/>
      <c r="F4" s="3049"/>
      <c r="N4" s="3047">
        <v>15</v>
      </c>
      <c r="O4" s="3047">
        <v>149</v>
      </c>
      <c r="Q4" s="3047">
        <f t="shared" ref="Q4:Q9" si="1">D4/O4</f>
        <v>76.281879194630875</v>
      </c>
    </row>
    <row r="5" spans="1:17" s="3047" customFormat="1">
      <c r="A5" s="3047" t="s">
        <v>3063</v>
      </c>
      <c r="B5" s="3047" t="s">
        <v>3070</v>
      </c>
      <c r="C5" s="3047">
        <f t="shared" si="0"/>
        <v>10329.1</v>
      </c>
      <c r="D5" s="3049">
        <v>10329.1</v>
      </c>
      <c r="E5" s="3049"/>
      <c r="F5" s="3049"/>
      <c r="N5" s="3047">
        <v>15</v>
      </c>
      <c r="O5" s="3047">
        <v>119</v>
      </c>
      <c r="Q5" s="3047">
        <f t="shared" si="1"/>
        <v>86.799159663865552</v>
      </c>
    </row>
    <row r="6" spans="1:17">
      <c r="A6" s="3046" t="s">
        <v>3072</v>
      </c>
      <c r="B6" s="3048" t="s">
        <v>3071</v>
      </c>
      <c r="C6" s="3048">
        <f t="shared" si="0"/>
        <v>2091.8000000000002</v>
      </c>
      <c r="D6" s="3050">
        <v>2091.8000000000002</v>
      </c>
      <c r="E6" s="3050"/>
      <c r="F6" s="3050"/>
      <c r="G6" s="3048"/>
      <c r="H6" s="3048"/>
      <c r="I6" s="3048"/>
      <c r="J6" s="3048"/>
      <c r="K6" s="3048"/>
      <c r="L6" s="3048"/>
      <c r="M6" s="3048"/>
      <c r="N6" s="3048">
        <v>4</v>
      </c>
      <c r="O6" s="3048">
        <v>12</v>
      </c>
      <c r="Q6" s="3047"/>
    </row>
    <row r="7" spans="1:17">
      <c r="A7" s="3046" t="s">
        <v>3072</v>
      </c>
      <c r="B7" s="3048" t="s">
        <v>3073</v>
      </c>
      <c r="C7" s="3048">
        <f t="shared" si="0"/>
        <v>5357.1</v>
      </c>
      <c r="D7" s="3050">
        <v>5357.1</v>
      </c>
      <c r="E7" s="3050"/>
      <c r="F7" s="3050"/>
      <c r="G7" s="3048"/>
      <c r="H7" s="3048"/>
      <c r="I7" s="3048"/>
      <c r="J7" s="3048"/>
      <c r="K7" s="3048"/>
      <c r="L7" s="3048"/>
      <c r="M7" s="3048"/>
      <c r="N7" s="3048">
        <v>6</v>
      </c>
      <c r="O7" s="3048">
        <v>30</v>
      </c>
      <c r="Q7" s="3047"/>
    </row>
    <row r="8" spans="1:17" s="3047" customFormat="1">
      <c r="A8" s="3047" t="s">
        <v>3063</v>
      </c>
      <c r="B8" s="3047" t="s">
        <v>3074</v>
      </c>
      <c r="C8" s="3047">
        <f t="shared" si="0"/>
        <v>10378.6</v>
      </c>
      <c r="D8" s="3049">
        <v>10378.6</v>
      </c>
      <c r="E8" s="3049"/>
      <c r="F8" s="3049"/>
      <c r="N8" s="3047">
        <v>15</v>
      </c>
      <c r="O8" s="3047">
        <v>120</v>
      </c>
      <c r="Q8" s="3047">
        <f t="shared" si="1"/>
        <v>86.48833333333333</v>
      </c>
    </row>
    <row r="9" spans="1:17" s="3047" customFormat="1">
      <c r="A9" s="3047" t="s">
        <v>3063</v>
      </c>
      <c r="B9" s="3047" t="s">
        <v>3075</v>
      </c>
      <c r="C9" s="3047">
        <f t="shared" si="0"/>
        <v>11409.1</v>
      </c>
      <c r="D9" s="3049">
        <v>11409.1</v>
      </c>
      <c r="E9" s="3049"/>
      <c r="F9" s="3049"/>
      <c r="N9" s="3047">
        <v>15</v>
      </c>
      <c r="O9" s="3047">
        <v>150</v>
      </c>
      <c r="Q9" s="3047">
        <f t="shared" si="1"/>
        <v>76.060666666666663</v>
      </c>
    </row>
    <row r="10" spans="1:17">
      <c r="A10" s="3046" t="s">
        <v>3079</v>
      </c>
      <c r="B10" s="3048" t="s">
        <v>3076</v>
      </c>
      <c r="C10" s="3048">
        <f t="shared" si="0"/>
        <v>8986.1</v>
      </c>
      <c r="D10" s="3050">
        <v>8986.1</v>
      </c>
      <c r="E10" s="3050"/>
      <c r="F10" s="3050"/>
      <c r="G10" s="3048"/>
      <c r="H10" s="3048"/>
      <c r="I10" s="3048"/>
      <c r="J10" s="3048"/>
      <c r="K10" s="3048"/>
      <c r="L10" s="3048"/>
      <c r="M10" s="3048"/>
      <c r="N10" s="3048">
        <v>13</v>
      </c>
      <c r="O10" s="3048">
        <v>104</v>
      </c>
    </row>
    <row r="11" spans="1:17">
      <c r="A11" s="3046" t="s">
        <v>3072</v>
      </c>
      <c r="B11" s="3048" t="s">
        <v>3077</v>
      </c>
      <c r="C11" s="3048">
        <f t="shared" si="0"/>
        <v>4279</v>
      </c>
      <c r="D11" s="3050">
        <v>4279</v>
      </c>
      <c r="E11" s="3050"/>
      <c r="F11" s="3050"/>
      <c r="G11" s="3048"/>
      <c r="H11" s="3048"/>
      <c r="I11" s="3048"/>
      <c r="J11" s="3048"/>
      <c r="K11" s="3048"/>
      <c r="L11" s="3048"/>
      <c r="M11" s="3048"/>
      <c r="N11" s="3048">
        <v>6</v>
      </c>
      <c r="O11" s="3048">
        <v>24</v>
      </c>
    </row>
    <row r="12" spans="1:17">
      <c r="A12" s="3046" t="s">
        <v>3072</v>
      </c>
      <c r="B12" s="3048" t="s">
        <v>3078</v>
      </c>
      <c r="C12" s="3048">
        <f t="shared" si="0"/>
        <v>2091.8000000000002</v>
      </c>
      <c r="D12" s="3050">
        <v>2091.8000000000002</v>
      </c>
      <c r="E12" s="3050"/>
      <c r="F12" s="3050"/>
      <c r="G12" s="3048"/>
      <c r="H12" s="3048"/>
      <c r="I12" s="3048"/>
      <c r="J12" s="3048"/>
      <c r="K12" s="3048"/>
      <c r="L12" s="3048"/>
      <c r="M12" s="3048"/>
      <c r="N12" s="3048">
        <v>4</v>
      </c>
      <c r="O12" s="3048">
        <v>12</v>
      </c>
    </row>
    <row r="13" spans="1:17">
      <c r="B13" s="3048" t="s">
        <v>3080</v>
      </c>
      <c r="C13" s="3048">
        <f t="shared" si="0"/>
        <v>42442</v>
      </c>
      <c r="D13" s="3048"/>
      <c r="E13" s="3048">
        <f>2552.51</f>
        <v>2552.5100000000002</v>
      </c>
      <c r="F13" s="3048">
        <f>4115.94+15117.2</f>
        <v>19233.14</v>
      </c>
      <c r="G13" s="3048"/>
      <c r="H13" s="3048"/>
      <c r="I13" s="3048"/>
      <c r="J13" s="3048">
        <f>467+1109.13+1173.87</f>
        <v>2750</v>
      </c>
      <c r="K13" s="3048">
        <f>769.87+155.26+3410.49+646.8+540+3903.38</f>
        <v>9425.7999999999993</v>
      </c>
      <c r="L13" s="3048"/>
      <c r="M13" s="3048">
        <f>8111.55+214+155</f>
        <v>8480.5499999999993</v>
      </c>
      <c r="N13" s="3048"/>
      <c r="O13" s="3048"/>
    </row>
    <row r="14" spans="1:17">
      <c r="B14" s="3048" t="s">
        <v>3088</v>
      </c>
      <c r="C14" s="3048">
        <f t="shared" si="0"/>
        <v>61.99</v>
      </c>
      <c r="D14" s="3048"/>
      <c r="E14" s="3048"/>
      <c r="F14" s="3048"/>
      <c r="G14" s="3048"/>
      <c r="H14" s="3048"/>
      <c r="I14" s="3048"/>
      <c r="J14" s="3048"/>
      <c r="K14" s="3048"/>
      <c r="L14" s="3048"/>
      <c r="M14" s="3048">
        <v>61.99</v>
      </c>
      <c r="N14" s="3048"/>
      <c r="O14" s="3048"/>
    </row>
    <row r="15" spans="1:17">
      <c r="B15" s="3048" t="s">
        <v>3089</v>
      </c>
      <c r="C15" s="3048">
        <f t="shared" si="0"/>
        <v>24.96</v>
      </c>
      <c r="D15" s="3048"/>
      <c r="E15" s="3048"/>
      <c r="F15" s="3048"/>
      <c r="G15" s="3048"/>
      <c r="H15" s="3048"/>
      <c r="I15" s="3048"/>
      <c r="J15" s="3048"/>
      <c r="K15" s="3048"/>
      <c r="L15" s="3048"/>
      <c r="M15" s="3048">
        <v>24.96</v>
      </c>
      <c r="N15" s="3048"/>
      <c r="O15" s="3048"/>
    </row>
    <row r="16" spans="1:17">
      <c r="B16" s="3048" t="s">
        <v>3090</v>
      </c>
      <c r="C16" s="3048">
        <f t="shared" si="0"/>
        <v>24.96</v>
      </c>
      <c r="D16" s="3048"/>
      <c r="E16" s="3048"/>
      <c r="F16" s="3048"/>
      <c r="G16" s="3048"/>
      <c r="H16" s="3048"/>
      <c r="I16" s="3048"/>
      <c r="J16" s="3048"/>
      <c r="K16" s="3048"/>
      <c r="L16" s="3048"/>
      <c r="M16" s="3048">
        <v>24.96</v>
      </c>
      <c r="N16" s="3048"/>
      <c r="O16" s="3048"/>
    </row>
    <row r="17" spans="1:17">
      <c r="B17" s="3048" t="s">
        <v>3091</v>
      </c>
      <c r="C17" s="3048">
        <f t="shared" si="0"/>
        <v>61.99</v>
      </c>
      <c r="D17" s="3048"/>
      <c r="E17" s="3048"/>
      <c r="F17" s="3048"/>
      <c r="G17" s="3048"/>
      <c r="H17" s="3048"/>
      <c r="I17" s="3048"/>
      <c r="J17" s="3048"/>
      <c r="K17" s="3048"/>
      <c r="L17" s="3048"/>
      <c r="M17" s="3048">
        <v>61.99</v>
      </c>
      <c r="N17" s="3048"/>
      <c r="O17" s="3048"/>
    </row>
    <row r="18" spans="1:17">
      <c r="B18" s="3048" t="s">
        <v>3092</v>
      </c>
      <c r="C18" s="3048">
        <f t="shared" si="0"/>
        <v>45.3</v>
      </c>
      <c r="D18" s="3048"/>
      <c r="E18" s="3048"/>
      <c r="F18" s="3048"/>
      <c r="G18" s="3048"/>
      <c r="H18" s="3048"/>
      <c r="I18" s="3048"/>
      <c r="J18" s="3048"/>
      <c r="K18" s="3048"/>
      <c r="L18" s="3048">
        <v>45.3</v>
      </c>
      <c r="M18" s="3048"/>
      <c r="N18" s="3048"/>
      <c r="O18" s="3048"/>
    </row>
    <row r="19" spans="1:17">
      <c r="B19" s="3048" t="s">
        <v>3146</v>
      </c>
      <c r="C19" s="3048">
        <f t="shared" si="0"/>
        <v>1412.3</v>
      </c>
      <c r="D19" s="3048"/>
      <c r="E19" s="3048"/>
      <c r="F19" s="3048"/>
      <c r="G19" s="3048">
        <v>100</v>
      </c>
      <c r="H19" s="3048">
        <v>200</v>
      </c>
      <c r="I19" s="3048">
        <f>70+500</f>
        <v>570</v>
      </c>
      <c r="J19" s="3048">
        <v>542.29999999999995</v>
      </c>
      <c r="K19" s="3048"/>
      <c r="L19" s="3048"/>
      <c r="M19" s="3048"/>
      <c r="N19" s="3048"/>
      <c r="O19" s="3048"/>
    </row>
    <row r="20" spans="1:17" ht="20.25" customHeight="1">
      <c r="B20" s="3046" t="s">
        <v>3139</v>
      </c>
      <c r="C20" s="3046">
        <f>SUM(C3:C19)</f>
        <v>121197.20000000003</v>
      </c>
    </row>
    <row r="21" spans="1:17">
      <c r="A21" s="3053" t="s">
        <v>3137</v>
      </c>
    </row>
    <row r="22" spans="1:17">
      <c r="A22" s="3053" t="s">
        <v>3140</v>
      </c>
      <c r="D22" s="3046" t="s">
        <v>3066</v>
      </c>
      <c r="G22" s="3046" t="s">
        <v>3093</v>
      </c>
      <c r="H22" s="3046" t="s">
        <v>3083</v>
      </c>
      <c r="I22" s="3046" t="s">
        <v>3093</v>
      </c>
      <c r="J22" s="3046" t="s">
        <v>3083</v>
      </c>
      <c r="K22" s="3046" t="s">
        <v>3083</v>
      </c>
      <c r="L22" s="3046" t="s">
        <v>3093</v>
      </c>
    </row>
    <row r="23" spans="1:17">
      <c r="C23" s="3046" t="s">
        <v>3087</v>
      </c>
      <c r="D23" s="3046" t="s">
        <v>3065</v>
      </c>
      <c r="E23" s="3046" t="s">
        <v>3085</v>
      </c>
      <c r="F23" s="3046" t="s">
        <v>3086</v>
      </c>
      <c r="G23" s="3046" t="s">
        <v>3148</v>
      </c>
      <c r="H23" s="3046" t="s">
        <v>3148</v>
      </c>
      <c r="I23" s="3046" t="s">
        <v>3084</v>
      </c>
      <c r="J23" s="3046" t="s">
        <v>3084</v>
      </c>
      <c r="K23" s="3046" t="s">
        <v>3082</v>
      </c>
      <c r="L23" s="3046" t="s">
        <v>3082</v>
      </c>
      <c r="M23" s="3046" t="s">
        <v>3081</v>
      </c>
      <c r="N23" s="3046" t="s">
        <v>3068</v>
      </c>
      <c r="O23" s="3046" t="s">
        <v>3067</v>
      </c>
    </row>
    <row r="24" spans="1:17" s="3047" customFormat="1">
      <c r="A24" s="3047" t="s">
        <v>3063</v>
      </c>
      <c r="B24" s="3047" t="s">
        <v>3064</v>
      </c>
      <c r="C24" s="3047">
        <f t="shared" ref="C24:C30" si="2">SUM(D24:M24)</f>
        <v>10083.780000000001</v>
      </c>
      <c r="D24" s="3047">
        <v>10083.780000000001</v>
      </c>
      <c r="N24" s="3047">
        <v>15</v>
      </c>
      <c r="O24" s="3047">
        <v>120</v>
      </c>
      <c r="Q24" s="3047">
        <f t="shared" ref="Q24:Q27" si="3">D24/O24</f>
        <v>84.031500000000008</v>
      </c>
    </row>
    <row r="25" spans="1:17" s="3047" customFormat="1">
      <c r="A25" s="3047" t="s">
        <v>3063</v>
      </c>
      <c r="B25" s="3047" t="s">
        <v>3069</v>
      </c>
      <c r="C25" s="3047">
        <f t="shared" si="2"/>
        <v>5074.3999999999996</v>
      </c>
      <c r="D25" s="3047">
        <v>5074.3999999999996</v>
      </c>
      <c r="N25" s="3047">
        <v>15</v>
      </c>
      <c r="O25" s="3047">
        <v>60</v>
      </c>
      <c r="Q25" s="3047">
        <f t="shared" si="3"/>
        <v>84.573333333333323</v>
      </c>
    </row>
    <row r="26" spans="1:17" s="3047" customFormat="1">
      <c r="A26" s="3047" t="s">
        <v>3063</v>
      </c>
      <c r="B26" s="3047" t="s">
        <v>3070</v>
      </c>
      <c r="C26" s="3047">
        <f t="shared" si="2"/>
        <v>4418.1000000000004</v>
      </c>
      <c r="D26" s="3047">
        <v>4418.1000000000004</v>
      </c>
      <c r="N26" s="3047">
        <v>13</v>
      </c>
      <c r="O26" s="3047">
        <v>52</v>
      </c>
      <c r="Q26" s="3047">
        <f t="shared" si="3"/>
        <v>84.963461538461544</v>
      </c>
    </row>
    <row r="27" spans="1:17" s="3047" customFormat="1">
      <c r="A27" s="3047" t="s">
        <v>3063</v>
      </c>
      <c r="B27" s="3047" t="s">
        <v>3071</v>
      </c>
      <c r="C27" s="3047">
        <f t="shared" si="2"/>
        <v>5089.9399999999996</v>
      </c>
      <c r="D27" s="3047">
        <v>5089.9399999999996</v>
      </c>
      <c r="N27" s="3047">
        <v>15</v>
      </c>
      <c r="O27" s="3047">
        <v>60</v>
      </c>
      <c r="Q27" s="3047">
        <f t="shared" si="3"/>
        <v>84.832333333333324</v>
      </c>
    </row>
    <row r="28" spans="1:17">
      <c r="A28" s="3046" t="s">
        <v>3072</v>
      </c>
      <c r="B28" s="3048" t="s">
        <v>3073</v>
      </c>
      <c r="C28" s="3048">
        <f t="shared" si="2"/>
        <v>8076.08</v>
      </c>
      <c r="D28" s="3046">
        <v>8076.08</v>
      </c>
      <c r="N28" s="3046">
        <v>10</v>
      </c>
      <c r="O28" s="3046">
        <v>60</v>
      </c>
    </row>
    <row r="29" spans="1:17">
      <c r="A29" s="3046" t="s">
        <v>3072</v>
      </c>
      <c r="B29" s="3048" t="s">
        <v>3074</v>
      </c>
      <c r="C29" s="3048">
        <f t="shared" si="2"/>
        <v>4418.1000000000004</v>
      </c>
      <c r="D29" s="3046">
        <v>4418.1000000000004</v>
      </c>
      <c r="N29" s="3046">
        <v>13</v>
      </c>
      <c r="O29" s="3046">
        <v>52</v>
      </c>
    </row>
    <row r="30" spans="1:17">
      <c r="B30" s="3048" t="s">
        <v>3141</v>
      </c>
      <c r="C30" s="3048">
        <f t="shared" si="2"/>
        <v>548.6</v>
      </c>
      <c r="I30" s="3046">
        <v>548.6</v>
      </c>
    </row>
    <row r="31" spans="1:17">
      <c r="B31" s="3048" t="s">
        <v>3080</v>
      </c>
      <c r="C31" s="3048">
        <f t="shared" ref="C31:C32" si="4">SUM(D31:M31)</f>
        <v>24521.22</v>
      </c>
      <c r="E31" s="3046">
        <f>620.07+289.99+273.17+315.4+286.89+273.92+289.89+273.44+664+639.51+641.07+307.17+289.85+273.92</f>
        <v>5438.29</v>
      </c>
      <c r="F31" s="3046">
        <f>7583.94+4113.13</f>
        <v>11697.07</v>
      </c>
      <c r="J31" s="3046">
        <f>576.76+561.64+158</f>
        <v>1296.4000000000001</v>
      </c>
      <c r="K31" s="3046">
        <f>9.82+35.08+58.96+20.69+40.29+8.02+23.14+45.58+22.09+40.36+8.64+22.15+118.71+8.02+23.14+45.58+161.79+960.4</f>
        <v>1652.4599999999998</v>
      </c>
      <c r="M31" s="3046">
        <f>100.74+104.32+4231.94</f>
        <v>4437</v>
      </c>
    </row>
    <row r="32" spans="1:17">
      <c r="B32" s="3046" t="s">
        <v>3144</v>
      </c>
      <c r="C32" s="3048">
        <f t="shared" si="4"/>
        <v>104</v>
      </c>
      <c r="M32" s="3046">
        <v>104</v>
      </c>
    </row>
    <row r="33" spans="1:15">
      <c r="B33" s="3046" t="s">
        <v>3139</v>
      </c>
      <c r="C33" s="3046">
        <f>SUM(C24:C32)</f>
        <v>62334.219999999994</v>
      </c>
    </row>
    <row r="34" spans="1:15">
      <c r="B34" s="3047" t="s">
        <v>3147</v>
      </c>
      <c r="D34" s="3047">
        <f>D3+D4+D5+D8+D9+D24+D25+D26+D27</f>
        <v>78984.12</v>
      </c>
      <c r="E34" s="3047"/>
      <c r="F34" s="3047"/>
      <c r="G34" s="3047"/>
      <c r="H34" s="3047"/>
      <c r="I34" s="3047"/>
      <c r="J34" s="3047"/>
      <c r="K34" s="3047"/>
      <c r="L34" s="3047"/>
      <c r="M34" s="3047"/>
      <c r="N34" s="3047"/>
      <c r="O34" s="3047">
        <f>O3+O4+O5+O8+O9+O24+O25+O26+O27</f>
        <v>984</v>
      </c>
    </row>
    <row r="35" spans="1:15">
      <c r="A35" s="3054" t="s">
        <v>3094</v>
      </c>
      <c r="B35" s="3051"/>
      <c r="C35" s="3051"/>
      <c r="D35" s="3051"/>
      <c r="E35" s="3051"/>
      <c r="F35" s="3051"/>
      <c r="G35" s="3051"/>
      <c r="H35" s="3051"/>
      <c r="I35" s="3051"/>
      <c r="J35" s="3051"/>
      <c r="K35" s="3051"/>
      <c r="L35" s="3051"/>
      <c r="M35" s="3051"/>
      <c r="N35" s="3051"/>
      <c r="O35" s="3051"/>
    </row>
    <row r="36" spans="1:15" ht="24">
      <c r="A36" s="3051" t="s">
        <v>3095</v>
      </c>
      <c r="B36" s="3051" t="s">
        <v>3096</v>
      </c>
      <c r="C36" s="3051" t="s">
        <v>3097</v>
      </c>
      <c r="D36" s="3051" t="s">
        <v>3098</v>
      </c>
      <c r="E36" s="3051" t="s">
        <v>3099</v>
      </c>
      <c r="F36" s="3051" t="s">
        <v>3100</v>
      </c>
      <c r="G36" s="3051" t="s">
        <v>3101</v>
      </c>
      <c r="H36" s="3051" t="s">
        <v>3102</v>
      </c>
      <c r="I36" s="3051" t="s">
        <v>3103</v>
      </c>
      <c r="J36" s="3051" t="s">
        <v>3104</v>
      </c>
      <c r="K36" s="3051" t="s">
        <v>3105</v>
      </c>
      <c r="L36" s="3051" t="s">
        <v>3106</v>
      </c>
      <c r="M36" s="3051" t="s">
        <v>3107</v>
      </c>
      <c r="N36" s="3051" t="s">
        <v>3108</v>
      </c>
      <c r="O36" s="3051" t="s">
        <v>3109</v>
      </c>
    </row>
    <row r="37" spans="1:15" ht="60">
      <c r="A37" s="3051">
        <v>1</v>
      </c>
      <c r="B37" s="3051" t="s">
        <v>3135</v>
      </c>
      <c r="C37" s="3051" t="s">
        <v>3110</v>
      </c>
      <c r="D37" s="3051">
        <v>80904.83</v>
      </c>
      <c r="E37" s="3051" t="s">
        <v>3111</v>
      </c>
      <c r="F37" s="3051">
        <v>180233</v>
      </c>
      <c r="G37" s="3051">
        <v>177991</v>
      </c>
      <c r="H37" s="3051">
        <v>4042</v>
      </c>
      <c r="I37" s="3051" t="s">
        <v>3112</v>
      </c>
      <c r="J37" s="3052">
        <v>42877</v>
      </c>
      <c r="K37" s="3051">
        <v>698000</v>
      </c>
      <c r="L37" s="3051">
        <v>52315</v>
      </c>
      <c r="M37" s="3051" t="s">
        <v>3113</v>
      </c>
      <c r="N37" s="3051">
        <f>81943.21</f>
        <v>81943.210000000006</v>
      </c>
      <c r="O37" s="3051" t="s">
        <v>3114</v>
      </c>
    </row>
    <row r="38" spans="1:15" ht="48">
      <c r="A38" s="3051">
        <v>2</v>
      </c>
      <c r="B38" s="3051" t="s">
        <v>3138</v>
      </c>
      <c r="C38" s="3051" t="s">
        <v>3145</v>
      </c>
      <c r="D38" s="3051">
        <v>66379.53</v>
      </c>
      <c r="E38" s="3051" t="s">
        <v>3111</v>
      </c>
      <c r="F38" s="3051">
        <v>146035</v>
      </c>
      <c r="G38" s="3051">
        <v>146035</v>
      </c>
      <c r="H38" s="3051">
        <v>0</v>
      </c>
      <c r="I38" s="3051" t="s">
        <v>3134</v>
      </c>
      <c r="J38" s="3052">
        <v>42877</v>
      </c>
      <c r="K38" s="3051">
        <v>574000</v>
      </c>
      <c r="L38" s="3051"/>
      <c r="M38" s="3051"/>
      <c r="N38" s="3051"/>
      <c r="O38" s="3051"/>
    </row>
    <row r="39" spans="1:15">
      <c r="A39" s="3051"/>
      <c r="B39" s="3051"/>
      <c r="C39" s="3051"/>
      <c r="D39" s="3051"/>
      <c r="E39" s="3051"/>
      <c r="F39" s="3051"/>
      <c r="G39" s="3051"/>
      <c r="H39" s="3051"/>
      <c r="I39" s="3051"/>
      <c r="J39" s="3051"/>
      <c r="K39" s="3051"/>
      <c r="L39" s="3051"/>
      <c r="M39" s="3051"/>
      <c r="N39" s="3051"/>
      <c r="O39" s="3051"/>
    </row>
    <row r="40" spans="1:15">
      <c r="A40" s="3051"/>
      <c r="B40" s="3051"/>
      <c r="C40" s="3051"/>
      <c r="D40" s="3051"/>
      <c r="E40" s="3051"/>
      <c r="F40" s="3051"/>
      <c r="G40" s="3051"/>
      <c r="H40" s="3051"/>
      <c r="I40" s="3051"/>
      <c r="J40" s="3051"/>
      <c r="K40" s="3051"/>
      <c r="L40" s="3051"/>
      <c r="M40" s="3051"/>
      <c r="N40" s="3051"/>
      <c r="O40" s="3051"/>
    </row>
    <row r="41" spans="1:15">
      <c r="A41" s="3051"/>
      <c r="B41" s="3051"/>
      <c r="C41" s="3051"/>
      <c r="D41" s="3051"/>
      <c r="E41" s="3051"/>
      <c r="F41" s="3051"/>
      <c r="G41" s="3051"/>
      <c r="H41" s="3051"/>
      <c r="I41" s="3051"/>
      <c r="J41" s="3051"/>
      <c r="K41" s="3051"/>
      <c r="L41" s="3051"/>
      <c r="M41" s="3051"/>
      <c r="N41" s="3051"/>
      <c r="O41" s="3051"/>
    </row>
    <row r="42" spans="1:15">
      <c r="A42" s="3051"/>
      <c r="B42" s="3051"/>
      <c r="C42" s="3051"/>
      <c r="D42" s="3051"/>
      <c r="E42" s="3051"/>
      <c r="F42" s="3051"/>
      <c r="G42" s="3051"/>
      <c r="H42" s="3051"/>
      <c r="I42" s="3051"/>
      <c r="J42" s="3051"/>
      <c r="K42" s="3051"/>
      <c r="L42" s="3051"/>
      <c r="M42" s="3051"/>
      <c r="N42" s="3051"/>
      <c r="O42" s="3051"/>
    </row>
    <row r="43" spans="1:15" ht="24">
      <c r="A43" s="3051" t="s">
        <v>3115</v>
      </c>
      <c r="B43" s="3051"/>
      <c r="C43" s="3051"/>
      <c r="D43" s="3051"/>
      <c r="E43" s="3051"/>
      <c r="F43" s="3051"/>
      <c r="G43" s="3051"/>
      <c r="H43" s="3051"/>
      <c r="I43" s="3051"/>
      <c r="J43" s="3051"/>
      <c r="K43" s="3051"/>
      <c r="L43" s="3051"/>
      <c r="M43" s="3051"/>
      <c r="N43" s="3051"/>
      <c r="O43" s="3051"/>
    </row>
    <row r="44" spans="1:15">
      <c r="A44" s="3051" t="s">
        <v>3116</v>
      </c>
      <c r="B44" s="3051" t="s">
        <v>3117</v>
      </c>
      <c r="C44" s="3051" t="s">
        <v>3118</v>
      </c>
      <c r="D44" s="3051" t="s">
        <v>3119</v>
      </c>
      <c r="E44" s="3051" t="s">
        <v>3120</v>
      </c>
      <c r="F44" s="3051" t="s">
        <v>3121</v>
      </c>
      <c r="G44" s="3051" t="s">
        <v>3122</v>
      </c>
      <c r="H44" s="3051" t="s">
        <v>3123</v>
      </c>
      <c r="I44" s="3051"/>
      <c r="J44" s="3051"/>
      <c r="K44" s="3051"/>
      <c r="L44" s="3051"/>
      <c r="M44" s="3051"/>
      <c r="N44" s="3051"/>
      <c r="O44" s="3051"/>
    </row>
    <row r="45" spans="1:15" ht="60">
      <c r="A45" s="3051" t="s">
        <v>3124</v>
      </c>
      <c r="B45" s="3051" t="s">
        <v>3125</v>
      </c>
      <c r="C45" s="3051" t="s">
        <v>3126</v>
      </c>
      <c r="D45" s="3051">
        <v>35460.43</v>
      </c>
      <c r="E45" s="3051" t="s">
        <v>3127</v>
      </c>
      <c r="F45" s="3051" t="s">
        <v>3128</v>
      </c>
      <c r="G45" s="3052">
        <v>43004</v>
      </c>
      <c r="H45" s="3051" t="s">
        <v>3149</v>
      </c>
      <c r="I45" s="3051"/>
      <c r="J45" s="3051"/>
      <c r="K45" s="3051"/>
      <c r="L45" s="3051"/>
      <c r="M45" s="3051"/>
      <c r="N45" s="3051"/>
      <c r="O45" s="3051"/>
    </row>
    <row r="46" spans="1:15" ht="60">
      <c r="A46" s="3051" t="s">
        <v>3130</v>
      </c>
      <c r="B46" s="3051" t="s">
        <v>3125</v>
      </c>
      <c r="C46" s="3051" t="s">
        <v>3131</v>
      </c>
      <c r="D46" s="3051">
        <v>45444.4</v>
      </c>
      <c r="E46" s="3051" t="s">
        <v>3127</v>
      </c>
      <c r="F46" s="3051" t="s">
        <v>3128</v>
      </c>
      <c r="G46" s="3052">
        <v>43006</v>
      </c>
      <c r="H46" s="3051" t="s">
        <v>3129</v>
      </c>
      <c r="I46" s="3051"/>
      <c r="J46" s="3051"/>
      <c r="K46" s="3051"/>
      <c r="L46" s="3051"/>
      <c r="M46" s="3051"/>
      <c r="N46" s="3051"/>
      <c r="O46" s="3051"/>
    </row>
    <row r="47" spans="1:15" ht="60">
      <c r="A47" s="3051" t="s">
        <v>3132</v>
      </c>
      <c r="B47" s="3051" t="s">
        <v>3138</v>
      </c>
      <c r="C47" s="3051" t="s">
        <v>3133</v>
      </c>
      <c r="D47" s="3051">
        <v>17187.740000000002</v>
      </c>
      <c r="E47" s="3051" t="s">
        <v>3127</v>
      </c>
      <c r="F47" s="3051" t="s">
        <v>3134</v>
      </c>
      <c r="G47" s="3052">
        <v>43006</v>
      </c>
      <c r="H47" s="3051" t="s">
        <v>3129</v>
      </c>
      <c r="I47" s="3051"/>
      <c r="J47" s="3051"/>
      <c r="K47" s="3051"/>
      <c r="L47" s="3051"/>
      <c r="M47" s="3051"/>
      <c r="N47" s="3051"/>
      <c r="O47" s="3051"/>
    </row>
    <row r="48" spans="1:15" ht="60">
      <c r="A48" s="3051" t="s">
        <v>3143</v>
      </c>
      <c r="B48" s="3051" t="s">
        <v>3138</v>
      </c>
      <c r="C48" s="3051" t="s">
        <v>3142</v>
      </c>
      <c r="D48" s="3046">
        <v>49191.79</v>
      </c>
      <c r="E48" s="3051" t="s">
        <v>3127</v>
      </c>
      <c r="F48" s="3051" t="s">
        <v>3134</v>
      </c>
      <c r="G48" s="3052">
        <v>43006</v>
      </c>
      <c r="H48" s="3051" t="s">
        <v>3129</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T15" sqref="AT1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hidden="1" customWidth="1"/>
    <col min="11" max="11" width="11" style="1760" customWidth="1"/>
    <col min="12" max="12" width="9.5" style="1760" hidden="1" customWidth="1"/>
    <col min="13" max="13" width="9.5" style="1760" customWidth="1"/>
    <col min="14" max="14" width="9.5" style="1760" hidden="1" customWidth="1"/>
    <col min="15" max="15" width="9.875" style="1760"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1748</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1749</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1750</v>
      </c>
      <c r="B2" s="11" t="s">
        <v>1751</v>
      </c>
      <c r="C2" s="11" t="s">
        <v>1752</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1753</v>
      </c>
      <c r="AZ2" s="1180" t="s">
        <v>1754</v>
      </c>
      <c r="BA2" s="11" t="s">
        <v>1755</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首开保利熙悦林语!D45+首开保利熙悦林语!D46+首开保利熙悦林语!D47+首开保利熙悦林语!D48</f>
        <v>147284.36000000002</v>
      </c>
      <c r="B3" s="14">
        <f>IF(C3="否",G5-AT5,G5)</f>
        <v>183531.41999999998</v>
      </c>
      <c r="C3" s="1767" t="s">
        <v>3160</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183531.41999999998</v>
      </c>
      <c r="H5" s="16">
        <f t="shared" ref="H5:AT5" si="0">SUM(H13:H656)</f>
        <v>153205.10999999999</v>
      </c>
      <c r="I5" s="16">
        <f t="shared" si="0"/>
        <v>78984.12</v>
      </c>
      <c r="J5" s="16">
        <f t="shared" si="0"/>
        <v>0</v>
      </c>
      <c r="K5" s="16">
        <f t="shared" si="0"/>
        <v>35299.979999999996</v>
      </c>
      <c r="L5" s="16">
        <f t="shared" si="0"/>
        <v>0</v>
      </c>
      <c r="M5" s="16">
        <f t="shared" si="0"/>
        <v>7990.8</v>
      </c>
      <c r="N5" s="16">
        <f t="shared" si="0"/>
        <v>0</v>
      </c>
      <c r="O5" s="16">
        <f t="shared" si="0"/>
        <v>30930.21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17130.86</v>
      </c>
      <c r="AD5" s="16">
        <f t="shared" si="0"/>
        <v>1118.5999999999999</v>
      </c>
      <c r="AE5" s="16">
        <f t="shared" si="0"/>
        <v>0</v>
      </c>
      <c r="AF5" s="16">
        <f t="shared" si="0"/>
        <v>4588.7000000000007</v>
      </c>
      <c r="AG5" s="16">
        <f t="shared" si="0"/>
        <v>0</v>
      </c>
      <c r="AH5" s="16">
        <f t="shared" si="0"/>
        <v>100</v>
      </c>
      <c r="AI5" s="16">
        <f t="shared" si="0"/>
        <v>0</v>
      </c>
      <c r="AJ5" s="16">
        <f t="shared" si="0"/>
        <v>200</v>
      </c>
      <c r="AK5" s="16">
        <f t="shared" si="0"/>
        <v>0</v>
      </c>
      <c r="AL5" s="16">
        <f t="shared" si="0"/>
        <v>45.3</v>
      </c>
      <c r="AM5" s="16">
        <f t="shared" si="0"/>
        <v>0</v>
      </c>
      <c r="AN5" s="16">
        <f t="shared" si="0"/>
        <v>11078.259999999998</v>
      </c>
      <c r="AO5" s="16">
        <f t="shared" si="0"/>
        <v>0</v>
      </c>
      <c r="AP5" s="16">
        <f t="shared" si="0"/>
        <v>0</v>
      </c>
      <c r="AQ5" s="16">
        <f t="shared" si="0"/>
        <v>0</v>
      </c>
      <c r="AR5" s="16">
        <f t="shared" si="0"/>
        <v>0</v>
      </c>
      <c r="AS5" s="16">
        <f t="shared" si="0"/>
        <v>0</v>
      </c>
      <c r="AT5" s="16">
        <f t="shared" si="0"/>
        <v>13195.449999999997</v>
      </c>
      <c r="AU5" s="1532"/>
      <c r="AV5" s="15" t="s">
        <v>1756</v>
      </c>
      <c r="AW5" s="1533"/>
      <c r="AX5" s="1533"/>
      <c r="AY5" s="17" t="s">
        <v>3</v>
      </c>
      <c r="AZ5" s="18">
        <f t="shared" ref="AZ5:BT5" si="1">SUM(AZ13:AZ656)</f>
        <v>77547</v>
      </c>
      <c r="BA5" s="18">
        <f t="shared" si="1"/>
        <v>77547</v>
      </c>
      <c r="BB5" s="18">
        <f t="shared" si="1"/>
        <v>77547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147284.36000000002</v>
      </c>
      <c r="F6" s="16" t="s">
        <v>1</v>
      </c>
      <c r="G6" s="16" t="s">
        <v>2</v>
      </c>
      <c r="H6" s="20">
        <f>SUMIF(I$12:AB$12,"总值",I6:AB6)</f>
        <v>122947.43000000001</v>
      </c>
      <c r="I6" s="16">
        <f t="shared" ref="I6:AB6" si="2">ROUND($A$3*I5/$B$3,2)</f>
        <v>63384.93</v>
      </c>
      <c r="J6" s="16">
        <f t="shared" si="2"/>
        <v>0</v>
      </c>
      <c r="K6" s="16">
        <f t="shared" si="2"/>
        <v>28328.31</v>
      </c>
      <c r="L6" s="16">
        <f t="shared" si="2"/>
        <v>0</v>
      </c>
      <c r="M6" s="16">
        <f t="shared" si="2"/>
        <v>6412.63</v>
      </c>
      <c r="N6" s="16">
        <f t="shared" si="2"/>
        <v>0</v>
      </c>
      <c r="O6" s="16">
        <f t="shared" si="2"/>
        <v>24821.56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13747.55</v>
      </c>
      <c r="AD6" s="16">
        <f t="shared" ref="AD6:AS6" si="3">ROUND($A$3*AD5/$B$3,2)</f>
        <v>897.68</v>
      </c>
      <c r="AE6" s="16">
        <f t="shared" si="3"/>
        <v>0</v>
      </c>
      <c r="AF6" s="16">
        <f t="shared" si="3"/>
        <v>3682.44</v>
      </c>
      <c r="AG6" s="16">
        <f t="shared" si="3"/>
        <v>0</v>
      </c>
      <c r="AH6" s="16">
        <f t="shared" si="3"/>
        <v>80.25</v>
      </c>
      <c r="AI6" s="16">
        <f t="shared" si="3"/>
        <v>0</v>
      </c>
      <c r="AJ6" s="16">
        <f t="shared" si="3"/>
        <v>160.5</v>
      </c>
      <c r="AK6" s="16">
        <f t="shared" si="3"/>
        <v>0</v>
      </c>
      <c r="AL6" s="16">
        <f t="shared" si="3"/>
        <v>36.35</v>
      </c>
      <c r="AM6" s="16">
        <f t="shared" si="3"/>
        <v>0</v>
      </c>
      <c r="AN6" s="16">
        <f t="shared" si="3"/>
        <v>8890.33</v>
      </c>
      <c r="AO6" s="16">
        <f t="shared" si="3"/>
        <v>0</v>
      </c>
      <c r="AP6" s="16">
        <f t="shared" si="3"/>
        <v>0</v>
      </c>
      <c r="AQ6" s="16">
        <f t="shared" si="3"/>
        <v>0</v>
      </c>
      <c r="AR6" s="16">
        <f t="shared" si="3"/>
        <v>0</v>
      </c>
      <c r="AS6" s="16">
        <f t="shared" si="3"/>
        <v>0</v>
      </c>
      <c r="AT6" s="20">
        <f>IF(C3="是",ROUND($A$3*AT5/$B$3,2),0)</f>
        <v>10589.38</v>
      </c>
      <c r="AU6" s="1775"/>
      <c r="AV6" s="15" t="s">
        <v>1757</v>
      </c>
      <c r="AW6" s="1773"/>
      <c r="AX6" s="1773"/>
      <c r="AY6" s="21">
        <f>IF(AY3&gt;0,AY3,ROUND($A$3*AZ5/$B$3,2))</f>
        <v>62231.63</v>
      </c>
      <c r="AZ6" s="16" t="s">
        <v>3</v>
      </c>
      <c r="BA6" s="16">
        <f>ROUND($AY$6*BA5/$AZ$5,2)</f>
        <v>62231.63</v>
      </c>
      <c r="BB6" s="16">
        <f>ROUND($AY$6*BB5/$AZ$5,2)</f>
        <v>62231.63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3164</v>
      </c>
      <c r="J9" s="918"/>
      <c r="K9" s="1790" t="s">
        <v>3164</v>
      </c>
      <c r="L9" s="918"/>
      <c r="M9" s="1790" t="s">
        <v>3167</v>
      </c>
      <c r="N9" s="918"/>
      <c r="O9" s="1790" t="s">
        <v>3167</v>
      </c>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3065</v>
      </c>
      <c r="J10" s="918"/>
      <c r="K10" s="1790" t="s">
        <v>3065</v>
      </c>
      <c r="L10" s="918"/>
      <c r="M10" s="1796" t="s">
        <v>3168</v>
      </c>
      <c r="N10" s="918"/>
      <c r="O10" s="1796" t="s">
        <v>3170</v>
      </c>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3162</v>
      </c>
      <c r="J11" s="1802"/>
      <c r="K11" s="1801" t="s">
        <v>3166</v>
      </c>
      <c r="L11" s="1802"/>
      <c r="M11" s="1801" t="s">
        <v>3169</v>
      </c>
      <c r="N11" s="1802"/>
      <c r="O11" s="1801" t="s">
        <v>3170</v>
      </c>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住宅</v>
      </c>
      <c r="BC11" s="1786" t="str">
        <f>K10</f>
        <v>住宅</v>
      </c>
      <c r="BD11" s="1786" t="str">
        <f>M10</f>
        <v>仓储</v>
      </c>
      <c r="BE11" s="1786" t="str">
        <f>O10</f>
        <v>车库</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自持住宅</v>
      </c>
      <c r="BC12" s="1811" t="str">
        <f>K11</f>
        <v>平层住宅</v>
      </c>
      <c r="BD12" s="1811" t="str">
        <f>M11</f>
        <v>戊类库房</v>
      </c>
      <c r="BE12" s="1786" t="str">
        <f>O11</f>
        <v>车库</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t="s">
        <v>3165</v>
      </c>
      <c r="D13" s="1812" t="s">
        <v>3160</v>
      </c>
      <c r="E13" s="16">
        <f>IF($C$3="是",ROUND($A$3*G13/$B$3,2),ROUND($A$3*(G13-AT13)/$B$3,2))</f>
        <v>62231.63</v>
      </c>
      <c r="F13" s="32"/>
      <c r="G13" s="33">
        <f>H13+AC13+AT13</f>
        <v>77547</v>
      </c>
      <c r="H13" s="20">
        <f>SUMIF(I$12:AB$12,"总值",I13:AB13)</f>
        <v>77547</v>
      </c>
      <c r="I13" s="1813">
        <v>77547</v>
      </c>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1368套</v>
      </c>
      <c r="AY13" s="1535">
        <f>ROUND($AY$6*AZ13/$AZ$5,2)</f>
        <v>62231.63</v>
      </c>
      <c r="AZ13" s="16">
        <f>BA13+BL13</f>
        <v>77547</v>
      </c>
      <c r="BA13" s="16">
        <f>SUM(BB13:BK13)</f>
        <v>77547</v>
      </c>
      <c r="BB13" s="16">
        <f>IF($D13="是",I13-J13,0)</f>
        <v>77547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1757"/>
      <c r="D14" s="1812" t="s">
        <v>3161</v>
      </c>
      <c r="E14" s="16">
        <f>IF($C$3="是",ROUND($A$3*G14/$B$3,2),ROUND($A$3*(G14-AT14)/$B$3,2))</f>
        <v>85052.73</v>
      </c>
      <c r="F14" s="32"/>
      <c r="G14" s="33">
        <f>H14+AC14+AT14</f>
        <v>105984.41999999998</v>
      </c>
      <c r="H14" s="20">
        <f>SUMIF(I$12:AB$12,"总值",I14:AB14)</f>
        <v>75658.109999999986</v>
      </c>
      <c r="I14" s="1813">
        <f>首开保利熙悦林语!D34-I13</f>
        <v>1437.1199999999953</v>
      </c>
      <c r="J14" s="1813"/>
      <c r="K14" s="1813">
        <f>首开保利熙悦林语!D6+首开保利熙悦林语!D7+首开保利熙悦林语!D10+首开保利熙悦林语!D11+首开保利熙悦林语!D12+首开保利熙悦林语!D28+首开保利熙悦林语!D29</f>
        <v>35299.979999999996</v>
      </c>
      <c r="L14" s="1813"/>
      <c r="M14" s="1813">
        <f>首开保利熙悦林语!E13+首开保利熙悦林语!E31</f>
        <v>7990.8</v>
      </c>
      <c r="N14" s="1813"/>
      <c r="O14" s="1813">
        <f>首开保利熙悦林语!F13+首开保利熙悦林语!F31</f>
        <v>30930.21</v>
      </c>
      <c r="P14" s="1813"/>
      <c r="Q14" s="1813"/>
      <c r="R14" s="1813"/>
      <c r="S14" s="1813"/>
      <c r="T14" s="1813"/>
      <c r="U14" s="1813"/>
      <c r="V14" s="1813"/>
      <c r="W14" s="1813"/>
      <c r="X14" s="1813"/>
      <c r="Y14" s="1813"/>
      <c r="Z14" s="1813"/>
      <c r="AA14" s="1813"/>
      <c r="AB14" s="1813"/>
      <c r="AC14" s="16">
        <f>SUMIF(AD$12:AS$12,"总值",AD14:AS14)</f>
        <v>17130.86</v>
      </c>
      <c r="AD14" s="1814">
        <f>首开保利熙悦林语!I19+首开保利熙悦林语!I30</f>
        <v>1118.5999999999999</v>
      </c>
      <c r="AE14" s="1814"/>
      <c r="AF14" s="1814">
        <f>首开保利熙悦林语!J13+首开保利熙悦林语!J19+首开保利熙悦林语!J31</f>
        <v>4588.7000000000007</v>
      </c>
      <c r="AG14" s="1814"/>
      <c r="AH14" s="1814">
        <f>首开保利熙悦林语!G19</f>
        <v>100</v>
      </c>
      <c r="AI14" s="1814"/>
      <c r="AJ14" s="1814">
        <f>首开保利熙悦林语!H19</f>
        <v>200</v>
      </c>
      <c r="AK14" s="1814"/>
      <c r="AL14" s="1814">
        <f>首开保利熙悦林语!L18</f>
        <v>45.3</v>
      </c>
      <c r="AM14" s="1814"/>
      <c r="AN14" s="1814">
        <f>首开保利熙悦林语!K13+首开保利熙悦林语!K31</f>
        <v>11078.259999999998</v>
      </c>
      <c r="AO14" s="1814"/>
      <c r="AP14" s="1814"/>
      <c r="AQ14" s="1814"/>
      <c r="AR14" s="1814"/>
      <c r="AS14" s="1814"/>
      <c r="AT14" s="1815">
        <f>SUM(首开保利熙悦林语!M13:M17)+首开保利熙悦林语!M31+首开保利熙悦林语!M32</f>
        <v>13195.449999999997</v>
      </c>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3" sqref="I43"/>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39" t="s">
        <v>1816</v>
      </c>
      <c r="B2" s="3139"/>
      <c r="C2" s="3139"/>
      <c r="D2" s="904" t="s">
        <v>1792</v>
      </c>
      <c r="E2" s="1826" t="s">
        <v>1793</v>
      </c>
      <c r="F2" s="2888"/>
      <c r="G2" s="2879"/>
      <c r="H2" s="2880"/>
      <c r="I2" s="2550" t="s">
        <v>1817</v>
      </c>
      <c r="J2" s="2888"/>
      <c r="K2" s="2888"/>
      <c r="L2" s="2888"/>
      <c r="M2" s="2888"/>
      <c r="N2" s="2890"/>
      <c r="O2" s="2888"/>
      <c r="P2" s="2888"/>
    </row>
    <row r="3" spans="1:16" ht="15.75" thickBot="1">
      <c r="A3" s="3140" t="s">
        <v>1790</v>
      </c>
      <c r="B3" s="3140"/>
      <c r="C3" s="3140"/>
      <c r="D3" s="46">
        <f>'数据-基础表'!AY6</f>
        <v>62231.63</v>
      </c>
      <c r="E3" s="46">
        <f>'数据-基础表'!AZ5</f>
        <v>77547</v>
      </c>
      <c r="F3" s="2888"/>
      <c r="G3" s="1307"/>
      <c r="H3" s="1157" t="s">
        <v>1791</v>
      </c>
      <c r="I3" s="964">
        <f>ROUND('数据-基础表'!B3/'数据-基础表'!A3,2)</f>
        <v>1.25</v>
      </c>
      <c r="J3" s="2888"/>
      <c r="K3" s="2888"/>
      <c r="L3" s="2888"/>
      <c r="M3" s="2888"/>
      <c r="N3" s="2890"/>
      <c r="O3" s="2888"/>
      <c r="P3" s="2888"/>
    </row>
    <row r="4" spans="1:16" ht="15">
      <c r="A4" s="3141"/>
      <c r="B4" s="3142"/>
      <c r="C4" s="3143"/>
      <c r="D4" s="1828" t="s">
        <v>1792</v>
      </c>
      <c r="E4" s="1829" t="s">
        <v>1793</v>
      </c>
      <c r="F4" s="2888"/>
      <c r="G4" s="2881" t="s">
        <v>1818</v>
      </c>
      <c r="H4" s="1157" t="s">
        <v>1798</v>
      </c>
      <c r="I4" s="964">
        <f>ROUND(SUMIF('数据-基础表'!I9:AS9,"地上",'数据-基础表'!I5:AS5)/'数据-基础表'!A3,2)</f>
        <v>0.78</v>
      </c>
      <c r="J4" s="2888"/>
      <c r="K4" s="2888"/>
      <c r="L4" s="2888"/>
      <c r="M4" s="2888"/>
      <c r="N4" s="2890"/>
      <c r="O4" s="2888"/>
      <c r="P4" s="2888"/>
    </row>
    <row r="5" spans="1:16">
      <c r="A5" s="47" t="s">
        <v>1794</v>
      </c>
      <c r="B5" s="3144" t="s">
        <v>1795</v>
      </c>
      <c r="C5" s="3144"/>
      <c r="D5" s="48">
        <f>ROUND($D$3*E5/$E$3,2)</f>
        <v>62231.63</v>
      </c>
      <c r="E5" s="49">
        <f>SUMIF('数据-基础表'!$11:$11,"住宅",'数据-基础表'!$5:$5)</f>
        <v>77547</v>
      </c>
      <c r="F5" s="2888"/>
      <c r="G5" s="1307"/>
      <c r="H5" s="1157" t="s">
        <v>1791</v>
      </c>
      <c r="I5" s="964">
        <f>ROUND(E31/D31,2)</f>
        <v>1.25</v>
      </c>
      <c r="J5" s="2888"/>
      <c r="K5" s="2888"/>
      <c r="L5" s="2888"/>
      <c r="M5" s="2888"/>
      <c r="N5" s="2888"/>
      <c r="O5" s="2888"/>
      <c r="P5" s="2888"/>
    </row>
    <row r="6" spans="1:16" ht="15" thickBot="1">
      <c r="A6" s="1831"/>
      <c r="B6" s="3144" t="s">
        <v>1796</v>
      </c>
      <c r="C6" s="3144"/>
      <c r="D6" s="48">
        <f>ROUND($D$3*E6/$E$3,2)</f>
        <v>0</v>
      </c>
      <c r="E6" s="49">
        <f>E3-E5</f>
        <v>0</v>
      </c>
      <c r="F6" s="2888"/>
      <c r="G6" s="2882" t="s">
        <v>1797</v>
      </c>
      <c r="H6" s="1308" t="s">
        <v>1798</v>
      </c>
      <c r="I6" s="2883">
        <f>ROUND(F31/D31,2)</f>
        <v>1.25</v>
      </c>
      <c r="J6" s="2888"/>
      <c r="K6" s="2888"/>
      <c r="L6" s="2888"/>
      <c r="M6" s="2888"/>
      <c r="N6" s="2888"/>
      <c r="O6" s="2888"/>
      <c r="P6" s="2888"/>
    </row>
    <row r="7" spans="1:16" ht="15.75" thickBot="1">
      <c r="A7" s="3136"/>
      <c r="B7" s="3137"/>
      <c r="C7" s="3138"/>
      <c r="D7" s="1828" t="s">
        <v>1792</v>
      </c>
      <c r="E7" s="1832" t="s">
        <v>1799</v>
      </c>
      <c r="F7" s="2888"/>
      <c r="G7" s="2884" t="s">
        <v>1800</v>
      </c>
      <c r="H7" s="2885"/>
      <c r="I7" s="2886"/>
      <c r="J7" s="2888"/>
      <c r="K7" s="2888"/>
      <c r="L7" s="2888"/>
      <c r="M7" s="2888"/>
      <c r="N7" s="2888"/>
      <c r="O7" s="2888"/>
      <c r="P7" s="2888"/>
    </row>
    <row r="8" spans="1:16">
      <c r="A8" s="47" t="s">
        <v>1801</v>
      </c>
      <c r="B8" s="50" t="s">
        <v>1802</v>
      </c>
      <c r="C8" s="48" t="s">
        <v>1803</v>
      </c>
      <c r="D8" s="48">
        <f t="shared" ref="D8:D15" si="0">ROUND($D$3*E8/$E$3,2)</f>
        <v>62231.63</v>
      </c>
      <c r="E8" s="51">
        <f>SUMIF('数据-基础表'!BB10:BK10,"地上",'数据-基础表'!BB5:BK5)</f>
        <v>77547</v>
      </c>
      <c r="F8" s="2888"/>
      <c r="G8" s="2889"/>
      <c r="H8" s="2889"/>
      <c r="I8" s="2888"/>
      <c r="J8" s="2888"/>
      <c r="K8" s="2888"/>
      <c r="L8" s="2888"/>
      <c r="M8" s="2888"/>
      <c r="N8" s="2888"/>
      <c r="O8" s="2888"/>
      <c r="P8" s="2888"/>
    </row>
    <row r="9" spans="1:16">
      <c r="A9" s="1833"/>
      <c r="B9" s="1834"/>
      <c r="C9" s="48" t="s">
        <v>1804</v>
      </c>
      <c r="D9" s="48">
        <f t="shared" si="0"/>
        <v>0</v>
      </c>
      <c r="E9" s="52">
        <v>0</v>
      </c>
      <c r="F9" s="2888"/>
      <c r="G9" s="2889"/>
      <c r="H9" s="2889"/>
      <c r="I9" s="2888"/>
      <c r="J9" s="2888"/>
      <c r="K9" s="2888"/>
      <c r="L9" s="2888"/>
      <c r="M9" s="2888"/>
      <c r="N9" s="2888"/>
      <c r="O9" s="2888"/>
      <c r="P9" s="2888"/>
    </row>
    <row r="10" spans="1:16">
      <c r="A10" s="1833"/>
      <c r="B10" s="1834"/>
      <c r="C10" s="48" t="s">
        <v>1813</v>
      </c>
      <c r="D10" s="48">
        <f t="shared" si="0"/>
        <v>0</v>
      </c>
      <c r="E10" s="51">
        <f>SUMPRODUCT(('数据-基础表'!BB10:BK10="地下")*('数据-基础表'!BB11:BK11="商业")*('数据-基础表'!BB5:BK5))</f>
        <v>0</v>
      </c>
      <c r="F10" s="2888"/>
      <c r="G10" s="2889"/>
      <c r="H10" s="2889"/>
      <c r="I10" s="2888"/>
      <c r="J10" s="2888"/>
      <c r="K10" s="2888"/>
      <c r="L10" s="2888"/>
      <c r="M10" s="2888"/>
      <c r="N10" s="2888"/>
      <c r="O10" s="2888"/>
      <c r="P10" s="2888"/>
    </row>
    <row r="11" spans="1:16">
      <c r="A11" s="1833"/>
      <c r="B11" s="1834"/>
      <c r="C11" s="48" t="s">
        <v>1805</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1806</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1807</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1819</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1814</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1808</v>
      </c>
      <c r="D16" s="50">
        <f>SUM(D8:D15)</f>
        <v>62231.63</v>
      </c>
      <c r="E16" s="53">
        <f>SUM(E8:E15)</f>
        <v>77547</v>
      </c>
      <c r="F16" s="2888"/>
      <c r="G16" s="2889"/>
      <c r="H16" s="1835" t="s">
        <v>1820</v>
      </c>
      <c r="I16" s="1836"/>
      <c r="J16" s="1301"/>
      <c r="K16" s="3133" t="s">
        <v>1820</v>
      </c>
      <c r="L16" s="3134"/>
      <c r="M16" s="3134"/>
      <c r="N16" s="3134"/>
      <c r="O16" s="3134"/>
      <c r="P16" s="3135"/>
    </row>
    <row r="17" spans="1:19" ht="15">
      <c r="A17" s="1837" t="s">
        <v>1821</v>
      </c>
      <c r="B17" s="1838" t="s">
        <v>1822</v>
      </c>
      <c r="C17" s="1839" t="s">
        <v>1823</v>
      </c>
      <c r="D17" s="1840" t="s">
        <v>1811</v>
      </c>
      <c r="E17" s="1841" t="s">
        <v>1812</v>
      </c>
      <c r="F17" s="1842"/>
      <c r="G17" s="1843"/>
      <c r="H17" s="1844" t="s">
        <v>1824</v>
      </c>
      <c r="I17" s="1845" t="s">
        <v>1809</v>
      </c>
      <c r="J17" s="1301"/>
      <c r="K17" s="3130" t="s">
        <v>1825</v>
      </c>
      <c r="L17" s="3131"/>
      <c r="M17" s="3132"/>
      <c r="N17" s="3130" t="s">
        <v>1826</v>
      </c>
      <c r="O17" s="3131"/>
      <c r="P17" s="3132"/>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397" t="s">
        <v>3171</v>
      </c>
      <c r="D19" s="48">
        <f>ROUND($D$3*E19/$E$3,2)</f>
        <v>62231.63</v>
      </c>
      <c r="E19" s="56">
        <f t="shared" ref="E19:E26" si="1">SUM(F19:G19)</f>
        <v>77547</v>
      </c>
      <c r="F19" s="3028">
        <f>'数据-基础表'!I13</f>
        <v>77547</v>
      </c>
      <c r="G19" s="3029"/>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62231.63</v>
      </c>
      <c r="S19" s="1158">
        <f t="shared" si="5"/>
        <v>77547</v>
      </c>
    </row>
    <row r="20" spans="1:19">
      <c r="A20" s="1858"/>
      <c r="B20" s="50" t="s">
        <v>1838</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62231.63</v>
      </c>
      <c r="E27" s="1303">
        <f>IF(SUM(E19:E26)='数据-基础表'!BA5,SUM(E19:E26),IF(F27="地上面积有误","面积有误","地下面积有误"))</f>
        <v>77547</v>
      </c>
      <c r="F27" s="1302">
        <f>IF(SUM(F19:F26)=E8,SUM(F19:F26),"地上面积有误")</f>
        <v>77547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62231.63</v>
      </c>
      <c r="S27" s="1157">
        <f>IF(SUM(S19:S26)=$E$3,SUM(S19:S26),SUM(S19:S26)&amp;"误差"&amp;ROUND(SUM(S19:S26)-E3,2))</f>
        <v>77547</v>
      </c>
    </row>
    <row r="28" spans="1:19">
      <c r="A28" s="1858"/>
      <c r="B28" s="50" t="s">
        <v>1840</v>
      </c>
      <c r="C28" s="1169" t="s">
        <v>1841</v>
      </c>
      <c r="D28" s="48">
        <f>ROUND($D$3*E28/$E$3,2)</f>
        <v>0</v>
      </c>
      <c r="E28" s="56">
        <f>SUM(F28:G28)</f>
        <v>0</v>
      </c>
      <c r="F28" s="60">
        <f>'数据-基础表'!BQ5+'数据-基础表'!BS5</f>
        <v>0</v>
      </c>
      <c r="G28" s="61">
        <f>'数据-基础表'!BR5+'数据-基础表'!BT5</f>
        <v>0</v>
      </c>
      <c r="H28" s="2888"/>
      <c r="I28" s="2888"/>
      <c r="J28" s="2888"/>
      <c r="K28" s="2888"/>
      <c r="L28" s="2888"/>
      <c r="M28" s="2888"/>
      <c r="N28" s="2888"/>
      <c r="O28" s="2888"/>
      <c r="P28" s="2888"/>
    </row>
    <row r="29" spans="1:19">
      <c r="A29" s="1858"/>
      <c r="B29" s="50" t="s">
        <v>1840</v>
      </c>
      <c r="C29" s="1862" t="s">
        <v>1842</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1839</v>
      </c>
      <c r="D30" s="1302">
        <f>SUM(D28:D29)</f>
        <v>0</v>
      </c>
      <c r="E30" s="1302">
        <f>SUM(E28:E29)</f>
        <v>0</v>
      </c>
      <c r="F30" s="1302">
        <f>SUM(F28:F29)</f>
        <v>0</v>
      </c>
      <c r="G30" s="1304">
        <f>SUM(G28:G29)</f>
        <v>0</v>
      </c>
      <c r="H30" s="2888"/>
      <c r="I30" s="2888"/>
      <c r="J30" s="2888"/>
      <c r="K30" s="2888"/>
      <c r="L30" s="2888"/>
      <c r="M30" s="2888"/>
      <c r="N30" s="2888"/>
      <c r="O30" s="2888"/>
      <c r="P30" s="2888"/>
    </row>
    <row r="31" spans="1:19" ht="15.75" thickBot="1">
      <c r="A31" s="1864"/>
      <c r="B31" s="1865"/>
      <c r="C31" s="944" t="s">
        <v>1843</v>
      </c>
      <c r="D31" s="685">
        <f>D27+D30</f>
        <v>62231.63</v>
      </c>
      <c r="E31" s="685">
        <f>E27+E30</f>
        <v>77547</v>
      </c>
      <c r="F31" s="686">
        <f>F27+F30</f>
        <v>77547</v>
      </c>
      <c r="G31" s="687">
        <f>G27+G30</f>
        <v>0</v>
      </c>
      <c r="H31" s="2888"/>
      <c r="I31" s="2888"/>
      <c r="J31" s="2888"/>
      <c r="K31" s="2888"/>
      <c r="L31" s="2888"/>
      <c r="M31" s="2888"/>
      <c r="N31" s="2888"/>
      <c r="O31" s="2888"/>
      <c r="P31" s="2888"/>
    </row>
    <row r="32" spans="1:19">
      <c r="A32" s="1830"/>
      <c r="B32" s="1830" t="s">
        <v>1844</v>
      </c>
      <c r="C32" s="1830"/>
      <c r="D32" s="1830"/>
      <c r="E32" s="1184">
        <f>SUMIF(C19:C26,"*住宅*",E19:E26)</f>
        <v>77547</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O51" sqref="O5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1846</v>
      </c>
      <c r="B2" s="1176">
        <f>项目基本情况!D3</f>
        <v>44562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7"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3172</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自持住宅</v>
      </c>
      <c r="B6" s="1901" t="str">
        <f>IF(A6=0,"","经营性")</f>
        <v>经营性</v>
      </c>
      <c r="C6" s="1902" t="s">
        <v>3065</v>
      </c>
      <c r="D6" s="967">
        <f>SUMIF(项目基本情况!D$12:I$12,C6,项目基本情况!D$14:I$14)</f>
        <v>70</v>
      </c>
      <c r="E6" s="966">
        <f>IF(B6="","",SUMIF(项目基本情况!D$12:I$12,C6,项目基本情况!D$13:I$13))</f>
        <v>68443</v>
      </c>
      <c r="F6" s="68">
        <f>SUMIF(项目基本情况!D$12:I$12,C6,项目基本情况!D$15:I$15)</f>
        <v>65.42</v>
      </c>
      <c r="G6" s="69">
        <f>IF(ISERROR(ROUND(POWER(1+H6,D6-F6)*(POWER(1+H6,F6)-1)/(POWER(1+H6,D6)-1),3)),0,ROUND(POWER(1+H6,D6-F6)*(POWER(1+H6,F6)-1)/(POWER(1+H6,D6)-1),3))</f>
        <v>0.98599999999999999</v>
      </c>
      <c r="H6" s="741">
        <v>0.04</v>
      </c>
      <c r="I6" s="741">
        <v>4.4999999999999998E-2</v>
      </c>
      <c r="J6" s="70">
        <v>8.5000000000000006E-2</v>
      </c>
      <c r="K6" s="1161">
        <f>SUMIF('数据-汇总表'!C$19:C$33,A6,'数据-汇总表'!E$19:E$33)</f>
        <v>77547</v>
      </c>
      <c r="L6" s="742">
        <v>3800</v>
      </c>
      <c r="M6" s="71">
        <f t="shared" ref="M6:M14" si="0">ROUND(K6*L6/10000,0)</f>
        <v>29468</v>
      </c>
      <c r="N6" s="740">
        <v>1</v>
      </c>
      <c r="O6" s="71" t="str">
        <f>IF($N$5="成新度","——",ROUND(M6*N6,0))</f>
        <v>——</v>
      </c>
      <c r="P6" s="72" t="str">
        <f>IF($N$5="成新度","——",M6-O6)</f>
        <v>——</v>
      </c>
      <c r="Q6" s="743">
        <v>0.05</v>
      </c>
      <c r="R6" s="73">
        <f ca="1">SUMIF('数据-汇总表'!C$19:C$33,A6,'数据-汇总表'!R$19:R$27)</f>
        <v>62231.63</v>
      </c>
      <c r="S6" s="54">
        <f>IF('数据-汇总表'!$I$17="按面积比例",SUMIF('数据-汇总表'!C$19:C$33,A6,'数据-汇总表'!K$19:K$33),SUMIF('数据-汇总表'!C$19:C$33,A6,'数据-汇总表'!N$19:N$33))</f>
        <v>0</v>
      </c>
      <c r="T6" s="1334">
        <f>ROUND($L$14*S6/10000,0)</f>
        <v>0</v>
      </c>
      <c r="U6" s="74">
        <v>2.5</v>
      </c>
      <c r="V6" s="75">
        <v>1.4999999999999999E-2</v>
      </c>
      <c r="W6" s="75">
        <v>0.1</v>
      </c>
      <c r="X6" s="1171"/>
      <c r="Y6" s="76">
        <v>1</v>
      </c>
      <c r="Z6" s="77"/>
      <c r="AA6" s="70"/>
      <c r="AB6" s="70"/>
      <c r="AC6" s="1171"/>
      <c r="AD6" s="78"/>
      <c r="AE6" s="1172">
        <f ca="1">IF(AN6="",0,SUMIF(INDIRECT("'"&amp;AN6&amp;"'"&amp;"!E:E"),$AE$5,INDIRECT("'"&amp;AN6&amp;"'"&amp;"!F:F")))</f>
        <v>65.42</v>
      </c>
      <c r="AF6" s="1534"/>
      <c r="AG6" s="143">
        <f>IF(AF6="",0,AE6-AF6)</f>
        <v>0</v>
      </c>
      <c r="AH6" s="79"/>
      <c r="AI6" s="81">
        <v>365</v>
      </c>
      <c r="AJ6" s="82"/>
      <c r="AK6" s="83">
        <v>1.4999999999999999E-2</v>
      </c>
      <c r="AL6" s="84">
        <v>1.5E-3</v>
      </c>
      <c r="AM6" s="85">
        <v>1.4999999999999999E-2</v>
      </c>
      <c r="AN6" s="1903" t="s">
        <v>3648</v>
      </c>
      <c r="AO6" s="55">
        <f ca="1">SUMIF(INDIRECT("'"&amp;AN6&amp;"'"&amp;"!A:A"),"总价",INDIRECT("'"&amp;AN6&amp;"'"&amp;"!B:B"))</f>
        <v>128682</v>
      </c>
      <c r="AP6" s="1904">
        <f>IF(C6="住宅",K6*L6,0)</f>
        <v>294678600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0.98599999999999999</v>
      </c>
      <c r="H16" s="95">
        <f>ROUND(SUMPRODUCT(H6:H13,K6:K13)/SUMPRODUCT((H6:H13&gt;0)*(K6:K13)),3)</f>
        <v>0.04</v>
      </c>
      <c r="I16" s="96"/>
      <c r="J16" s="96"/>
      <c r="K16" s="97">
        <f>SUM(K6:K15)</f>
        <v>77547</v>
      </c>
      <c r="L16" s="98">
        <f>ROUND(M16*10000/SUM(K6:K14),0)</f>
        <v>3800</v>
      </c>
      <c r="M16" s="98">
        <f>SUM(M6:M14)</f>
        <v>29468</v>
      </c>
      <c r="N16" s="99">
        <f>ROUND(SUMPRODUCT(M6:M14,N6:N14)/M16,3)</f>
        <v>1</v>
      </c>
      <c r="O16" s="98">
        <f>SUM(O6:O14)</f>
        <v>0</v>
      </c>
      <c r="P16" s="98">
        <f>SUM(P6:P14)</f>
        <v>0</v>
      </c>
      <c r="Q16" s="100">
        <f>ROUND(SUMPRODUCT(Q6:Q13,K6:K13)/SUMPRODUCT((Q6:Q13&gt;0)*(K6:K13)),2)</f>
        <v>0.05</v>
      </c>
      <c r="R16" s="1165">
        <f ca="1">SUM(R6:R13)</f>
        <v>62231.63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1895</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1896</v>
      </c>
      <c r="B19" s="108">
        <v>2</v>
      </c>
      <c r="C19" s="3032" t="s">
        <v>3053</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1897</v>
      </c>
      <c r="B20" s="109">
        <v>2</v>
      </c>
      <c r="C20" s="3033" t="s">
        <v>3051</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1898</v>
      </c>
      <c r="B21" s="109">
        <v>0</v>
      </c>
      <c r="C21" s="2904"/>
      <c r="D21" s="2907"/>
      <c r="E21" s="2904"/>
      <c r="F21" s="2904"/>
      <c r="G21" s="2904"/>
      <c r="H21" s="2904"/>
      <c r="I21" s="2904"/>
      <c r="J21" s="2904"/>
      <c r="K21" s="2903"/>
      <c r="L21" s="2903"/>
      <c r="M21" s="2902"/>
      <c r="N21" s="2902"/>
      <c r="O21" s="2902"/>
      <c r="P21" s="2902"/>
      <c r="Q21" s="2902"/>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1899</v>
      </c>
      <c r="B22" s="110">
        <f>B19+B20</f>
        <v>4</v>
      </c>
      <c r="C22" s="2904"/>
      <c r="D22" s="2907"/>
      <c r="E22" s="2904"/>
      <c r="F22" s="2904"/>
      <c r="G22" s="2904"/>
      <c r="H22" s="2904"/>
      <c r="I22" s="2904"/>
      <c r="J22" s="2904"/>
      <c r="K22" s="2903"/>
      <c r="L22" s="2903"/>
      <c r="M22" s="2902"/>
      <c r="N22" s="2902"/>
      <c r="O22" s="2902"/>
      <c r="P22" s="2902"/>
      <c r="Q22" s="2902"/>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1900</v>
      </c>
      <c r="B23" s="110">
        <f>B19+B21</f>
        <v>2</v>
      </c>
      <c r="C23" s="2904"/>
      <c r="D23" s="2907"/>
      <c r="E23" s="2904"/>
      <c r="F23" s="2904"/>
      <c r="G23" s="2904"/>
      <c r="H23" s="2904"/>
      <c r="I23" s="2904"/>
      <c r="J23" s="2904"/>
      <c r="K23" s="2903"/>
      <c r="L23" s="2903"/>
      <c r="M23" s="2902"/>
      <c r="N23" s="2902"/>
      <c r="O23" s="2902"/>
      <c r="P23" s="2902"/>
      <c r="Q23" s="2902"/>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1901</v>
      </c>
      <c r="B24" s="111">
        <f>B20-B21</f>
        <v>2</v>
      </c>
      <c r="C24" s="2904"/>
      <c r="D24" s="2907"/>
      <c r="E24" s="2904"/>
      <c r="F24" s="2904"/>
      <c r="G24" s="2904"/>
      <c r="H24" s="2904"/>
      <c r="I24" s="2904"/>
      <c r="J24" s="2904"/>
      <c r="K24" s="2903"/>
      <c r="L24" s="2903"/>
      <c r="M24" s="2902"/>
      <c r="N24" s="2902"/>
      <c r="O24" s="2902"/>
      <c r="P24" s="2902"/>
      <c r="Q24" s="2902"/>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1902</v>
      </c>
      <c r="B26" s="1914" t="s">
        <v>1903</v>
      </c>
      <c r="C26" s="2908"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1905</v>
      </c>
      <c r="B27" s="112">
        <v>160</v>
      </c>
      <c r="C27" s="3034" t="s">
        <v>3055</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成本法!C9+成本法!C10</f>
        <v>1241</v>
      </c>
      <c r="C29" s="3035" t="s">
        <v>3041</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6" t="s">
        <v>3042</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0.05</v>
      </c>
      <c r="C34" s="3036" t="s">
        <v>3043</v>
      </c>
      <c r="D34" s="2915" t="s">
        <v>3052</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6" t="s">
        <v>3044</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6" t="s">
        <v>3045</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1915</v>
      </c>
      <c r="B37" s="120">
        <v>0.02</v>
      </c>
      <c r="C37" s="3036" t="s">
        <v>3046</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1916</v>
      </c>
      <c r="B38" s="118">
        <v>0.02</v>
      </c>
      <c r="C38" s="3036" t="s">
        <v>3046</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1917</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1918</v>
      </c>
      <c r="B40" s="1210">
        <f ca="1">存贷款利率!G1</f>
        <v>4.7500000000000001E-2</v>
      </c>
      <c r="C40" s="3036" t="s">
        <v>3047</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1919</v>
      </c>
      <c r="B41" s="121">
        <f>B42+B43</f>
        <v>5.5000000000000007E-2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1920</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1921</v>
      </c>
      <c r="B43" s="123">
        <f>B42*(B44+B45+B46)+B47</f>
        <v>5.000000000000001E-3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1922</v>
      </c>
      <c r="B44" s="124">
        <v>0.05</v>
      </c>
      <c r="C44" s="3036" t="s">
        <v>3056</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1923</v>
      </c>
      <c r="B45" s="122">
        <v>0.03</v>
      </c>
      <c r="C45" s="3035" t="s">
        <v>3048</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1924</v>
      </c>
      <c r="B46" s="122">
        <v>0.02</v>
      </c>
      <c r="C46" s="3035" t="s">
        <v>3049</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1925</v>
      </c>
      <c r="B47" s="125">
        <v>0</v>
      </c>
      <c r="C47" s="3038" t="s">
        <v>3057</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1926</v>
      </c>
      <c r="B48" s="126">
        <v>0.03</v>
      </c>
      <c r="C48" s="3035" t="s">
        <v>3048</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1927</v>
      </c>
      <c r="B49" s="122">
        <v>5.0000000000000001E-4</v>
      </c>
      <c r="C49" s="3035" t="s">
        <v>3050</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1928</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1929</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1930</v>
      </c>
      <c r="B52" s="129">
        <f>SUMIF(A54:A63,B53,B54:B63)</f>
        <v>1.5</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1931</v>
      </c>
      <c r="B53" s="1926" t="s">
        <v>56</v>
      </c>
      <c r="C53" s="2890" t="s">
        <v>1932</v>
      </c>
      <c r="D53" s="3037" t="s">
        <v>3054</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1933</v>
      </c>
      <c r="B54" s="80"/>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1934</v>
      </c>
      <c r="B55" s="80"/>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1935</v>
      </c>
      <c r="B56" s="80"/>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1936</v>
      </c>
      <c r="B57" s="80"/>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1937</v>
      </c>
      <c r="B58" s="80"/>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1938</v>
      </c>
      <c r="B59" s="80">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1939</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1940</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1941</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1942</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45" t="s">
        <v>3033</v>
      </c>
      <c r="B1" s="3146"/>
      <c r="C1" s="3146"/>
      <c r="D1" s="3146"/>
      <c r="E1" s="3146"/>
      <c r="F1" s="3146"/>
      <c r="G1" s="314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3028</v>
      </c>
      <c r="D2" s="2689"/>
      <c r="E2" s="2686"/>
      <c r="F2" s="2690"/>
      <c r="G2" s="2688" t="s">
        <v>3029</v>
      </c>
      <c r="H2" s="907"/>
      <c r="I2" s="907"/>
      <c r="J2" s="907"/>
      <c r="K2" s="907"/>
      <c r="L2" s="907"/>
      <c r="M2" s="907"/>
      <c r="N2" s="907"/>
      <c r="O2" s="907"/>
      <c r="P2" s="907"/>
      <c r="Q2" s="907"/>
      <c r="R2" s="907"/>
    </row>
    <row r="3" spans="1:29" ht="48">
      <c r="A3" s="2669" t="s">
        <v>3030</v>
      </c>
      <c r="B3" s="2691" t="s">
        <v>2999</v>
      </c>
      <c r="C3" s="2692" t="s">
        <v>3031</v>
      </c>
      <c r="D3" s="2693"/>
      <c r="E3" s="2670" t="s">
        <v>3030</v>
      </c>
      <c r="F3" s="2694" t="s">
        <v>3000</v>
      </c>
      <c r="G3" s="2695" t="s">
        <v>3032</v>
      </c>
      <c r="H3" s="907"/>
      <c r="I3" s="907"/>
      <c r="J3" s="907"/>
      <c r="K3" s="907"/>
      <c r="L3" s="907"/>
      <c r="M3" s="907"/>
      <c r="N3" s="907"/>
      <c r="O3" s="907"/>
      <c r="P3" s="907"/>
      <c r="Q3" s="907"/>
      <c r="R3" s="907"/>
    </row>
    <row r="4" spans="1:29" ht="36.75">
      <c r="A4" s="2670"/>
      <c r="B4" s="329" t="s">
        <v>3001</v>
      </c>
      <c r="C4" s="2696" t="s">
        <v>3002</v>
      </c>
      <c r="D4" s="2693"/>
      <c r="E4" s="2697"/>
      <c r="F4" s="1559" t="s">
        <v>3003</v>
      </c>
      <c r="G4" s="2698" t="s">
        <v>3004</v>
      </c>
      <c r="H4" s="907"/>
      <c r="I4" s="907"/>
      <c r="J4" s="907"/>
      <c r="K4" s="907"/>
      <c r="L4" s="907"/>
      <c r="M4" s="907"/>
      <c r="N4" s="907"/>
      <c r="O4" s="907"/>
      <c r="P4" s="907"/>
      <c r="Q4" s="907"/>
      <c r="R4" s="907"/>
    </row>
    <row r="5" spans="1:29" ht="36.75">
      <c r="A5" s="2670"/>
      <c r="B5" s="329" t="s">
        <v>3005</v>
      </c>
      <c r="C5" s="2696" t="s">
        <v>3006</v>
      </c>
      <c r="D5" s="2693"/>
      <c r="E5" s="2697"/>
      <c r="F5" s="329" t="s">
        <v>3007</v>
      </c>
      <c r="G5" s="2698" t="s">
        <v>3008</v>
      </c>
      <c r="H5" s="907"/>
      <c r="I5" s="907"/>
      <c r="J5" s="907"/>
      <c r="K5" s="907"/>
      <c r="L5" s="907"/>
      <c r="M5" s="907"/>
      <c r="N5" s="907"/>
      <c r="O5" s="907"/>
      <c r="P5" s="907"/>
      <c r="Q5" s="907"/>
      <c r="R5" s="907"/>
    </row>
    <row r="6" spans="1:29" ht="36">
      <c r="A6" s="2670"/>
      <c r="B6" s="329" t="s">
        <v>3009</v>
      </c>
      <c r="C6" s="2698" t="s">
        <v>3004</v>
      </c>
      <c r="D6" s="2693"/>
      <c r="E6" s="2697"/>
      <c r="F6" s="329" t="s">
        <v>3010</v>
      </c>
      <c r="G6" s="2698" t="s">
        <v>3011</v>
      </c>
      <c r="H6" s="907"/>
      <c r="I6" s="907"/>
      <c r="J6" s="907"/>
      <c r="K6" s="907"/>
      <c r="L6" s="907"/>
      <c r="M6" s="907"/>
      <c r="N6" s="907"/>
      <c r="O6" s="907"/>
      <c r="P6" s="907"/>
      <c r="Q6" s="907"/>
      <c r="R6" s="907"/>
    </row>
    <row r="7" spans="1:29" ht="24.75" thickBot="1">
      <c r="A7" s="2670"/>
      <c r="B7" s="329" t="s">
        <v>3007</v>
      </c>
      <c r="C7" s="2698" t="s">
        <v>3008</v>
      </c>
      <c r="D7" s="2699"/>
      <c r="E7" s="2700"/>
      <c r="F7" s="2701" t="s">
        <v>3012</v>
      </c>
      <c r="G7" s="2702" t="s">
        <v>3013</v>
      </c>
      <c r="H7" s="907"/>
      <c r="I7" s="907"/>
      <c r="J7" s="907"/>
      <c r="K7" s="907"/>
      <c r="L7" s="907"/>
      <c r="M7" s="907"/>
      <c r="N7" s="907"/>
      <c r="O7" s="907"/>
      <c r="P7" s="907"/>
      <c r="Q7" s="907"/>
      <c r="R7" s="907"/>
    </row>
    <row r="8" spans="1:29">
      <c r="A8" s="2670"/>
      <c r="B8" s="329" t="s">
        <v>3010</v>
      </c>
      <c r="C8" s="2698" t="s">
        <v>3011</v>
      </c>
      <c r="D8" s="2699"/>
      <c r="E8" s="2699"/>
      <c r="F8" s="2703"/>
      <c r="G8" s="2703"/>
      <c r="H8" s="907"/>
      <c r="I8" s="907"/>
      <c r="J8" s="907"/>
      <c r="K8" s="907"/>
      <c r="L8" s="907"/>
      <c r="M8" s="907"/>
      <c r="N8" s="907"/>
      <c r="O8" s="907"/>
      <c r="P8" s="907"/>
      <c r="Q8" s="907"/>
      <c r="R8" s="907"/>
    </row>
    <row r="9" spans="1:29" ht="24">
      <c r="A9" s="2670"/>
      <c r="B9" s="329" t="s">
        <v>3014</v>
      </c>
      <c r="C9" s="2696" t="s">
        <v>3015</v>
      </c>
      <c r="D9" s="2693"/>
      <c r="E9" s="2699"/>
      <c r="F9" s="2703"/>
      <c r="G9" s="2703"/>
      <c r="H9" s="907"/>
      <c r="I9" s="907"/>
      <c r="J9" s="907"/>
      <c r="K9" s="907"/>
      <c r="L9" s="907"/>
      <c r="M9" s="907"/>
      <c r="N9" s="907"/>
      <c r="O9" s="907"/>
      <c r="P9" s="907"/>
      <c r="Q9" s="907"/>
      <c r="R9" s="907"/>
    </row>
    <row r="10" spans="1:29" s="2709" customFormat="1" ht="15" thickBot="1">
      <c r="A10" s="2671"/>
      <c r="B10" s="2704" t="s">
        <v>3016</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3034</v>
      </c>
      <c r="B13" s="2712"/>
      <c r="C13" s="2712"/>
      <c r="D13" s="2710"/>
      <c r="E13" s="2712"/>
      <c r="F13" s="2712"/>
      <c r="G13" s="2712"/>
    </row>
    <row r="14" spans="1:29" ht="15" thickBot="1">
      <c r="A14" s="2722"/>
      <c r="B14" s="2722"/>
      <c r="C14" s="2723" t="s">
        <v>3017</v>
      </c>
      <c r="D14" s="2693"/>
      <c r="E14" s="2724"/>
      <c r="F14" s="2724"/>
      <c r="G14" s="2688" t="s">
        <v>3018</v>
      </c>
    </row>
    <row r="15" spans="1:29" ht="51">
      <c r="A15" s="2672" t="s">
        <v>3019</v>
      </c>
      <c r="B15" s="2725" t="s">
        <v>2999</v>
      </c>
      <c r="C15" s="2726" t="str">
        <f>C3</f>
        <v>估价对象周边居住用地比例、居住小区规模和社区发展完善程度，综合评价居住社区成熟度一般</v>
      </c>
      <c r="D15" s="2693"/>
      <c r="E15" s="2673" t="s">
        <v>3020</v>
      </c>
      <c r="F15" s="2725" t="s">
        <v>3021</v>
      </c>
      <c r="G15" s="2727" t="str">
        <f>G3</f>
        <v>估价对象位于XX开发区，园区建设成熟度XX，产业集聚程度XX</v>
      </c>
    </row>
    <row r="16" spans="1:29" ht="38.25">
      <c r="A16" s="2674"/>
      <c r="B16" s="2728" t="s">
        <v>3001</v>
      </c>
      <c r="C16" s="2729" t="str">
        <f>C4</f>
        <v>估价对象位于XX商圈，周边商业氛围成熟，人流量大，商业繁华度好</v>
      </c>
      <c r="D16" s="2693"/>
      <c r="E16" s="2675"/>
      <c r="F16" s="2730" t="s">
        <v>3003</v>
      </c>
      <c r="G16" s="2731" t="str">
        <f>G4</f>
        <v>估价对象周边道路状况、公共交通通达情况、停车便捷程度，综合评价交通便捷度较好</v>
      </c>
    </row>
    <row r="17" spans="1:18" ht="38.25">
      <c r="A17" s="2674"/>
      <c r="B17" s="2728" t="s">
        <v>3005</v>
      </c>
      <c r="C17" s="2729" t="str">
        <f>C5</f>
        <v>估价对象位于XX商圈，周边办公楼项目较多，入驻率高，办公集聚程度较好</v>
      </c>
      <c r="D17" s="2699"/>
      <c r="E17" s="2675"/>
      <c r="F17" s="2730" t="s">
        <v>3022</v>
      </c>
      <c r="G17" s="2732"/>
    </row>
    <row r="18" spans="1:18" ht="38.25">
      <c r="A18" s="2674"/>
      <c r="B18" s="2730" t="s">
        <v>3009</v>
      </c>
      <c r="C18" s="2731" t="str">
        <f>C6</f>
        <v>估价对象周边道路状况、公共交通通达情况、停车便捷程度，综合评价交通便捷度较好</v>
      </c>
      <c r="D18" s="2699"/>
      <c r="E18" s="2675"/>
      <c r="F18" s="2730" t="s">
        <v>3012</v>
      </c>
      <c r="G18" s="2731" t="str">
        <f>G7</f>
        <v>该园区内是否有污染型企业，绿化情况，卫生条件，整体环境状况判断</v>
      </c>
    </row>
    <row r="19" spans="1:18" ht="25.5">
      <c r="A19" s="2674"/>
      <c r="B19" s="2730" t="s">
        <v>3023</v>
      </c>
      <c r="C19" s="2732"/>
      <c r="D19" s="2693"/>
      <c r="E19" s="2675"/>
      <c r="F19" s="329" t="s">
        <v>3007</v>
      </c>
      <c r="G19" s="2731" t="str">
        <f>G5</f>
        <v>估价对象所在区域公共配套设施齐备情况</v>
      </c>
    </row>
    <row r="20" spans="1:18" ht="25.5">
      <c r="A20" s="2674"/>
      <c r="B20" s="2730" t="s">
        <v>3024</v>
      </c>
      <c r="C20" s="2729" t="str">
        <f>C9</f>
        <v>区域自然环境：；人文环境；综合评价环境状况一般</v>
      </c>
      <c r="D20" s="2699"/>
      <c r="E20" s="2675"/>
      <c r="F20" s="329" t="s">
        <v>3010</v>
      </c>
      <c r="G20" s="2731" t="str">
        <f>G6</f>
        <v>估价对象所在区域基础设施水平</v>
      </c>
    </row>
    <row r="21" spans="1:18" ht="25.5">
      <c r="A21" s="2674"/>
      <c r="B21" s="329" t="s">
        <v>3007</v>
      </c>
      <c r="C21" s="2731" t="str">
        <f>C7</f>
        <v>估价对象所在区域公共配套设施齐备情况</v>
      </c>
      <c r="D21" s="2693"/>
      <c r="E21" s="2675"/>
      <c r="F21" s="2730" t="s">
        <v>3025</v>
      </c>
      <c r="G21" s="2733"/>
    </row>
    <row r="22" spans="1:18" ht="13.5" customHeight="1">
      <c r="A22" s="2674"/>
      <c r="B22" s="329" t="s">
        <v>3010</v>
      </c>
      <c r="C22" s="2731" t="str">
        <f>C8</f>
        <v>估价对象所在区域基础设施水平</v>
      </c>
      <c r="D22" s="2693"/>
      <c r="E22" s="2675"/>
      <c r="F22" s="2730" t="s">
        <v>3016</v>
      </c>
      <c r="G22" s="2732"/>
    </row>
    <row r="23" spans="1:18" s="907" customFormat="1" ht="15" thickBot="1">
      <c r="A23" s="2674"/>
      <c r="B23" s="2730" t="s">
        <v>3025</v>
      </c>
      <c r="C23" s="2733"/>
      <c r="D23" s="1929"/>
      <c r="E23" s="2676"/>
      <c r="F23" s="2734" t="s">
        <v>3026</v>
      </c>
      <c r="G23" s="2735"/>
      <c r="H23" s="2719"/>
      <c r="I23" s="2720"/>
      <c r="J23" s="2719"/>
      <c r="K23" s="2719"/>
      <c r="L23" s="2720"/>
      <c r="M23" s="2719"/>
      <c r="N23" s="2719"/>
      <c r="O23" s="2720"/>
      <c r="P23" s="2719"/>
      <c r="Q23" s="2719"/>
      <c r="R23" s="2721"/>
    </row>
    <row r="24" spans="1:18" s="907" customFormat="1" ht="15" thickBot="1">
      <c r="A24" s="2677"/>
      <c r="B24" s="2734" t="s">
        <v>3027</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77547</v>
      </c>
      <c r="C1" s="2917"/>
      <c r="D1" s="2917"/>
      <c r="E1" s="2917"/>
      <c r="F1" s="2917"/>
      <c r="G1" s="2918"/>
      <c r="H1" s="2919"/>
      <c r="I1" s="2919"/>
      <c r="J1" s="2919"/>
      <c r="K1" s="2919"/>
    </row>
    <row r="2" spans="1:11" ht="16.5">
      <c r="A2" s="2740" t="s">
        <v>1319</v>
      </c>
      <c r="B2" s="2740">
        <f>SUM(C14:C23)</f>
        <v>62231.63</v>
      </c>
      <c r="C2" s="2917"/>
      <c r="D2" s="2917"/>
      <c r="E2" s="2917"/>
      <c r="F2" s="2917"/>
      <c r="G2" s="2918"/>
      <c r="H2" s="2919"/>
      <c r="I2" s="2919"/>
      <c r="J2" s="2919"/>
      <c r="K2" s="2919"/>
    </row>
    <row r="3" spans="1:11" ht="16.5">
      <c r="A3" s="2740" t="s">
        <v>1328</v>
      </c>
      <c r="B3" s="2742">
        <f>项目基本情况!D3</f>
        <v>44562</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t="e">
        <f ca="1">SUM(D14:D23)</f>
        <v>#REF!</v>
      </c>
      <c r="C5" s="2740" t="e">
        <f ca="1">ROUND(B5*10000/$B$1,0)</f>
        <v>#REF!</v>
      </c>
      <c r="D5" s="2740" t="e">
        <f ca="1">ROUND(B5*10000/$B$2,0)</f>
        <v>#REF!</v>
      </c>
      <c r="E5" s="2917"/>
      <c r="F5" s="2918"/>
      <c r="G5" s="2918"/>
      <c r="H5" s="2919"/>
      <c r="I5" s="2919"/>
      <c r="J5" s="2919"/>
      <c r="K5" s="2919"/>
    </row>
    <row r="6" spans="1:11" ht="16.5">
      <c r="A6" s="2740" t="s">
        <v>1322</v>
      </c>
      <c r="B6" s="2740" t="e">
        <f ca="1">SUM(G14:G23)</f>
        <v>#REF!</v>
      </c>
      <c r="C6" s="2740" t="e">
        <f ca="1">ROUND(B6*10000/$B$1,0)</f>
        <v>#REF!</v>
      </c>
      <c r="D6" s="2740" t="e">
        <f ca="1">ROUND(B6*10000/$B$2,0)</f>
        <v>#REF!</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77547</v>
      </c>
      <c r="C14" s="2746">
        <f>结果表!C118</f>
        <v>62231.63</v>
      </c>
      <c r="D14" s="2746" t="e">
        <f ca="1">结果表!H118</f>
        <v>#REF!</v>
      </c>
      <c r="E14" s="2746" t="e">
        <f ca="1">ROUND(D14*10000/B14,0)</f>
        <v>#REF!</v>
      </c>
      <c r="F14" s="2746" t="e">
        <f ca="1">ROUND(D14*10000/C14,0)</f>
        <v>#REF!</v>
      </c>
      <c r="G14" s="2746" t="e">
        <f ca="1">结果表!D122</f>
        <v>#REF!</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4" sqref="C4"/>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c r="H1" s="1938" t="str">
        <f>IF(G1="现房","——","估价对象范围")</f>
        <v>估价对象范围</v>
      </c>
      <c r="I1" s="1939"/>
    </row>
    <row r="2" spans="1:12" ht="21.75" customHeight="1" thickBot="1">
      <c r="A2" s="3181" t="str">
        <f>项目基本情况!S2</f>
        <v>房地产</v>
      </c>
      <c r="B2" s="3182"/>
      <c r="C2" s="3182"/>
      <c r="D2" s="3182"/>
      <c r="E2" s="3182"/>
      <c r="F2" s="3182"/>
      <c r="G2" s="3182"/>
      <c r="H2" s="3182"/>
      <c r="I2" s="3183"/>
    </row>
    <row r="3" spans="1:12" ht="12.75">
      <c r="A3" s="3185" t="s">
        <v>1950</v>
      </c>
      <c r="B3" s="3186"/>
      <c r="C3" s="3186"/>
      <c r="D3" s="3186"/>
      <c r="E3" s="3186"/>
      <c r="F3" s="3186"/>
      <c r="G3" s="3186"/>
      <c r="H3" s="3186"/>
      <c r="I3" s="3186"/>
    </row>
    <row r="4" spans="1:12" ht="14.25">
      <c r="A4" s="1942" t="s">
        <v>1951</v>
      </c>
      <c r="B4" s="1943" t="s">
        <v>1952</v>
      </c>
      <c r="C4" s="1944" t="s">
        <v>3640</v>
      </c>
      <c r="D4" s="1944"/>
      <c r="E4" s="3187" t="s">
        <v>1953</v>
      </c>
      <c r="F4" s="3188"/>
      <c r="G4" s="3188"/>
      <c r="H4" s="3188"/>
      <c r="I4" s="318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1" t="s">
        <v>1954</v>
      </c>
      <c r="B5" s="3148">
        <v>25</v>
      </c>
      <c r="C5" s="3164"/>
      <c r="D5" s="3184"/>
      <c r="E5" s="136" t="s">
        <v>1955</v>
      </c>
      <c r="F5" s="1945"/>
      <c r="G5" s="1945"/>
      <c r="H5" s="1945"/>
      <c r="I5" s="1559"/>
    </row>
    <row r="6" spans="1:12" ht="12.75">
      <c r="A6" s="3161"/>
      <c r="B6" s="3148"/>
      <c r="C6" s="3165"/>
      <c r="D6" s="3184"/>
      <c r="E6" s="136" t="s">
        <v>1956</v>
      </c>
      <c r="F6" s="1945"/>
      <c r="G6" s="1945"/>
      <c r="H6" s="1945"/>
      <c r="I6" s="1559"/>
    </row>
    <row r="7" spans="1:12" ht="12.75">
      <c r="A7" s="3161"/>
      <c r="B7" s="3148"/>
      <c r="C7" s="3166"/>
      <c r="D7" s="3184"/>
      <c r="E7" s="136" t="s">
        <v>1957</v>
      </c>
      <c r="F7" s="1945"/>
      <c r="G7" s="1945"/>
      <c r="H7" s="1945"/>
      <c r="I7" s="1559"/>
    </row>
    <row r="8" spans="1:12" ht="12.75">
      <c r="A8" s="3161" t="s">
        <v>1958</v>
      </c>
      <c r="B8" s="3148">
        <v>15</v>
      </c>
      <c r="C8" s="3164"/>
      <c r="D8" s="3184"/>
      <c r="E8" s="136" t="s">
        <v>1959</v>
      </c>
      <c r="F8" s="1945"/>
      <c r="G8" s="1945"/>
      <c r="H8" s="1945"/>
      <c r="I8" s="1559"/>
    </row>
    <row r="9" spans="1:12" ht="12.75">
      <c r="A9" s="3161"/>
      <c r="B9" s="3148"/>
      <c r="C9" s="3166"/>
      <c r="D9" s="3184"/>
      <c r="E9" s="136" t="s">
        <v>1960</v>
      </c>
      <c r="F9" s="1945"/>
      <c r="G9" s="1945"/>
      <c r="H9" s="1945"/>
      <c r="I9" s="1559"/>
    </row>
    <row r="10" spans="1:12" ht="12.75">
      <c r="A10" s="3161" t="s">
        <v>1961</v>
      </c>
      <c r="B10" s="3148">
        <v>15</v>
      </c>
      <c r="C10" s="3164"/>
      <c r="D10" s="3184"/>
      <c r="E10" s="136" t="s">
        <v>1962</v>
      </c>
      <c r="F10" s="1945"/>
      <c r="G10" s="1945"/>
      <c r="H10" s="1945"/>
      <c r="I10" s="1559"/>
    </row>
    <row r="11" spans="1:12" ht="12.75">
      <c r="A11" s="3161"/>
      <c r="B11" s="3148"/>
      <c r="C11" s="3166"/>
      <c r="D11" s="3184"/>
      <c r="E11" s="136" t="s">
        <v>1963</v>
      </c>
      <c r="F11" s="1945"/>
      <c r="G11" s="1945"/>
      <c r="H11" s="1945"/>
      <c r="I11" s="1559"/>
    </row>
    <row r="12" spans="1:12" ht="12.75">
      <c r="A12" s="3161" t="s">
        <v>1964</v>
      </c>
      <c r="B12" s="3148">
        <v>15</v>
      </c>
      <c r="C12" s="3164"/>
      <c r="D12" s="3184"/>
      <c r="E12" s="136" t="s">
        <v>1965</v>
      </c>
      <c r="F12" s="1945"/>
      <c r="G12" s="1945"/>
      <c r="H12" s="1945"/>
      <c r="I12" s="1559"/>
    </row>
    <row r="13" spans="1:12" ht="12.75">
      <c r="A13" s="3161"/>
      <c r="B13" s="3148"/>
      <c r="C13" s="3166"/>
      <c r="D13" s="3184"/>
      <c r="E13" s="136" t="s">
        <v>1966</v>
      </c>
      <c r="F13" s="1945"/>
      <c r="G13" s="1945"/>
      <c r="H13" s="1945"/>
      <c r="I13" s="1559"/>
    </row>
    <row r="14" spans="1:12" ht="12.75">
      <c r="A14" s="3161" t="s">
        <v>1967</v>
      </c>
      <c r="B14" s="3148">
        <v>30</v>
      </c>
      <c r="C14" s="3164"/>
      <c r="D14" s="3184"/>
      <c r="E14" s="136" t="s">
        <v>1968</v>
      </c>
      <c r="F14" s="1945"/>
      <c r="G14" s="1945"/>
      <c r="H14" s="1945"/>
      <c r="I14" s="1559"/>
    </row>
    <row r="15" spans="1:12" ht="12.75">
      <c r="A15" s="3161"/>
      <c r="B15" s="3148"/>
      <c r="C15" s="3165"/>
      <c r="D15" s="3184"/>
      <c r="E15" s="136" t="s">
        <v>1969</v>
      </c>
      <c r="F15" s="1945"/>
      <c r="G15" s="1945"/>
      <c r="H15" s="1945"/>
      <c r="I15" s="1559"/>
    </row>
    <row r="16" spans="1:12" ht="12.75">
      <c r="A16" s="3161"/>
      <c r="B16" s="3148"/>
      <c r="C16" s="3166"/>
      <c r="D16" s="3184"/>
      <c r="E16" s="136" t="s">
        <v>1970</v>
      </c>
      <c r="F16" s="1945"/>
      <c r="G16" s="1945"/>
      <c r="H16" s="1945"/>
      <c r="I16" s="1559"/>
    </row>
    <row r="17" spans="1:36" ht="15">
      <c r="A17" s="1946" t="s">
        <v>1971</v>
      </c>
      <c r="B17" s="60"/>
      <c r="C17" s="137">
        <f>SUM(C5:C16)</f>
        <v>0</v>
      </c>
      <c r="D17" s="137">
        <f>SUM(D5:D16)</f>
        <v>0</v>
      </c>
      <c r="E17" s="134"/>
      <c r="F17" s="134"/>
      <c r="G17" s="134"/>
      <c r="H17" s="134"/>
      <c r="I17" s="134"/>
      <c r="K17" s="308"/>
      <c r="L17" s="308" t="s">
        <v>1972</v>
      </c>
      <c r="M17" s="308" t="s">
        <v>1973</v>
      </c>
    </row>
    <row r="18" spans="1:36" ht="31.9" customHeight="1" thickBot="1">
      <c r="A18" s="1947" t="s">
        <v>1974</v>
      </c>
      <c r="B18" s="1948"/>
      <c r="C18" s="138" t="e">
        <f>ROUND(C17/SUM(C17:D17),2)</f>
        <v>#DIV/0!</v>
      </c>
      <c r="D18" s="138" t="e">
        <f>1-C18</f>
        <v>#DIV/0!</v>
      </c>
      <c r="E18" s="3171" t="s">
        <v>2874</v>
      </c>
      <c r="F18" s="3172"/>
      <c r="G18" s="3172"/>
      <c r="H18" s="3172"/>
      <c r="I18" s="3172"/>
      <c r="K18" s="308" t="s">
        <v>1975</v>
      </c>
      <c r="L18" s="308">
        <f>IF(C1="",'数据-汇总表'!E3,SUMIF(项目类型,C1,'数据-汇总表'!E17:E26)+SUMIF(项目类型,C1,'数据-汇总表'!I17:I26))</f>
        <v>77547</v>
      </c>
      <c r="M18" s="308">
        <f>IF(C1="",'数据-汇总表'!E3,SUMIF(项目类型,C1,'数据-汇总表'!E17:E26))</f>
        <v>77547</v>
      </c>
    </row>
    <row r="19" spans="1:36" ht="15">
      <c r="A19" s="1949" t="s">
        <v>1976</v>
      </c>
      <c r="B19" s="1950" t="s">
        <v>1977</v>
      </c>
      <c r="C19" s="139">
        <f ca="1">SUMIF(INDIRECT("'"&amp;C4&amp;"'"&amp;"!A:A"),结果表!B19,INDIRECT("'"&amp;C4&amp;"'"&amp;"!B:B"))</f>
        <v>429925</v>
      </c>
      <c r="D19" s="140" t="e">
        <f ca="1">SUMIF(INDIRECT("'"&amp;D4&amp;"'"&amp;"!A:A"),结果表!B19,INDIRECT("'"&amp;D4&amp;"'"&amp;"!B:B"))</f>
        <v>#REF!</v>
      </c>
      <c r="E19" s="1949" t="s">
        <v>1978</v>
      </c>
      <c r="F19" s="1950" t="s">
        <v>1977</v>
      </c>
      <c r="G19" s="141" t="e">
        <f ca="1">ROUND(C19*$C$18+D19*$D$18,0)</f>
        <v>#DIV/0!</v>
      </c>
      <c r="H19" s="1951" t="s">
        <v>1979</v>
      </c>
      <c r="I19" s="134"/>
      <c r="K19" s="308" t="s">
        <v>1980</v>
      </c>
      <c r="L19" s="308">
        <f>IF(C1="",'数据-汇总表'!D3,SUMIF(项目类型,C1,'数据-汇总表'!D17:D26)+SUMIF(项目类型,C1,'数据-汇总表'!H17:H27))</f>
        <v>62231.63</v>
      </c>
      <c r="M19" s="308">
        <f>IF(C1="",'数据-汇总表'!D3,SUMIF(项目类型,C1,'数据-汇总表'!D17:D26))</f>
        <v>62231.63</v>
      </c>
    </row>
    <row r="20" spans="1:36" ht="15">
      <c r="A20" s="1952"/>
      <c r="B20" s="1157" t="s">
        <v>1981</v>
      </c>
      <c r="C20" s="142">
        <f ca="1">SUMIF(INDIRECT("'"&amp;C4&amp;"'"&amp;"!A:A"),结果表!B20,INDIRECT("'"&amp;C4&amp;"'"&amp;"!B:B"))</f>
        <v>55441</v>
      </c>
      <c r="D20" s="143" t="e">
        <f ca="1">SUMIF(INDIRECT("'"&amp;D4&amp;"'"&amp;"!A:A"),结果表!B20,INDIRECT("'"&amp;D4&amp;"'"&amp;"!B:B"))</f>
        <v>#REF!</v>
      </c>
      <c r="E20" s="1952"/>
      <c r="F20" s="1157" t="s">
        <v>1981</v>
      </c>
      <c r="G20" s="144" t="e">
        <f ca="1">ROUND(C20*$C$18+D20*$D$18,0)</f>
        <v>#DIV/0!</v>
      </c>
      <c r="H20" s="917" t="s">
        <v>1982</v>
      </c>
      <c r="I20" s="134"/>
    </row>
    <row r="21" spans="1:36" ht="15" customHeight="1" thickBot="1">
      <c r="A21" s="937"/>
      <c r="B21" s="1953" t="s">
        <v>1983</v>
      </c>
      <c r="C21" s="728">
        <f ca="1">ROUND(C19*10000/L19,0)</f>
        <v>69085</v>
      </c>
      <c r="D21" s="729" t="e">
        <f ca="1">ROUND(D19*10000/L19,0)</f>
        <v>#REF!</v>
      </c>
      <c r="E21" s="937"/>
      <c r="F21" s="1953" t="s">
        <v>1983</v>
      </c>
      <c r="G21" s="145" t="e">
        <f ca="1">ROUND(G19*10000/L19,0)</f>
        <v>#DIV/0!</v>
      </c>
      <c r="H21" s="1954" t="s">
        <v>1982</v>
      </c>
      <c r="I21" s="134"/>
    </row>
    <row r="22" spans="1:36" ht="15" thickBot="1">
      <c r="A22" s="1876" t="s">
        <v>1984</v>
      </c>
      <c r="B22" s="1955"/>
      <c r="C22" s="1956"/>
      <c r="D22" s="730" t="e">
        <f ca="1">IF(C19&lt;D19,D19/C19-1,C19/D19-1)</f>
        <v>#REF!</v>
      </c>
      <c r="E22" s="134"/>
      <c r="F22" s="134"/>
      <c r="G22" s="134"/>
      <c r="H22" s="134"/>
      <c r="I22" s="134"/>
    </row>
    <row r="23" spans="1:36" ht="13.5" thickBot="1">
      <c r="A23" s="1935"/>
      <c r="B23" s="1935"/>
      <c r="C23" s="1935"/>
      <c r="D23" s="1935"/>
      <c r="E23" s="134"/>
      <c r="F23" s="134"/>
      <c r="G23" s="134"/>
      <c r="H23" s="134"/>
      <c r="I23" s="134"/>
    </row>
    <row r="24" spans="1:36" ht="14.25">
      <c r="A24" s="3155" t="s">
        <v>1985</v>
      </c>
      <c r="B24" s="1950" t="s">
        <v>1977</v>
      </c>
      <c r="C24" s="141">
        <f>IF(B30=0,0,D30)</f>
        <v>0</v>
      </c>
      <c r="D24" s="1957"/>
      <c r="E24" s="134"/>
      <c r="F24" s="134"/>
      <c r="G24" s="134"/>
      <c r="H24" s="134"/>
      <c r="I24" s="134"/>
    </row>
    <row r="25" spans="1:36" ht="14.25">
      <c r="A25" s="3156"/>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2875</v>
      </c>
      <c r="F30" s="134"/>
      <c r="G30" s="134"/>
      <c r="H30" s="134"/>
      <c r="I30" s="134"/>
    </row>
    <row r="31" spans="1:36" s="2529" customFormat="1" ht="26.45" customHeight="1" thickTop="1" thickBot="1">
      <c r="A31" s="2524"/>
      <c r="B31" s="2525"/>
      <c r="C31" s="2525"/>
      <c r="D31" s="2525"/>
      <c r="E31" s="2525"/>
      <c r="F31" s="2525"/>
      <c r="G31" s="2525"/>
      <c r="H31" s="2525"/>
      <c r="I31" s="2526" t="s">
        <v>2876</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t="e">
        <f ca="1">IF(D32="总价",G19-C24,G20-C25)</f>
        <v>#DIV/0!</v>
      </c>
      <c r="D32" s="1963"/>
      <c r="E32" s="134"/>
      <c r="F32" s="134"/>
      <c r="G32" s="134"/>
      <c r="H32" s="134"/>
      <c r="I32" s="134"/>
    </row>
    <row r="33" spans="1:15" ht="15">
      <c r="A33" s="894" t="s">
        <v>1992</v>
      </c>
      <c r="B33" s="1964"/>
      <c r="C33" s="1965"/>
      <c r="D33" s="1966"/>
      <c r="E33" s="1967" t="s">
        <v>1993</v>
      </c>
      <c r="F33" s="1968" t="str">
        <f>IF(D32="楼面单价","取值（单价）","取值（总价）")</f>
        <v>取值（总价）</v>
      </c>
      <c r="G33" s="134"/>
      <c r="H33" s="134"/>
      <c r="I33" s="134"/>
    </row>
    <row r="34" spans="1:15" ht="15">
      <c r="A34" s="1969"/>
      <c r="B34" s="1970" t="s">
        <v>1994</v>
      </c>
      <c r="C34" s="153" t="e">
        <f ca="1">IF(C33="自定义",F34,C32-C35)</f>
        <v>#DIV/0!</v>
      </c>
      <c r="D34" s="970" t="e">
        <f ca="1">IF(C33="自定义",ROUND(C34/C32,3),IF(C33="收益比率",SUMIF(INDIRECT("'"&amp;D33&amp;"'"&amp;"!b:b"),"土地收益比率",INDIRECT("'"&amp;D33&amp;"'"&amp;"!c:c")),SUMIF(INDIRECT("'"&amp;D33&amp;"'"&amp;"!b:b"),"土地成本比率",INDIRECT("'"&amp;D33&amp;"'"&amp;"!c:c"))))</f>
        <v>#REF!</v>
      </c>
      <c r="E34" s="1971" t="s">
        <v>1995</v>
      </c>
      <c r="F34" s="1500"/>
      <c r="G34" s="134"/>
      <c r="H34" s="134"/>
      <c r="I34" s="134"/>
    </row>
    <row r="35" spans="1:15" ht="15.75" thickBot="1">
      <c r="A35" s="1972"/>
      <c r="B35" s="1973" t="s">
        <v>1996</v>
      </c>
      <c r="C35" s="1332" t="e">
        <f ca="1">IF(C33="自定义",F35,ROUND(C32*D35,0))</f>
        <v>#DIV/0!</v>
      </c>
      <c r="D35" s="1333" t="e">
        <f ca="1">IF(C33="自定义",ROUND(C35/C32,3),IF(C33="收益比率",SUMIF(INDIRECT("'"&amp;D33&amp;"'"&amp;"!b:b"),"建筑物收益比率",INDIRECT("'"&amp;D33&amp;"'"&amp;"!c:c")),SUMIF(INDIRECT("'"&amp;D33&amp;"'"&amp;"!b:b"),"建筑物成本比率",INDIRECT("'"&amp;D33&amp;"'"&amp;"!c:c"))))</f>
        <v>#REF!</v>
      </c>
      <c r="E35" s="1974" t="s">
        <v>1997</v>
      </c>
      <c r="F35" s="159"/>
      <c r="G35" s="134"/>
      <c r="H35" s="134"/>
      <c r="I35" s="134"/>
    </row>
    <row r="36" spans="1:15" ht="15.75" thickBot="1">
      <c r="A36" s="3175" t="s">
        <v>1998</v>
      </c>
      <c r="B36" s="1975" t="s">
        <v>1999</v>
      </c>
      <c r="C36" s="150"/>
      <c r="D36" s="1976"/>
      <c r="E36" s="1977"/>
      <c r="F36" s="1978"/>
      <c r="G36" s="134"/>
      <c r="H36" s="134"/>
      <c r="I36" s="134"/>
    </row>
    <row r="37" spans="1:15" ht="15.75" thickBot="1">
      <c r="A37" s="3176"/>
      <c r="B37" s="1862" t="s">
        <v>2000</v>
      </c>
      <c r="C37" s="152"/>
      <c r="D37" s="1301"/>
      <c r="E37" s="1301"/>
      <c r="F37" s="1978"/>
      <c r="G37" s="134"/>
      <c r="H37" s="134"/>
      <c r="I37" s="134"/>
    </row>
    <row r="38" spans="1:15" ht="15.75" thickBot="1">
      <c r="A38" s="3177"/>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152" t="s">
        <v>2012</v>
      </c>
      <c r="B45" s="3153"/>
      <c r="C45" s="3154"/>
      <c r="D45" s="160" t="e">
        <f ca="1">ROUND(H101*F45,0)</f>
        <v>#REF!</v>
      </c>
      <c r="E45" s="161" t="s">
        <v>2013</v>
      </c>
      <c r="F45" s="162">
        <v>1</v>
      </c>
      <c r="G45" s="163" t="s">
        <v>2014</v>
      </c>
      <c r="H45" s="134"/>
      <c r="I45" s="134"/>
      <c r="J45" s="3233" t="s">
        <v>2015</v>
      </c>
      <c r="K45" s="3233"/>
      <c r="L45" s="3233"/>
      <c r="M45" s="3233"/>
      <c r="N45" s="3233"/>
      <c r="O45" s="3233"/>
    </row>
    <row r="46" spans="1:15" ht="14.25" customHeight="1">
      <c r="A46" s="3149" t="s">
        <v>2016</v>
      </c>
      <c r="B46" s="3150"/>
      <c r="C46" s="3150"/>
      <c r="D46" s="3150"/>
      <c r="E46" s="3150"/>
      <c r="F46" s="3150"/>
      <c r="G46" s="3151"/>
      <c r="H46" s="1994"/>
      <c r="I46" s="164"/>
      <c r="J46" s="2751">
        <v>1</v>
      </c>
      <c r="K46" s="3214" t="s">
        <v>2017</v>
      </c>
      <c r="L46" s="3214"/>
      <c r="M46" s="3234"/>
      <c r="N46" s="3234"/>
      <c r="O46" s="3234"/>
    </row>
    <row r="47" spans="1:15" ht="12" customHeight="1">
      <c r="A47" s="165" t="s">
        <v>2018</v>
      </c>
      <c r="B47" s="166"/>
      <c r="C47" s="167"/>
      <c r="D47" s="1247" t="s">
        <v>2019</v>
      </c>
      <c r="E47" s="308" t="s">
        <v>2020</v>
      </c>
      <c r="F47" s="168" t="s">
        <v>2021</v>
      </c>
      <c r="G47" s="2774" t="s">
        <v>2022</v>
      </c>
      <c r="H47" s="2775"/>
      <c r="I47" s="164"/>
      <c r="J47" s="2751">
        <v>2</v>
      </c>
      <c r="K47" s="3214" t="s">
        <v>2023</v>
      </c>
      <c r="L47" s="3214"/>
      <c r="M47" s="3235">
        <f>'数据-取费表'!B2</f>
        <v>44562</v>
      </c>
      <c r="N47" s="3235"/>
      <c r="O47" s="3235"/>
    </row>
    <row r="48" spans="1:15" ht="25.5">
      <c r="A48" s="3180" t="s">
        <v>2024</v>
      </c>
      <c r="B48" s="3163"/>
      <c r="C48" s="3163"/>
      <c r="D48" s="2549" t="b">
        <f>IF(H48="情况1",0,IF(H48="情况2",D52,IF(H48="情况3",D53,IF(H48="情况4",D54))))</f>
        <v>0</v>
      </c>
      <c r="E48" s="2559" t="str">
        <f>IF(H48="情况4","(销售额-原购置价)×税（费）率","销售额×税（费）率")</f>
        <v>销售额×税（费）率</v>
      </c>
      <c r="F48" s="2776">
        <f>IF(H48="情况1","免征",'数据-取费表'!B41)</f>
        <v>5.5000000000000007E-2</v>
      </c>
      <c r="G48" s="2777" t="s">
        <v>2025</v>
      </c>
      <c r="H48" s="2778"/>
      <c r="I48" s="1994"/>
      <c r="J48" s="2751">
        <v>3</v>
      </c>
      <c r="K48" s="3214" t="s">
        <v>2026</v>
      </c>
      <c r="L48" s="3214"/>
      <c r="M48" s="3236" t="e">
        <f ca="1">H101</f>
        <v>#REF!</v>
      </c>
      <c r="N48" s="3236"/>
      <c r="O48" s="3236"/>
    </row>
    <row r="49" spans="1:35" ht="25.5" customHeight="1">
      <c r="A49" s="2558" t="s">
        <v>2027</v>
      </c>
      <c r="B49" s="3147" t="s">
        <v>2028</v>
      </c>
      <c r="C49" s="3147"/>
      <c r="D49" s="1777">
        <v>0</v>
      </c>
      <c r="E49" s="330" t="s">
        <v>2029</v>
      </c>
      <c r="F49" s="2652" t="s">
        <v>34</v>
      </c>
      <c r="G49" s="3220"/>
      <c r="H49" s="2530" t="s">
        <v>2877</v>
      </c>
      <c r="I49" s="2531"/>
      <c r="J49" s="2751">
        <v>4</v>
      </c>
      <c r="K49" s="3214" t="str">
        <f>IF(项目基本情况!E8="房地产抵押价值","房地产抵押价值","抵押担保权已注销时的房地产抵押价值")</f>
        <v>房地产抵押价值</v>
      </c>
      <c r="L49" s="3214"/>
      <c r="M49" s="3236" t="str">
        <f ca="1">IF(项目基本情况!E8="房地产抵押价值",H107,H109)</f>
        <v>——</v>
      </c>
      <c r="N49" s="3236"/>
      <c r="O49" s="3236"/>
    </row>
    <row r="50" spans="1:35" ht="25.5" customHeight="1">
      <c r="A50" s="2779"/>
      <c r="B50" s="3147" t="s">
        <v>2030</v>
      </c>
      <c r="C50" s="3147"/>
      <c r="D50" s="2780"/>
      <c r="E50" s="338"/>
      <c r="F50" s="2652"/>
      <c r="G50" s="3221"/>
      <c r="H50" s="2532" t="s">
        <v>2878</v>
      </c>
      <c r="I50" s="2531"/>
      <c r="J50" s="3233" t="s">
        <v>2031</v>
      </c>
      <c r="K50" s="3233"/>
      <c r="L50" s="3233"/>
      <c r="M50" s="3233"/>
      <c r="N50" s="3233"/>
      <c r="O50" s="3233"/>
    </row>
    <row r="51" spans="1:35" ht="20.45" customHeight="1">
      <c r="A51" s="2781"/>
      <c r="B51" s="3147" t="s">
        <v>2032</v>
      </c>
      <c r="C51" s="3147"/>
      <c r="D51" s="1247"/>
      <c r="E51" s="333"/>
      <c r="F51" s="2652"/>
      <c r="G51" s="3222"/>
      <c r="H51" s="2532" t="s">
        <v>2879</v>
      </c>
      <c r="I51" s="2531"/>
      <c r="J51" s="2752" t="s">
        <v>2033</v>
      </c>
      <c r="K51" s="3214" t="s">
        <v>2034</v>
      </c>
      <c r="L51" s="3214"/>
      <c r="M51" s="2752" t="s">
        <v>2035</v>
      </c>
      <c r="N51" s="2752" t="s">
        <v>2036</v>
      </c>
      <c r="O51" s="2752" t="s">
        <v>2037</v>
      </c>
    </row>
    <row r="52" spans="1:35" ht="24" customHeight="1">
      <c r="A52" s="2560" t="s">
        <v>2038</v>
      </c>
      <c r="B52" s="3147" t="s">
        <v>2039</v>
      </c>
      <c r="C52" s="3147"/>
      <c r="D52" s="1247" t="e">
        <f ca="1">ROUND(D45*'数据-取费表'!B41/(1+'数据-取费表'!C42),0)</f>
        <v>#REF!</v>
      </c>
      <c r="E52" s="2559" t="s">
        <v>2040</v>
      </c>
      <c r="F52" s="2782">
        <f>'数据-取费表'!B41</f>
        <v>5.5000000000000007E-2</v>
      </c>
      <c r="G52" s="2783"/>
      <c r="H52" s="2772"/>
      <c r="I52" s="1995"/>
      <c r="J52" s="2751">
        <v>1</v>
      </c>
      <c r="K52" s="3215" t="s">
        <v>2041</v>
      </c>
      <c r="L52" s="3215"/>
      <c r="M52" s="2753" t="b">
        <f>D48</f>
        <v>0</v>
      </c>
      <c r="N52" s="2751" t="str">
        <f>E48</f>
        <v>销售额×税（费）率</v>
      </c>
      <c r="O52" s="2754">
        <f>F48</f>
        <v>5.5000000000000007E-2</v>
      </c>
    </row>
    <row r="53" spans="1:35" ht="12" customHeight="1">
      <c r="A53" s="2560" t="s">
        <v>2042</v>
      </c>
      <c r="B53" s="3173" t="s">
        <v>3038</v>
      </c>
      <c r="C53" s="3174"/>
      <c r="D53" s="1247" t="e">
        <f ca="1">ROUND(D45*'数据-取费表'!B41/(1+'数据-取费表'!C42),0)</f>
        <v>#REF!</v>
      </c>
      <c r="E53" s="2559" t="s">
        <v>2040</v>
      </c>
      <c r="F53" s="2782">
        <f>'数据-取费表'!B41</f>
        <v>5.5000000000000007E-2</v>
      </c>
      <c r="G53" s="2783"/>
      <c r="H53" s="2772"/>
      <c r="I53" s="1995"/>
      <c r="J53" s="2751">
        <v>2</v>
      </c>
      <c r="K53" s="3215" t="s">
        <v>2043</v>
      </c>
      <c r="L53" s="3215"/>
      <c r="M53" s="2753" t="e">
        <f t="shared" ref="M53:O54" ca="1" si="0">D55</f>
        <v>#REF!</v>
      </c>
      <c r="N53" s="2751" t="str">
        <f t="shared" si="0"/>
        <v>销售额×税（费）率</v>
      </c>
      <c r="O53" s="2754" t="str">
        <f t="shared" si="0"/>
        <v>免征</v>
      </c>
    </row>
    <row r="54" spans="1:35" ht="12" customHeight="1">
      <c r="A54" s="2560" t="s">
        <v>2044</v>
      </c>
      <c r="B54" s="3173" t="s">
        <v>3039</v>
      </c>
      <c r="C54" s="3174"/>
      <c r="D54" s="1247" t="e">
        <f ca="1">C68</f>
        <v>#REF!</v>
      </c>
      <c r="E54" s="333" t="s">
        <v>2045</v>
      </c>
      <c r="F54" s="2782">
        <f>'数据-取费表'!B41</f>
        <v>5.5000000000000007E-2</v>
      </c>
      <c r="G54" s="2783"/>
      <c r="H54" s="2784"/>
      <c r="I54" s="1995"/>
      <c r="J54" s="2751">
        <v>3</v>
      </c>
      <c r="K54" s="3215" t="s">
        <v>2046</v>
      </c>
      <c r="L54" s="3215"/>
      <c r="M54" s="2753" t="e">
        <f t="shared" ca="1" si="0"/>
        <v>#REF!</v>
      </c>
      <c r="N54" s="2751" t="str">
        <f t="shared" si="0"/>
        <v>增值额×税（费）率</v>
      </c>
      <c r="O54" s="2755" t="str">
        <f t="shared" si="0"/>
        <v>免征</v>
      </c>
    </row>
    <row r="55" spans="1:35" ht="24" customHeight="1">
      <c r="A55" s="3162" t="s">
        <v>2047</v>
      </c>
      <c r="B55" s="3163"/>
      <c r="C55" s="3163"/>
      <c r="D55" s="2549" t="e">
        <f ca="1">IF(H55="个人住宅",0,ROUND(D45*I55,0))</f>
        <v>#REF!</v>
      </c>
      <c r="E55" s="2559" t="s">
        <v>2048</v>
      </c>
      <c r="F55" s="2782" t="str">
        <f>IF(H55="正常",I55,"免征")</f>
        <v>免征</v>
      </c>
      <c r="G55" s="2783"/>
      <c r="H55" s="2778"/>
      <c r="I55" s="170">
        <f>'数据-取费表'!B49</f>
        <v>5.0000000000000001E-4</v>
      </c>
      <c r="J55" s="2751">
        <f>IF(H59="非个人房产","",4)</f>
        <v>4</v>
      </c>
      <c r="K55" s="3215" t="str">
        <f>IF(H59="非个人房产","——","个人所得税")</f>
        <v>个人所得税</v>
      </c>
      <c r="L55" s="3215"/>
      <c r="M55" s="2756" t="e">
        <f ca="1">D59</f>
        <v>#REF!</v>
      </c>
      <c r="N55" s="2230" t="str">
        <f>E59</f>
        <v>差额计税</v>
      </c>
      <c r="O55" s="2757">
        <f>F59</f>
        <v>0.01</v>
      </c>
    </row>
    <row r="56" spans="1:35" ht="24.75">
      <c r="A56" s="3162" t="s">
        <v>2049</v>
      </c>
      <c r="B56" s="3163"/>
      <c r="C56" s="3163"/>
      <c r="D56" s="2549" t="e">
        <f ca="1">IF(H56="个人住宅",D57,D58)</f>
        <v>#REF!</v>
      </c>
      <c r="E56" s="2559" t="s">
        <v>2050</v>
      </c>
      <c r="F56" s="2782" t="str">
        <f>IF(H56="正常",F58,"免征")</f>
        <v>免征</v>
      </c>
      <c r="G56" s="2785" t="s">
        <v>2051</v>
      </c>
      <c r="H56" s="2786"/>
      <c r="I56" s="1996"/>
      <c r="J56" s="2751" t="str">
        <f>IF(项目基本情况!K6="上海银行",IF(J55="",4,J55+1),"")</f>
        <v/>
      </c>
      <c r="K56" s="3238" t="str">
        <f>IF(项目基本情况!K6="上海银行","其他处置费用","")</f>
        <v/>
      </c>
      <c r="L56" s="3239"/>
      <c r="M56" s="2753" t="str">
        <f>IF(项目基本情况!K6="上海银行",M69,"")</f>
        <v/>
      </c>
      <c r="N56" s="3238" t="str">
        <f>IF(项目基本情况!K6="上海银行","包含处置中涉及的律师、诉讼、拍卖、评估等费用","")</f>
        <v/>
      </c>
      <c r="O56" s="3241"/>
    </row>
    <row r="57" spans="1:35" ht="12.75">
      <c r="A57" s="2560" t="s">
        <v>2027</v>
      </c>
      <c r="B57" s="3173" t="s">
        <v>2052</v>
      </c>
      <c r="C57" s="3174"/>
      <c r="D57" s="1777">
        <v>0</v>
      </c>
      <c r="E57" s="330" t="s">
        <v>2029</v>
      </c>
      <c r="F57" s="308"/>
      <c r="G57" s="2783"/>
      <c r="H57" s="2787"/>
      <c r="I57" s="1996"/>
      <c r="J57" s="3215">
        <f>IF(AND(J55="",J56=""),4,IF(项目基本情况!K6="上海银行",结果表!J56+1,结果表!J55+1))</f>
        <v>5</v>
      </c>
      <c r="K57" s="3215" t="s">
        <v>2053</v>
      </c>
      <c r="L57" s="2758" t="s">
        <v>2054</v>
      </c>
      <c r="M57" s="2759"/>
      <c r="N57" s="2760">
        <f ca="1">SUMIF(M52:M56,"&lt;9e307")</f>
        <v>0</v>
      </c>
      <c r="O57" s="2761"/>
      <c r="P57" s="2921" t="e">
        <f ca="1">N57/M49</f>
        <v>#VALUE!</v>
      </c>
    </row>
    <row r="58" spans="1:35" ht="24.75">
      <c r="A58" s="2560" t="s">
        <v>2038</v>
      </c>
      <c r="B58" s="3173" t="s">
        <v>2055</v>
      </c>
      <c r="C58" s="3147"/>
      <c r="D58" s="2549" t="e">
        <f ca="1">IF(H58="转让取得",C81,C97)</f>
        <v>#REF!</v>
      </c>
      <c r="E58" s="2559" t="s">
        <v>2050</v>
      </c>
      <c r="F58" s="308" t="s">
        <v>34</v>
      </c>
      <c r="G58" s="2783"/>
      <c r="H58" s="2786"/>
      <c r="I58" s="1996"/>
      <c r="J58" s="3215"/>
      <c r="K58" s="3215"/>
      <c r="L58" s="2758" t="s">
        <v>2056</v>
      </c>
      <c r="M58" s="2762"/>
      <c r="N58" s="2763" t="str">
        <f ca="1">NUMBERSTRING(INT(N57*10000),2)&amp;"元整"</f>
        <v>零元整</v>
      </c>
      <c r="O58" s="2764"/>
    </row>
    <row r="59" spans="1:35" ht="24.75" thickBot="1">
      <c r="A59" s="3218" t="s">
        <v>2057</v>
      </c>
      <c r="B59" s="3219"/>
      <c r="C59" s="3219"/>
      <c r="D59" s="2788" t="e">
        <f ca="1">IF(H59="非个人房产","——",IF(H59="个人住宅（满五唯一有凭证）",0,IF(H59="个人其他（无凭证）",ROUND(D45*F59,0),ROUND(C67*F59,0))))</f>
        <v>#REF!</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2051</v>
      </c>
      <c r="H59" s="2534"/>
      <c r="I59" s="2533" t="s">
        <v>2880</v>
      </c>
      <c r="J59" s="3216">
        <f>J57+1</f>
        <v>6</v>
      </c>
      <c r="K59" s="3215" t="s">
        <v>2058</v>
      </c>
      <c r="L59" s="2751" t="s">
        <v>2054</v>
      </c>
      <c r="M59" s="2765"/>
      <c r="N59" s="2766" t="e">
        <f ca="1">M49-N57</f>
        <v>#VALUE!</v>
      </c>
      <c r="O59" s="2767"/>
    </row>
    <row r="60" spans="1:35" ht="12" customHeight="1">
      <c r="A60" s="1997"/>
      <c r="B60" s="1935"/>
      <c r="C60" s="1935"/>
      <c r="D60" s="1935"/>
      <c r="E60" s="1765"/>
      <c r="F60" s="1996"/>
      <c r="G60" s="1996"/>
      <c r="H60" s="1998"/>
      <c r="I60" s="134"/>
      <c r="J60" s="3217"/>
      <c r="K60" s="3215"/>
      <c r="L60" s="2758" t="s">
        <v>2056</v>
      </c>
      <c r="M60" s="2762"/>
      <c r="N60" s="2763" t="e">
        <f ca="1">NUMBERSTRING(INT(N59*10000),2)&amp;"元整"</f>
        <v>#VALUE!</v>
      </c>
      <c r="O60" s="2764"/>
    </row>
    <row r="61" spans="1:35" ht="13.5" thickBot="1">
      <c r="A61" s="3160" t="s">
        <v>2059</v>
      </c>
      <c r="B61" s="3160"/>
      <c r="C61" s="3160"/>
      <c r="D61" s="3160"/>
      <c r="E61" s="3160"/>
      <c r="F61" s="1996"/>
      <c r="G61" s="1996"/>
      <c r="H61" s="1998"/>
      <c r="I61" s="134"/>
      <c r="J61" s="2751">
        <f>J59+1</f>
        <v>7</v>
      </c>
      <c r="K61" s="3215" t="s">
        <v>2060</v>
      </c>
      <c r="L61" s="3215"/>
      <c r="M61" s="2768"/>
      <c r="N61" s="2769" t="e">
        <f ca="1">ROUND(N59*10000/'数据-汇总表'!E3,0)</f>
        <v>#VALUE!</v>
      </c>
      <c r="O61" s="2770"/>
    </row>
    <row r="62" spans="1:35" ht="12.75">
      <c r="A62" s="3178" t="s">
        <v>2061</v>
      </c>
      <c r="B62" s="3179"/>
      <c r="C62" s="2211"/>
      <c r="D62" s="2211" t="s">
        <v>2062</v>
      </c>
      <c r="E62" s="171" t="s">
        <v>2063</v>
      </c>
      <c r="F62" s="1996"/>
      <c r="G62" s="1996"/>
      <c r="H62" s="1998"/>
      <c r="I62" s="134"/>
    </row>
    <row r="63" spans="1:35" ht="12.75">
      <c r="A63" s="178" t="s">
        <v>775</v>
      </c>
      <c r="B63" s="172" t="s">
        <v>2064</v>
      </c>
      <c r="C63" s="2792" t="e">
        <f ca="1">ROUND((C64+C65)/(1+'数据-取费表'!C42),0)</f>
        <v>#REF!</v>
      </c>
      <c r="D63" s="172"/>
      <c r="E63" s="173"/>
      <c r="F63" s="1996"/>
      <c r="G63" s="1996"/>
      <c r="H63" s="1998"/>
      <c r="I63" s="134"/>
      <c r="J63" s="3240" t="s">
        <v>2065</v>
      </c>
      <c r="K63" s="1503" t="s">
        <v>2066</v>
      </c>
      <c r="L63" s="1503" t="e">
        <f ca="1">IF(M49&gt;10000,M49*0.5%,IF(AND(M49&gt;1000,M49&lt;=10000),M49*1%,IF(AND(M49&gt;100,M49&lt;=1000),M49*3%,IF(AND(M49&gt;10,M49&lt;=100),M49*5%,M49*8%))))</f>
        <v>#VALUE!</v>
      </c>
      <c r="M63" s="308" t="e">
        <f ca="1">ROUND(L63,1)</f>
        <v>#VALUE!</v>
      </c>
      <c r="N63" s="2771"/>
      <c r="Z63" s="1940"/>
      <c r="AI63" s="1941"/>
    </row>
    <row r="64" spans="1:35" ht="14.25" customHeight="1">
      <c r="A64" s="174" t="s">
        <v>770</v>
      </c>
      <c r="B64" s="175" t="s">
        <v>2067</v>
      </c>
      <c r="C64" s="2793" t="e">
        <f ca="1">D45</f>
        <v>#REF!</v>
      </c>
      <c r="D64" s="175" t="s">
        <v>32</v>
      </c>
      <c r="E64" s="177"/>
      <c r="F64" s="1996"/>
      <c r="G64" s="1996"/>
      <c r="H64" s="1998"/>
      <c r="I64" s="134"/>
      <c r="J64" s="3240"/>
      <c r="K64" s="1503" t="s">
        <v>2068</v>
      </c>
      <c r="L64" s="150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2" t="s">
        <v>2069</v>
      </c>
      <c r="Z64" s="1940"/>
      <c r="AI64" s="1941"/>
    </row>
    <row r="65" spans="1:35" ht="14.25" customHeight="1">
      <c r="A65" s="174" t="s">
        <v>771</v>
      </c>
      <c r="B65" s="175" t="s">
        <v>2070</v>
      </c>
      <c r="C65" s="2794"/>
      <c r="D65" s="175"/>
      <c r="E65" s="177"/>
      <c r="F65" s="1996"/>
      <c r="G65" s="1996"/>
      <c r="H65" s="1998"/>
      <c r="I65" s="134"/>
      <c r="J65" s="3240"/>
      <c r="K65" s="1503" t="s">
        <v>2071</v>
      </c>
      <c r="L65" s="1503" t="e">
        <f ca="1">IF(M49&gt;1000,M49*0.1%,IF(AND(M49&gt;500,M49&lt;=1000),M49*0.5%,IF(AND(M49&gt;50,M49&lt;=500),M49*1%,IF(AND(M49&gt;1,M49&lt;=50),M49*1.5%))))</f>
        <v>#VALUE!</v>
      </c>
      <c r="M65" s="308" t="e">
        <f t="shared" ca="1" si="1"/>
        <v>#VALUE!</v>
      </c>
      <c r="N65" s="2772" t="s">
        <v>2069</v>
      </c>
      <c r="Z65" s="1940"/>
      <c r="AI65" s="1941"/>
    </row>
    <row r="66" spans="1:35" ht="14.25" customHeight="1">
      <c r="A66" s="178" t="s">
        <v>772</v>
      </c>
      <c r="B66" s="179" t="s">
        <v>2072</v>
      </c>
      <c r="C66" s="2795"/>
      <c r="D66" s="179" t="s">
        <v>32</v>
      </c>
      <c r="E66" s="1511" t="s">
        <v>1337</v>
      </c>
      <c r="F66" s="1996"/>
      <c r="G66" s="1996"/>
      <c r="H66" s="1998"/>
      <c r="I66" s="134"/>
      <c r="J66" s="3240"/>
      <c r="K66" s="1503" t="s">
        <v>2073</v>
      </c>
      <c r="L66" s="1503" t="e">
        <f ca="1">M49*0.5%</f>
        <v>#VALUE!</v>
      </c>
      <c r="M66" s="308" t="e">
        <f ca="1">IF(L66&gt;0.5,0.5,ROUND(L66,0))</f>
        <v>#VALUE!</v>
      </c>
      <c r="N66" s="2772" t="s">
        <v>2074</v>
      </c>
      <c r="Z66" s="1940"/>
      <c r="AI66" s="1941"/>
    </row>
    <row r="67" spans="1:35" ht="14.25" customHeight="1">
      <c r="A67" s="178" t="s">
        <v>773</v>
      </c>
      <c r="B67" s="179" t="s">
        <v>2075</v>
      </c>
      <c r="C67" s="2796" t="e">
        <f ca="1">C63-C66</f>
        <v>#REF!</v>
      </c>
      <c r="D67" s="175" t="s">
        <v>32</v>
      </c>
      <c r="E67" s="177"/>
      <c r="F67" s="1996"/>
      <c r="G67" s="1996"/>
      <c r="H67" s="1998"/>
      <c r="I67" s="134"/>
      <c r="J67" s="3240"/>
      <c r="K67" s="1503" t="s">
        <v>2076</v>
      </c>
      <c r="L67" s="150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1"/>
      <c r="Z67" s="1940"/>
      <c r="AI67" s="1941"/>
    </row>
    <row r="68" spans="1:35" ht="14.25" customHeight="1" thickBot="1">
      <c r="A68" s="181" t="s">
        <v>774</v>
      </c>
      <c r="B68" s="182" t="s">
        <v>2077</v>
      </c>
      <c r="C68" s="2797" t="e">
        <f ca="1">IF(C67&lt;=0,0,ROUND(C67*D68,0))</f>
        <v>#REF!</v>
      </c>
      <c r="D68" s="2798">
        <f>'数据-取费表'!B41</f>
        <v>5.5000000000000007E-2</v>
      </c>
      <c r="E68" s="184"/>
      <c r="F68" s="1996"/>
      <c r="G68" s="1996"/>
      <c r="H68" s="1998"/>
      <c r="I68" s="134"/>
      <c r="J68" s="3240"/>
      <c r="K68" s="1503" t="s">
        <v>2078</v>
      </c>
      <c r="L68" s="1503" t="e">
        <f ca="1">IF(M49&gt;10000,M49*0.5%,IF(AND(M49&gt;5000,M49&lt;=10000),M49*1%,IF(AND(M49&gt;1000,M49&lt;=5000),M49*2%,IF(AND(M49&gt;200,M49&lt;=1000),M49*3%,M49*5%))))</f>
        <v>#VALUE!</v>
      </c>
      <c r="M68" s="308" t="e">
        <f ca="1">ROUND(L68,1)</f>
        <v>#VALUE!</v>
      </c>
      <c r="N68" s="2771"/>
      <c r="Z68" s="1940"/>
      <c r="AI68" s="1941"/>
    </row>
    <row r="69" spans="1:35" s="1960" customFormat="1" ht="16.5" customHeight="1">
      <c r="A69" s="1999"/>
      <c r="B69" s="2000"/>
      <c r="C69" s="2001"/>
      <c r="D69" s="2002"/>
      <c r="E69" s="2003"/>
      <c r="F69" s="1765"/>
      <c r="G69" s="1765"/>
      <c r="H69" s="1764"/>
      <c r="I69" s="1935"/>
      <c r="J69" s="3240"/>
      <c r="K69" s="1503" t="s">
        <v>2079</v>
      </c>
      <c r="L69" s="1503"/>
      <c r="M69" s="308" t="e">
        <f ca="1">ROUND(SUM(M63:M68),0)</f>
        <v>#VALUE!</v>
      </c>
      <c r="N69" s="2773" t="e">
        <f ca="1">M69/M49</f>
        <v>#VALUE!</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199" t="s">
        <v>2080</v>
      </c>
      <c r="B70" s="3200"/>
      <c r="C70" s="3200"/>
      <c r="D70" s="3200"/>
      <c r="E70" s="3200"/>
      <c r="F70" s="3200"/>
      <c r="G70" s="3200"/>
      <c r="H70" s="3200"/>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178" t="s">
        <v>2061</v>
      </c>
      <c r="B71" s="3179"/>
      <c r="C71" s="2211"/>
      <c r="D71" s="2211" t="s">
        <v>2062</v>
      </c>
      <c r="E71" s="185" t="s">
        <v>2063</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6" t="e">
        <f ca="1">ROUND(D45/(1+'数据-取费表'!C42),0)</f>
        <v>#REF!</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6" t="e">
        <f ca="1">C74+C78</f>
        <v>#REF!</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9"/>
      <c r="D75" s="175" t="s">
        <v>32</v>
      </c>
      <c r="E75" s="190" t="s">
        <v>2085</v>
      </c>
      <c r="F75" s="2800"/>
      <c r="G75" s="190" t="s">
        <v>2086</v>
      </c>
      <c r="H75" s="2801"/>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2">
        <v>0.05</v>
      </c>
      <c r="E76" s="3173" t="s">
        <v>2088</v>
      </c>
      <c r="F76" s="3147"/>
      <c r="G76" s="3147"/>
      <c r="H76" s="3198"/>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803">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4" t="e">
        <f ca="1">ROUND(D45*D78/(1+'数据-取费表'!C42),0)</f>
        <v>#REF!</v>
      </c>
      <c r="D78" s="2805">
        <f>'数据-取费表'!B43</f>
        <v>5.000000000000001E-3</v>
      </c>
      <c r="E78" s="3157" t="s">
        <v>2092</v>
      </c>
      <c r="F78" s="3158"/>
      <c r="G78" s="3158"/>
      <c r="H78" s="3167"/>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6" t="e">
        <f ca="1">C72-C73</f>
        <v>#REF!</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6" t="e">
        <f ca="1">IF(C79&lt;=0,0,C79/C73)</f>
        <v>#REF!</v>
      </c>
      <c r="D80" s="175" t="s">
        <v>32</v>
      </c>
      <c r="E80" s="2549" t="e">
        <f ca="1">IF(C80&gt;=200%,"增值额超过扣除项目金额200%",IF(C80&gt;=100%,"增值额超过扣除项目金额100%，未超过200%",IF(C80&gt;=50%,"增值额超过扣除项目金额50%，未超过100%",IF(C80&lt;50%,"增值额未超过扣除项目金额50%"))))</f>
        <v>#REF!</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7" t="e">
        <f ca="1">ROUND(IF(C79&lt;=0,0,IF(C80&gt;=200%,C79*60%-C73*35%,IF(C80&gt;=100%,C79*50%-C73*15%,IF(C80&gt;=50%,C79*40%-C73*5%,IF(C80&lt;50%,C79*30%,0))))),0)</f>
        <v>#REF!</v>
      </c>
      <c r="D81" s="2808"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199" t="s">
        <v>2096</v>
      </c>
      <c r="B83" s="3200"/>
      <c r="C83" s="3200"/>
      <c r="D83" s="3200"/>
      <c r="E83" s="3200"/>
      <c r="F83" s="3200"/>
      <c r="G83" s="3200"/>
      <c r="H83" s="3200"/>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178" t="s">
        <v>2061</v>
      </c>
      <c r="B84" s="3179"/>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6" t="e">
        <f ca="1">ROUND(D45/(1+'数据-取费表'!C42),0)</f>
        <v>#REF!</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6" t="e">
        <f ca="1">IF(H88="仅含出让金",C87+C90+C91+C92+C93+C94,C87+C91+C92+C93+C94)</f>
        <v>#REF!</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10"/>
      <c r="D88" s="2805"/>
      <c r="E88" s="199" t="s">
        <v>2099</v>
      </c>
      <c r="F88" s="2552"/>
      <c r="G88" s="200" t="s">
        <v>2100</v>
      </c>
      <c r="H88" s="2012"/>
      <c r="I88" s="2009"/>
      <c r="J88" s="2749" t="s">
        <v>3035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4">
        <f>ROUND(C88*D89,0)</f>
        <v>0</v>
      </c>
      <c r="D89" s="2805">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10"/>
      <c r="D90" s="2805"/>
      <c r="E90" s="199" t="str">
        <f>IF(H88="-","土地取得成本中已包含该笔费用"," ")</f>
        <v xml:space="preserve"> </v>
      </c>
      <c r="F90" s="2552"/>
      <c r="G90" s="3242" t="s">
        <v>2872</v>
      </c>
      <c r="H90" s="3243"/>
      <c r="I90" s="2009"/>
      <c r="J90" s="2749" t="s">
        <v>3036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4">
        <f>IF(H91="——",成本法!C33,I91)</f>
        <v>0</v>
      </c>
      <c r="D91" s="2805"/>
      <c r="E91" s="3157" t="s">
        <v>2105</v>
      </c>
      <c r="F91" s="3158"/>
      <c r="G91" s="3158"/>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4">
        <f>ROUND((C87+C90+C91)*D92,0)</f>
        <v>0</v>
      </c>
      <c r="D92" s="2811"/>
      <c r="E92" s="3157" t="s">
        <v>2108</v>
      </c>
      <c r="F92" s="3158"/>
      <c r="G92" s="3158"/>
      <c r="H92" s="3167"/>
      <c r="I92" s="2009"/>
      <c r="J92" s="2750" t="s">
        <v>3037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4" t="e">
        <f ca="1">ROUND(D45*D93/(1+'数据-取费表'!C42),0)</f>
        <v>#REF!</v>
      </c>
      <c r="D93" s="2805">
        <f>'数据-取费表'!B43</f>
        <v>5.000000000000001E-3</v>
      </c>
      <c r="E93" s="3157" t="s">
        <v>2092</v>
      </c>
      <c r="F93" s="3158"/>
      <c r="G93" s="3158"/>
      <c r="H93" s="3167"/>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10">
        <f>ROUND((C87+C90+C91)*D94,0)</f>
        <v>0</v>
      </c>
      <c r="D94" s="2805">
        <v>0.2</v>
      </c>
      <c r="E94" s="3168" t="s">
        <v>2112</v>
      </c>
      <c r="F94" s="3169"/>
      <c r="G94" s="3169"/>
      <c r="H94" s="3170"/>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6" t="e">
        <f ca="1">ROUND(C85-C86,0)</f>
        <v>#REF!</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6" t="e">
        <f ca="1">IF(C95&lt;=0,0,C95/C86)</f>
        <v>#REF!</v>
      </c>
      <c r="D96" s="175" t="s">
        <v>32</v>
      </c>
      <c r="E96" s="2549" t="e">
        <f ca="1">IF(C96&gt;=200%,"增值额超过扣除项目金额200%",IF(C96&gt;=100%,"增值额超过扣除项目金额100%，未超过200%",IF(C96&gt;=50%,"增值额超过扣除项目金额50%，未超过100%",IF(C96&lt;50%,"增值额未超过扣除项目金额50%"))))</f>
        <v>#REF!</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7" t="e">
        <f ca="1">ROUND(IF(C95&lt;=0,0,IF(C96&gt;=200%,C95*60%-C86*35%,IF(C96&gt;=100%,C95*50%-C86*15%,IF(C96&gt;=50%,C95*40%-C86*5%,IF(C96&lt;50%,C95*30%,0))))),0)</f>
        <v>#REF!</v>
      </c>
      <c r="D97" s="2808"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41" t="s">
        <v>2114</v>
      </c>
      <c r="B100" s="3142"/>
      <c r="C100" s="3142"/>
      <c r="D100" s="3159"/>
      <c r="E100" s="3142" t="s">
        <v>2115</v>
      </c>
      <c r="F100" s="3142"/>
      <c r="G100" s="3142"/>
      <c r="H100" s="3159"/>
      <c r="I100" s="134"/>
    </row>
    <row r="101" spans="1:35" ht="18.75" customHeight="1">
      <c r="A101" s="3223" t="s">
        <v>2116</v>
      </c>
      <c r="B101" s="3224"/>
      <c r="C101" s="2813" t="str">
        <f>C4</f>
        <v>成本法</v>
      </c>
      <c r="D101" s="2814">
        <f>D4</f>
        <v>0</v>
      </c>
      <c r="E101" s="3237" t="s">
        <v>2117</v>
      </c>
      <c r="F101" s="3191"/>
      <c r="G101" s="2015" t="s">
        <v>2118</v>
      </c>
      <c r="H101" s="2823" t="e">
        <f ca="1">H118</f>
        <v>#REF!</v>
      </c>
      <c r="I101" s="134"/>
    </row>
    <row r="102" spans="1:35" ht="18.75" customHeight="1">
      <c r="A102" s="3193" t="s">
        <v>2119</v>
      </c>
      <c r="B102" s="2812" t="s">
        <v>2118</v>
      </c>
      <c r="C102" s="2813">
        <f ca="1">C19</f>
        <v>429925</v>
      </c>
      <c r="D102" s="2814" t="e">
        <f ca="1">D19</f>
        <v>#REF!</v>
      </c>
      <c r="E102" s="3237"/>
      <c r="F102" s="3191"/>
      <c r="G102" s="2015" t="s">
        <v>2120</v>
      </c>
      <c r="H102" s="2783" t="e">
        <f ca="1">I118</f>
        <v>#REF!</v>
      </c>
      <c r="I102" s="134"/>
    </row>
    <row r="103" spans="1:35" ht="42.75" customHeight="1">
      <c r="A103" s="3193"/>
      <c r="B103" s="2812" t="s">
        <v>2120</v>
      </c>
      <c r="C103" s="2815">
        <f ca="1">C20</f>
        <v>55441</v>
      </c>
      <c r="D103" s="2816" t="e">
        <f ca="1">D20</f>
        <v>#REF!</v>
      </c>
      <c r="E103" s="3231" t="s">
        <v>2121</v>
      </c>
      <c r="F103" s="3232"/>
      <c r="G103" s="2016" t="s">
        <v>2122</v>
      </c>
      <c r="H103" s="2823">
        <f>IF(D36="正常操作",H104+H105+H106,H105+H106)</f>
        <v>0</v>
      </c>
      <c r="I103" s="134"/>
    </row>
    <row r="104" spans="1:35" ht="18.75" customHeight="1">
      <c r="A104" s="3193" t="s">
        <v>2123</v>
      </c>
      <c r="B104" s="2817" t="s">
        <v>2118</v>
      </c>
      <c r="C104" s="2818" t="e">
        <f ca="1">H118</f>
        <v>#REF!</v>
      </c>
      <c r="D104" s="2819"/>
      <c r="E104" s="1862" t="s">
        <v>2124</v>
      </c>
      <c r="F104" s="1853"/>
      <c r="G104" s="2016" t="s">
        <v>2122</v>
      </c>
      <c r="H104" s="2824">
        <f>IF(D36="同一抵押权人同一抵押物续贷",C36&amp;"（续贷，未扣减，详见特别提示）",C36)</f>
        <v>0</v>
      </c>
      <c r="I104" s="134"/>
    </row>
    <row r="105" spans="1:35" ht="18.75" customHeight="1" thickBot="1">
      <c r="A105" s="3194"/>
      <c r="B105" s="2820" t="s">
        <v>2120</v>
      </c>
      <c r="C105" s="2821" t="e">
        <f ca="1">I118</f>
        <v>#REF!</v>
      </c>
      <c r="D105" s="2822"/>
      <c r="E105" s="1862" t="s">
        <v>2125</v>
      </c>
      <c r="F105" s="1853"/>
      <c r="G105" s="2016" t="s">
        <v>2122</v>
      </c>
      <c r="H105" s="2825">
        <f>C37</f>
        <v>0</v>
      </c>
      <c r="I105" s="134"/>
    </row>
    <row r="106" spans="1:35" ht="18.75" customHeight="1">
      <c r="A106" s="1935" t="s">
        <v>2126</v>
      </c>
      <c r="B106" s="1935"/>
      <c r="C106" s="1935"/>
      <c r="D106" s="1935"/>
      <c r="E106" s="2017" t="s">
        <v>2127</v>
      </c>
      <c r="F106" s="1853"/>
      <c r="G106" s="2016" t="s">
        <v>2122</v>
      </c>
      <c r="H106" s="2825">
        <f>C38</f>
        <v>0</v>
      </c>
      <c r="I106" s="134"/>
    </row>
    <row r="107" spans="1:35" ht="18.75" customHeight="1">
      <c r="A107" s="134"/>
      <c r="B107" s="134"/>
      <c r="C107" s="134"/>
      <c r="D107" s="134"/>
      <c r="E107" s="3190" t="str">
        <f>IF(项目基本情况!E8="已注销","——","3.房地产抵押价值")</f>
        <v>3.房地产抵押价值</v>
      </c>
      <c r="F107" s="3191"/>
      <c r="G107" s="2015" t="s">
        <v>2118</v>
      </c>
      <c r="H107" s="2823" t="e">
        <f ca="1">IF(E107="——","——",H101-H103)</f>
        <v>#REF!</v>
      </c>
      <c r="I107" s="134"/>
    </row>
    <row r="108" spans="1:35" ht="18.75" customHeight="1">
      <c r="A108" s="134"/>
      <c r="B108" s="134"/>
      <c r="C108" s="134"/>
      <c r="D108" s="134"/>
      <c r="E108" s="3190"/>
      <c r="F108" s="3191"/>
      <c r="G108" s="2015" t="s">
        <v>2120</v>
      </c>
      <c r="H108" s="2783" t="e">
        <f ca="1">ROUND(H107*10000/'数据-汇总表'!E3,0)</f>
        <v>#REF!</v>
      </c>
      <c r="I108" s="134"/>
    </row>
    <row r="109" spans="1:35" ht="18.75" customHeight="1">
      <c r="A109" s="134"/>
      <c r="B109" s="134"/>
      <c r="C109" s="134"/>
      <c r="D109" s="134"/>
      <c r="E109" s="3190" t="str">
        <f>IF(项目基本情况!E8="已注销及未注销","4.抵押担保权已注销时的房地产抵押价值",IF(项目基本情况!E8="已注销","3.抵押担保权已注销时的房地产抵押价值","——"))</f>
        <v>——</v>
      </c>
      <c r="F109" s="3191"/>
      <c r="G109" s="2015" t="s">
        <v>2118</v>
      </c>
      <c r="H109" s="2826" t="str">
        <f>IF(E109="——","——",H101-H105-H106)</f>
        <v>——</v>
      </c>
      <c r="I109" s="134"/>
    </row>
    <row r="110" spans="1:35" ht="18.75" customHeight="1">
      <c r="A110" s="134"/>
      <c r="B110" s="134"/>
      <c r="C110" s="134"/>
      <c r="D110" s="134"/>
      <c r="E110" s="3190"/>
      <c r="F110" s="3191"/>
      <c r="G110" s="2015" t="s">
        <v>2120</v>
      </c>
      <c r="H110" s="2783" t="str">
        <f>IF(H109="——","——",ROUND(H109*10000/'数据-汇总表'!E3,0))</f>
        <v>——</v>
      </c>
      <c r="I110" s="134"/>
    </row>
    <row r="111" spans="1:35" ht="18.75" customHeight="1">
      <c r="A111" s="134"/>
      <c r="B111" s="134"/>
      <c r="C111" s="134"/>
      <c r="D111" s="134"/>
      <c r="E111" s="3225" t="str">
        <f>IF(项目基本情况!E9="抵押净值",IF(OR(项目基本情况!E8="已注销",项目基本情况!E8="房地产抵押价值"),"4.抵押净值","5.抵押净值"),"——")</f>
        <v>——</v>
      </c>
      <c r="F111" s="3192"/>
      <c r="G111" s="2015" t="s">
        <v>2118</v>
      </c>
      <c r="H111" s="2823" t="str">
        <f>IF(E111="——","——",N59)</f>
        <v>——</v>
      </c>
      <c r="I111" s="134"/>
    </row>
    <row r="112" spans="1:35" ht="18.75" customHeight="1" thickBot="1">
      <c r="A112" s="134"/>
      <c r="B112" s="134"/>
      <c r="C112" s="134"/>
      <c r="D112" s="134"/>
      <c r="E112" s="3226"/>
      <c r="F112" s="3227"/>
      <c r="G112" s="2018" t="s">
        <v>2120</v>
      </c>
      <c r="H112" s="2827" t="str">
        <f>IF(E111="——","——",N61)</f>
        <v>——</v>
      </c>
      <c r="I112" s="134"/>
    </row>
    <row r="113" spans="1:27" ht="18.75" customHeight="1">
      <c r="A113" s="134"/>
      <c r="B113" s="134"/>
      <c r="C113" s="134"/>
      <c r="D113" s="134"/>
      <c r="E113" s="3195" t="s">
        <v>2126</v>
      </c>
      <c r="F113" s="3195"/>
      <c r="G113" s="3195"/>
      <c r="H113" s="3195"/>
      <c r="I113" s="134"/>
    </row>
    <row r="114" spans="1:27" ht="3.75" customHeight="1">
      <c r="A114" s="1935"/>
      <c r="B114" s="1935"/>
      <c r="C114" s="1935"/>
      <c r="D114" s="1935"/>
      <c r="E114" s="1997"/>
      <c r="F114" s="1997"/>
      <c r="G114" s="1997"/>
      <c r="H114" s="1997"/>
      <c r="I114" s="1935"/>
    </row>
    <row r="115" spans="1:27" ht="18.75" customHeight="1">
      <c r="A115" s="3208" t="s">
        <v>2128</v>
      </c>
      <c r="B115" s="3209"/>
      <c r="C115" s="3209"/>
      <c r="D115" s="3209"/>
      <c r="E115" s="3209"/>
      <c r="F115" s="3209"/>
      <c r="G115" s="3209"/>
      <c r="H115" s="3209"/>
      <c r="I115" s="3210"/>
    </row>
    <row r="116" spans="1:27" ht="27" customHeight="1">
      <c r="A116" s="3161" t="s">
        <v>2129</v>
      </c>
      <c r="B116" s="3196" t="s">
        <v>2130</v>
      </c>
      <c r="C116" s="3196" t="s">
        <v>2131</v>
      </c>
      <c r="D116" s="3212" t="s">
        <v>2132</v>
      </c>
      <c r="E116" s="3213"/>
      <c r="F116" s="3204" t="s">
        <v>2133</v>
      </c>
      <c r="G116" s="3204"/>
      <c r="H116" s="3161" t="s">
        <v>2134</v>
      </c>
      <c r="I116" s="3161"/>
    </row>
    <row r="117" spans="1:27" ht="18.75" customHeight="1">
      <c r="A117" s="3161"/>
      <c r="B117" s="3197"/>
      <c r="C117" s="3197"/>
      <c r="D117" s="2554" t="s">
        <v>2135</v>
      </c>
      <c r="E117" s="2554" t="s">
        <v>2136</v>
      </c>
      <c r="F117" s="2554" t="s">
        <v>2135</v>
      </c>
      <c r="G117" s="2554" t="s">
        <v>2137</v>
      </c>
      <c r="H117" s="2554" t="s">
        <v>2135</v>
      </c>
      <c r="I117" s="2554" t="s">
        <v>2137</v>
      </c>
    </row>
    <row r="118" spans="1:27" ht="24.75" customHeight="1">
      <c r="A118" s="2828" t="str">
        <f>项目基本情况!S2</f>
        <v>房地产</v>
      </c>
      <c r="B118" s="2554">
        <f>M18</f>
        <v>77547</v>
      </c>
      <c r="C118" s="2554">
        <f>M19</f>
        <v>62231.63</v>
      </c>
      <c r="D118" s="2554" t="e">
        <f ca="1">ROUND(IF(D32="总价",C34,E118*B118/10000),0)</f>
        <v>#REF!</v>
      </c>
      <c r="E118" s="2554" t="e">
        <f ca="1">ROUND(IF(C33="自定义",IF(D32="楼面单价",C34,D118*10000/B118),I118-G118),0)</f>
        <v>#REF!</v>
      </c>
      <c r="F118" s="2554" t="e">
        <f ca="1">ROUND(IF(D32="总价",C35,G118*B118/10000),0)</f>
        <v>#REF!</v>
      </c>
      <c r="G118" s="2554" t="e">
        <f ca="1">ROUND(IF(D32="楼面单价",C35,F118*10000/B118),0)</f>
        <v>#REF!</v>
      </c>
      <c r="H118" s="2554" t="e">
        <f ca="1">ROUND(IF(D32="总价",C32,I118*B118/10000),0)</f>
        <v>#REF!</v>
      </c>
      <c r="I118" s="2554" t="e">
        <f ca="1">ROUND(IF(D32="楼面单价",C32,H118*10000/B118),0)</f>
        <v>#REF!</v>
      </c>
    </row>
    <row r="119" spans="1:27" ht="18.75" customHeight="1">
      <c r="A119" s="3161" t="s">
        <v>2138</v>
      </c>
      <c r="B119" s="3161"/>
      <c r="C119" s="3161"/>
      <c r="D119" s="3201" t="e">
        <f ca="1">NUMBERSTRING(INT(D118*10000),2)&amp;"元整"</f>
        <v>#REF!</v>
      </c>
      <c r="E119" s="3203"/>
      <c r="F119" s="3201" t="e">
        <f ca="1">NUMBERSTRING(INT(F118*10000),2)&amp;"元整"</f>
        <v>#REF!</v>
      </c>
      <c r="G119" s="3203"/>
      <c r="H119" s="3201" t="e">
        <f ca="1">NUMBERSTRING(INT(H118*10000),2)&amp;"元整"</f>
        <v>#REF!</v>
      </c>
      <c r="I119" s="3203"/>
    </row>
    <row r="120" spans="1:27" ht="18.75" customHeight="1">
      <c r="A120" s="3228" t="str">
        <f>IF(项目基本情况!B9="房地产市场价值","",MID(E103,3,LEN(E103)-2))</f>
        <v>估价师知悉的法定优先受偿款</v>
      </c>
      <c r="B120" s="3229"/>
      <c r="C120" s="3230"/>
      <c r="D120" s="3228">
        <f>H103</f>
        <v>0</v>
      </c>
      <c r="E120" s="3229"/>
      <c r="F120" s="3229"/>
      <c r="G120" s="3229"/>
      <c r="H120" s="3229"/>
      <c r="I120" s="3230"/>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5" t="s">
        <v>2138</v>
      </c>
      <c r="B121" s="3206"/>
      <c r="C121" s="3207"/>
      <c r="D121" s="3201" t="str">
        <f>IF(D120=0,"零元整",NUMBERSTRING(INT(D120*10000),2)&amp;"元整")</f>
        <v>零元整</v>
      </c>
      <c r="E121" s="3202"/>
      <c r="F121" s="3202"/>
      <c r="G121" s="3202"/>
      <c r="H121" s="3202"/>
      <c r="I121" s="3203"/>
      <c r="AA121" s="734"/>
    </row>
    <row r="122" spans="1:27" ht="18.75" customHeight="1">
      <c r="A122" s="3192" t="str">
        <f>IF(项目基本情况!B9="房地产市场价值","",MID(E107,3,LEN(E107)-2))</f>
        <v>房地产抵押价值</v>
      </c>
      <c r="B122" s="3192"/>
      <c r="C122" s="3192"/>
      <c r="D122" s="3228" t="e">
        <f ca="1">H107</f>
        <v>#REF!</v>
      </c>
      <c r="E122" s="3229"/>
      <c r="F122" s="3229"/>
      <c r="G122" s="3229"/>
      <c r="H122" s="3229"/>
      <c r="I122" s="3230"/>
      <c r="AA122" s="734"/>
    </row>
    <row r="123" spans="1:27" ht="18.75" customHeight="1">
      <c r="A123" s="3161" t="s">
        <v>2138</v>
      </c>
      <c r="B123" s="3161"/>
      <c r="C123" s="3161"/>
      <c r="D123" s="3201" t="e">
        <f ca="1">NUMBERSTRING(INT(D122*10000),2)&amp;"元整"</f>
        <v>#REF!</v>
      </c>
      <c r="E123" s="3202"/>
      <c r="F123" s="3202"/>
      <c r="G123" s="3202"/>
      <c r="H123" s="3202"/>
      <c r="I123" s="3203"/>
      <c r="AA123" s="734"/>
    </row>
    <row r="124" spans="1:27" ht="18.75" customHeight="1">
      <c r="A124" s="3192" t="str">
        <f>IF(项目基本情况!B9="房地产市场价值","",MID(E109,3,LEN(E109)-2))</f>
        <v/>
      </c>
      <c r="B124" s="3192"/>
      <c r="C124" s="3192"/>
      <c r="D124" s="3228" t="str">
        <f>H109</f>
        <v>——</v>
      </c>
      <c r="E124" s="3229"/>
      <c r="F124" s="3229"/>
      <c r="G124" s="3229"/>
      <c r="H124" s="3229"/>
      <c r="I124" s="3230"/>
      <c r="AA124" s="734"/>
    </row>
    <row r="125" spans="1:27" ht="18.75" customHeight="1">
      <c r="A125" s="3161" t="s">
        <v>2138</v>
      </c>
      <c r="B125" s="3161"/>
      <c r="C125" s="3161"/>
      <c r="D125" s="3201" t="e">
        <f>NUMBERSTRING(INT(D124*10000),2)&amp;"元整"</f>
        <v>#VALUE!</v>
      </c>
      <c r="E125" s="3202"/>
      <c r="F125" s="3202"/>
      <c r="G125" s="3202"/>
      <c r="H125" s="3202"/>
      <c r="I125" s="3203"/>
      <c r="AA125" s="734"/>
    </row>
    <row r="126" spans="1:27" ht="18.75" customHeight="1">
      <c r="A126" s="3192" t="str">
        <f>IF(项目基本情况!B9="房地产市场价值","",MID(E111,3,LEN(E111)-2))</f>
        <v/>
      </c>
      <c r="B126" s="3192"/>
      <c r="C126" s="3192"/>
      <c r="D126" s="3228" t="str">
        <f>H111</f>
        <v>——</v>
      </c>
      <c r="E126" s="3229"/>
      <c r="F126" s="3229"/>
      <c r="G126" s="3229"/>
      <c r="H126" s="3229"/>
      <c r="I126" s="3230"/>
      <c r="AA126" s="734"/>
    </row>
    <row r="127" spans="1:27" ht="18.75" customHeight="1">
      <c r="A127" s="3161" t="s">
        <v>2138</v>
      </c>
      <c r="B127" s="3161"/>
      <c r="C127" s="3161"/>
      <c r="D127" s="3201" t="e">
        <f>NUMBERSTRING(INT(D126*10000),2)&amp;"元整"</f>
        <v>#VALUE!</v>
      </c>
      <c r="E127" s="3202"/>
      <c r="F127" s="3202"/>
      <c r="G127" s="3202"/>
      <c r="H127" s="3202"/>
      <c r="I127" s="3203"/>
      <c r="AA127" s="734"/>
    </row>
    <row r="128" spans="1:27" ht="21.75" customHeight="1">
      <c r="A128" s="3211" t="s">
        <v>2139</v>
      </c>
      <c r="B128" s="3211"/>
      <c r="C128" s="3211"/>
      <c r="D128" s="3211"/>
      <c r="E128" s="3211"/>
      <c r="F128" s="3211"/>
      <c r="G128" s="3211"/>
      <c r="H128" s="3211"/>
      <c r="I128" s="3211"/>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5" t="str">
        <f>项目基本情况!B1</f>
        <v>预评估</v>
      </c>
      <c r="C37" s="3055"/>
      <c r="D37" s="3055"/>
      <c r="E37" s="3055"/>
      <c r="F37" s="3055"/>
      <c r="G37" s="3055"/>
      <c r="H37" s="3055"/>
      <c r="I37" s="305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48" sqref="B4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t="s">
        <v>3162</v>
      </c>
      <c r="C1" s="204"/>
      <c r="D1" s="204"/>
      <c r="E1" s="204"/>
      <c r="F1" s="204"/>
      <c r="G1" s="1288">
        <f>MATCH(B1,'数据-取费表'!A6:A16,0)+5</f>
        <v>6</v>
      </c>
    </row>
    <row r="2" spans="1:9" s="206" customFormat="1" ht="18" customHeight="1">
      <c r="A2" s="207" t="s">
        <v>2148</v>
      </c>
      <c r="B2" s="208">
        <f ca="1">IF(D2="——",C52,C52-E2)</f>
        <v>429925</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55441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322384</v>
      </c>
      <c r="D5" s="217" t="s">
        <v>2155</v>
      </c>
      <c r="E5" s="218" t="s">
        <v>2156</v>
      </c>
      <c r="F5" s="218" t="s">
        <v>2157</v>
      </c>
      <c r="G5" s="219"/>
    </row>
    <row r="6" spans="1:9" s="220" customFormat="1" ht="13.5" customHeight="1">
      <c r="A6" s="886" t="s">
        <v>2158</v>
      </c>
      <c r="B6" s="221" t="s">
        <v>2159</v>
      </c>
      <c r="C6" s="222">
        <f>'土地比较法-住宅、综合'!B2</f>
        <v>311638</v>
      </c>
      <c r="D6" s="223"/>
      <c r="E6" s="224"/>
      <c r="F6" s="224"/>
      <c r="G6" s="225"/>
    </row>
    <row r="7" spans="1:9" s="220" customFormat="1" ht="13.5" customHeight="1">
      <c r="A7" s="886" t="s">
        <v>2160</v>
      </c>
      <c r="B7" s="221" t="s">
        <v>2161</v>
      </c>
      <c r="C7" s="226">
        <f>ROUND(C6*F7,0)</f>
        <v>9505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1241</v>
      </c>
      <c r="D8" s="228"/>
      <c r="E8" s="226"/>
      <c r="F8" s="227"/>
      <c r="G8" s="2044" t="s">
        <v>3173</v>
      </c>
    </row>
    <row r="9" spans="1:9" s="220" customFormat="1" ht="13.5" customHeight="1">
      <c r="A9" s="887" t="s">
        <v>800</v>
      </c>
      <c r="B9" s="230" t="s">
        <v>2164</v>
      </c>
      <c r="C9" s="231">
        <f ca="1">ROUND(D9*E9/10000,0)</f>
        <v>1241</v>
      </c>
      <c r="D9" s="954">
        <f ca="1">IF(B1="",'数据-汇总表'!E5,IF(INDIRECT("'数据-取费表'!c"&amp;$G$1)="住宅",INDIRECT("'数据-取费表'!k"&amp;$G$1),0))</f>
        <v>77547</v>
      </c>
      <c r="E9" s="231">
        <f>'数据-取费表'!B27</f>
        <v>160</v>
      </c>
      <c r="F9" s="227"/>
      <c r="G9" s="2045" t="s">
        <v>3174</v>
      </c>
      <c r="H9" s="1299"/>
      <c r="I9" s="2046" t="s">
        <v>2165</v>
      </c>
    </row>
    <row r="10" spans="1:9" s="220" customFormat="1" ht="13.5" customHeight="1">
      <c r="A10" s="887" t="s">
        <v>801</v>
      </c>
      <c r="B10" s="230" t="s">
        <v>2166</v>
      </c>
      <c r="C10" s="231">
        <f ca="1">ROUND(D10*E10/10000,0)</f>
        <v>0</v>
      </c>
      <c r="D10" s="954">
        <f ca="1">IF(B1="",'数据-汇总表'!E6,IF(INDIRECT("'数据-取费表'!c"&amp;$G$1)="住宅",INDIRECT("'数据-取费表'!s"&amp;$G$1),INDIRECT("'数据-取费表'!k"&amp;$G$1)+INDIRECT("'数据-取费表'!s"&amp;$G$1)))</f>
        <v>0</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1551</v>
      </c>
      <c r="D19" s="958">
        <f ca="1">D9+D10</f>
        <v>77547</v>
      </c>
      <c r="E19" s="217">
        <f>'数据-取费表'!B31</f>
        <v>200</v>
      </c>
      <c r="F19" s="237"/>
      <c r="G19" s="2044" t="s">
        <v>1042</v>
      </c>
    </row>
    <row r="20" spans="1:7" s="220" customFormat="1" ht="13.5" customHeight="1">
      <c r="A20" s="261" t="s">
        <v>2179</v>
      </c>
      <c r="B20" s="216" t="s">
        <v>2180</v>
      </c>
      <c r="C20" s="238">
        <f ca="1">ROUND((C5+C19)*F20,0)</f>
        <v>6479</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31736</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31354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74</v>
      </c>
      <c r="D24" s="244"/>
      <c r="E24" s="244"/>
      <c r="F24" s="245"/>
      <c r="G24" s="246" t="s">
        <v>2193</v>
      </c>
    </row>
    <row r="25" spans="1:7" s="220" customFormat="1" ht="24">
      <c r="A25" s="888" t="s">
        <v>2194</v>
      </c>
      <c r="B25" s="221" t="s">
        <v>2195</v>
      </c>
      <c r="C25" s="1265">
        <f ca="1">ROUND(IF('数据-取费表'!B22&lt;=1,C20*F22*'数据-取费表'!B23/2,C20*(POWER((1+F22),'数据-取费表'!B23/2)-1)),0)</f>
        <v>308</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0</v>
      </c>
      <c r="D27" s="241">
        <f ca="1">C29</f>
        <v>0</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0</v>
      </c>
      <c r="D28" s="241"/>
      <c r="E28" s="242"/>
      <c r="F28" s="252"/>
      <c r="G28" s="253"/>
    </row>
    <row r="29" spans="1:7" s="220" customFormat="1" ht="13.5" customHeight="1">
      <c r="A29" s="888" t="s">
        <v>792</v>
      </c>
      <c r="B29" s="254" t="s">
        <v>2203</v>
      </c>
      <c r="C29" s="244">
        <f ca="1">ROUND(C21*F27*'数据-取费表'!B21/'数据-取费表'!B20,4)</f>
        <v>0</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390837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33818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29468</v>
      </c>
      <c r="D34" s="223"/>
      <c r="E34" s="226"/>
      <c r="F34" s="263">
        <f ca="1">IF('数据-取费表'!B24=0,1,IF(B1="",'数据-取费表'!N16,INDIRECT("'数据-取费表'!n"&amp;$G$1)))</f>
        <v>1</v>
      </c>
      <c r="G34" s="225" t="s">
        <v>2212</v>
      </c>
    </row>
    <row r="35" spans="1:7" ht="13.5" customHeight="1">
      <c r="A35" s="888" t="s">
        <v>796</v>
      </c>
      <c r="B35" s="221" t="s">
        <v>2213</v>
      </c>
      <c r="C35" s="226">
        <f ca="1">ROUND(C34*F35,0)</f>
        <v>884</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1473</v>
      </c>
      <c r="D36" s="226"/>
      <c r="E36" s="226"/>
      <c r="F36" s="265">
        <f>'数据-取费表'!B34</f>
        <v>0.05</v>
      </c>
      <c r="G36" s="266" t="s">
        <v>2216</v>
      </c>
    </row>
    <row r="37" spans="1:7" s="264" customFormat="1" ht="13.5" customHeight="1">
      <c r="A37" s="888" t="s">
        <v>798</v>
      </c>
      <c r="B37" s="221" t="s">
        <v>2217</v>
      </c>
      <c r="C37" s="255">
        <f ca="1">ROUND(E37*D37*F34/10000,0)</f>
        <v>1551</v>
      </c>
      <c r="D37" s="223">
        <f ca="1">D19</f>
        <v>77547</v>
      </c>
      <c r="E37" s="255">
        <f>'数据-取费表'!B35</f>
        <v>200</v>
      </c>
      <c r="F37" s="265"/>
      <c r="G37" s="267" t="s">
        <v>2218</v>
      </c>
    </row>
    <row r="38" spans="1:7" ht="13.5" customHeight="1">
      <c r="A38" s="888" t="s">
        <v>799</v>
      </c>
      <c r="B38" s="221" t="s">
        <v>2219</v>
      </c>
      <c r="C38" s="226">
        <f ca="1">ROUND(C34*F38,0)</f>
        <v>442</v>
      </c>
      <c r="D38" s="226"/>
      <c r="E38" s="226"/>
      <c r="F38" s="265">
        <f>'数据-取费表'!B36</f>
        <v>1.4999999999999999E-2</v>
      </c>
      <c r="G38" s="225" t="s">
        <v>2214</v>
      </c>
    </row>
    <row r="39" spans="1:7" s="220" customFormat="1" ht="13.5" customHeight="1">
      <c r="A39" s="261" t="s">
        <v>2220</v>
      </c>
      <c r="B39" s="216" t="s">
        <v>2221</v>
      </c>
      <c r="C39" s="238">
        <f ca="1">ROUND(C33*F20,0)</f>
        <v>676</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0</v>
      </c>
      <c r="D41" s="241">
        <f ca="1">C44</f>
        <v>0</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0</v>
      </c>
      <c r="D42" s="244"/>
      <c r="E42" s="244"/>
      <c r="F42" s="245"/>
      <c r="G42" s="3244" t="s">
        <v>2230</v>
      </c>
    </row>
    <row r="43" spans="1:7" ht="13.5" customHeight="1">
      <c r="A43" s="888" t="s">
        <v>792</v>
      </c>
      <c r="B43" s="221" t="s">
        <v>2231</v>
      </c>
      <c r="C43" s="244">
        <f ca="1">ROUND(IF('数据-取费表'!B22&lt;=1,C39*F22*'数据-取费表'!B21/2,C39*(POWER((1+F22),'数据-取费表'!B21/2)-1)),0)</f>
        <v>0</v>
      </c>
      <c r="D43" s="244"/>
      <c r="E43" s="244"/>
      <c r="F43" s="245"/>
      <c r="G43" s="3245"/>
    </row>
    <row r="44" spans="1:7" ht="13.5" customHeight="1">
      <c r="A44" s="888" t="s">
        <v>793</v>
      </c>
      <c r="B44" s="221" t="s">
        <v>2232</v>
      </c>
      <c r="C44" s="244">
        <f ca="1">ROUND(IF('数据-取费表'!B22&lt;=1,C40*F22*'数据-取费表'!B21/2,C40*(POWER((1+F22),'数据-取费表'!B21/2)-1)),4)</f>
        <v>0</v>
      </c>
      <c r="D44" s="244"/>
      <c r="E44" s="244"/>
      <c r="F44" s="245"/>
      <c r="G44" s="3246"/>
    </row>
    <row r="45" spans="1:7" s="220" customFormat="1" ht="13.5" customHeight="1">
      <c r="A45" s="261" t="s">
        <v>2233</v>
      </c>
      <c r="B45" s="250" t="s">
        <v>2199</v>
      </c>
      <c r="C45" s="251">
        <f ca="1">C46</f>
        <v>1725</v>
      </c>
      <c r="D45" s="241">
        <f ca="1">C47</f>
        <v>1E-3</v>
      </c>
      <c r="E45" s="242" t="s">
        <v>2225</v>
      </c>
      <c r="F45" s="2539">
        <f ca="1">F27</f>
        <v>0.05</v>
      </c>
      <c r="G45" s="253" t="s">
        <v>2234</v>
      </c>
    </row>
    <row r="46" spans="1:7" s="220" customFormat="1" ht="13.5" customHeight="1">
      <c r="A46" s="888" t="s">
        <v>791</v>
      </c>
      <c r="B46" s="254" t="s">
        <v>2235</v>
      </c>
      <c r="C46" s="255">
        <f ca="1">ROUND((C33+C39)*F27,0)</f>
        <v>1725</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7">
        <f>ROUND(F30/(1+'数据-取费表'!C42),4)</f>
        <v>5.2400000000000002E-2</v>
      </c>
      <c r="D48" s="242" t="s">
        <v>2225</v>
      </c>
      <c r="E48" s="238"/>
      <c r="F48" s="2538">
        <f>F30</f>
        <v>5.5000000000000007E-2</v>
      </c>
      <c r="G48" s="240" t="s">
        <v>2238</v>
      </c>
    </row>
    <row r="49" spans="1:7" ht="16.5" customHeight="1">
      <c r="A49" s="261" t="s">
        <v>2204</v>
      </c>
      <c r="B49" s="216" t="s">
        <v>2239</v>
      </c>
      <c r="C49" s="238">
        <f ca="1">ROUND((C33+C39+C41+C45)/(1-C40-D41-D45-C48),0)</f>
        <v>39088</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39088</v>
      </c>
      <c r="D51" s="238"/>
      <c r="E51" s="238"/>
      <c r="F51" s="270"/>
      <c r="G51" s="240" t="s">
        <v>2246</v>
      </c>
    </row>
    <row r="52" spans="1:7" s="214" customFormat="1" ht="16.5" thickBot="1">
      <c r="A52" s="271" t="s">
        <v>2247</v>
      </c>
      <c r="B52" s="272"/>
      <c r="C52" s="273">
        <f ca="1">C31+C51</f>
        <v>429925</v>
      </c>
      <c r="D52" s="272"/>
      <c r="E52" s="272"/>
      <c r="F52" s="272"/>
      <c r="G52" s="274"/>
    </row>
    <row r="55" spans="1:7" ht="15">
      <c r="B55" s="276" t="s">
        <v>2248</v>
      </c>
      <c r="C55" s="277"/>
    </row>
    <row r="56" spans="1:7">
      <c r="B56" s="279" t="s">
        <v>1478</v>
      </c>
      <c r="C56" s="281">
        <f ca="1">1-C57</f>
        <v>0.90900000000000003</v>
      </c>
    </row>
    <row r="57" spans="1:7">
      <c r="B57" s="279" t="s">
        <v>1479</v>
      </c>
      <c r="C57" s="280">
        <f ca="1">ROUND(C51/C52,3)</f>
        <v>9.0999999999999998E-2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44664</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5760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12407520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12407520</v>
      </c>
      <c r="D8" s="228"/>
      <c r="E8" s="226"/>
      <c r="F8" s="227"/>
      <c r="G8" s="2044"/>
    </row>
    <row r="9" spans="1:8" s="220" customFormat="1" ht="13.5" customHeight="1">
      <c r="A9" s="887" t="s">
        <v>800</v>
      </c>
      <c r="B9" s="230" t="s">
        <v>2164</v>
      </c>
      <c r="C9" s="231">
        <f ca="1">ROUND(D9*E9,0)</f>
        <v>12407520</v>
      </c>
      <c r="D9" s="954">
        <f ca="1">IF(B1="",'数据-汇总表'!E5,IF(INDIRECT("'数据-取费表'!c"&amp;$G$1)="住宅",INDIRECT("'数据-取费表'!k"&amp;$G$1),0))</f>
        <v>77547</v>
      </c>
      <c r="E9" s="231">
        <f>'数据-取费表'!B27</f>
        <v>160</v>
      </c>
      <c r="F9" s="227"/>
      <c r="G9" s="232"/>
    </row>
    <row r="10" spans="1:8" s="220" customFormat="1" ht="13.5" customHeight="1">
      <c r="A10" s="887" t="s">
        <v>801</v>
      </c>
      <c r="B10" s="230" t="s">
        <v>2166</v>
      </c>
      <c r="C10" s="231">
        <f ca="1">ROUND(D10*E10,0)</f>
        <v>0</v>
      </c>
      <c r="D10" s="954">
        <f ca="1">IF(B1="",'数据-汇总表'!E6,IF(INDIRECT("'数据-取费表'!c"&amp;$G$1)="住宅",INDIRECT("'数据-取费表'!s"&amp;$G$1),INDIRECT("'数据-取费表'!k"&amp;$G$1)+INDIRECT("'数据-取费表'!s"&amp;$G$1)))</f>
        <v>0</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15509400</v>
      </c>
      <c r="D19" s="958">
        <f ca="1">D9+D10</f>
        <v>77547</v>
      </c>
      <c r="E19" s="217">
        <f>'数据-取费表'!B31</f>
        <v>200</v>
      </c>
      <c r="F19" s="237"/>
      <c r="G19" s="2044"/>
    </row>
    <row r="20" spans="1:7" s="220" customFormat="1" ht="13.5" customHeight="1">
      <c r="A20" s="261" t="s">
        <v>2260</v>
      </c>
      <c r="B20" s="216" t="s">
        <v>2261</v>
      </c>
      <c r="C20" s="238">
        <f ca="1">ROUND((C5+C19)*F20,0)</f>
        <v>558338</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4901811</v>
      </c>
      <c r="D22" s="241">
        <f ca="1">C26</f>
        <v>1.9E-3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2530778</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2316731</v>
      </c>
      <c r="D24" s="244"/>
      <c r="E24" s="244"/>
      <c r="F24" s="245"/>
      <c r="G24" s="246" t="s">
        <v>2272</v>
      </c>
    </row>
    <row r="25" spans="1:7" s="220" customFormat="1" ht="24">
      <c r="A25" s="888" t="s">
        <v>2162</v>
      </c>
      <c r="B25" s="221" t="s">
        <v>2273</v>
      </c>
      <c r="C25" s="1290">
        <f ca="1">ROUND(IF('数据-取费表'!B22&lt;=1,C20*F22*'数据-取费表'!B22/2,C20*(POWER((1+F22),'数据-取费表'!B22/2)-1)),0)</f>
        <v>54302</v>
      </c>
      <c r="D25" s="244"/>
      <c r="E25" s="247"/>
      <c r="F25" s="245"/>
      <c r="G25" s="248" t="s">
        <v>2274</v>
      </c>
    </row>
    <row r="26" spans="1:7" s="220" customFormat="1">
      <c r="A26" s="888" t="s">
        <v>795</v>
      </c>
      <c r="B26" s="221" t="s">
        <v>2197</v>
      </c>
      <c r="C26" s="244">
        <f ca="1">ROUND(IF('数据-取费表'!B22&lt;=1,F21*F22*'数据-取费表'!B22/2,F21*(POWER((1+F22),'数据-取费表'!B22/2)-1)),4)</f>
        <v>1.9E-3</v>
      </c>
      <c r="D26" s="244"/>
      <c r="E26" s="247"/>
      <c r="F26" s="245"/>
      <c r="G26" s="249"/>
    </row>
    <row r="27" spans="1:7" s="220" customFormat="1" ht="24.75">
      <c r="A27" s="261" t="s">
        <v>2198</v>
      </c>
      <c r="B27" s="250" t="s">
        <v>2199</v>
      </c>
      <c r="C27" s="251">
        <f ca="1">C28</f>
        <v>1423763</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1423763</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37634727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338182467</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294678600</v>
      </c>
      <c r="D34" s="223"/>
      <c r="E34" s="226"/>
      <c r="F34" s="263"/>
      <c r="G34" s="225"/>
    </row>
    <row r="35" spans="1:7" ht="13.5" customHeight="1">
      <c r="A35" s="888" t="s">
        <v>796</v>
      </c>
      <c r="B35" s="221" t="s">
        <v>2213</v>
      </c>
      <c r="C35" s="226">
        <f ca="1">ROUND(C34*F35,0)</f>
        <v>8840358</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14733930</v>
      </c>
      <c r="D36" s="226"/>
      <c r="E36" s="226"/>
      <c r="F36" s="265">
        <f>'数据-取费表'!B34</f>
        <v>0.05</v>
      </c>
      <c r="G36" s="266" t="s">
        <v>2216</v>
      </c>
    </row>
    <row r="37" spans="1:7" s="264" customFormat="1" ht="13.5" customHeight="1">
      <c r="A37" s="888" t="s">
        <v>798</v>
      </c>
      <c r="B37" s="221" t="s">
        <v>2217</v>
      </c>
      <c r="C37" s="255">
        <f ca="1">ROUND(E37*D37,0)</f>
        <v>15509400</v>
      </c>
      <c r="D37" s="223">
        <f ca="1">D19</f>
        <v>77547</v>
      </c>
      <c r="E37" s="255">
        <f>'数据-取费表'!B35</f>
        <v>200</v>
      </c>
      <c r="F37" s="265"/>
      <c r="G37" s="267"/>
    </row>
    <row r="38" spans="1:7" ht="13.5" customHeight="1">
      <c r="A38" s="888" t="s">
        <v>799</v>
      </c>
      <c r="B38" s="221" t="s">
        <v>2219</v>
      </c>
      <c r="C38" s="226">
        <f ca="1">ROUND(C34*F38,0)</f>
        <v>4420179</v>
      </c>
      <c r="D38" s="226"/>
      <c r="E38" s="226"/>
      <c r="F38" s="265">
        <f>'数据-取费表'!B36</f>
        <v>1.4999999999999999E-2</v>
      </c>
      <c r="G38" s="225" t="s">
        <v>2214</v>
      </c>
    </row>
    <row r="39" spans="1:7" s="220" customFormat="1" ht="13.5" customHeight="1">
      <c r="A39" s="261" t="s">
        <v>2220</v>
      </c>
      <c r="B39" s="216" t="s">
        <v>2221</v>
      </c>
      <c r="C39" s="238">
        <f ca="1">ROUND(C33*F20,0)</f>
        <v>6763649</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16384940</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16063667</v>
      </c>
      <c r="D42" s="244"/>
      <c r="E42" s="244"/>
      <c r="F42" s="245"/>
      <c r="G42" s="3244" t="s">
        <v>2277</v>
      </c>
    </row>
    <row r="43" spans="1:7" ht="13.5" customHeight="1">
      <c r="A43" s="888" t="s">
        <v>792</v>
      </c>
      <c r="B43" s="221" t="s">
        <v>2231</v>
      </c>
      <c r="C43" s="244">
        <f ca="1">ROUND(IF('数据-取费表'!B22&lt;=1,C39*F22*'数据-取费表'!B20/2,C39*(POWER((1+F22),'数据-取费表'!B20/2)-1)),0)</f>
        <v>321273</v>
      </c>
      <c r="D43" s="244"/>
      <c r="E43" s="244"/>
      <c r="F43" s="245"/>
      <c r="G43" s="3245"/>
    </row>
    <row r="44" spans="1:7" ht="13.5" customHeight="1">
      <c r="A44" s="888" t="s">
        <v>793</v>
      </c>
      <c r="B44" s="221" t="s">
        <v>2232</v>
      </c>
      <c r="C44" s="244">
        <f ca="1">ROUND(IF('数据-取费表'!B22&lt;=1,C40*F22*'数据-取费表'!B20/2,C40*(POWER((1+F22),'数据-取费表'!B20/2)-1)),4)</f>
        <v>1E-3</v>
      </c>
      <c r="D44" s="244"/>
      <c r="E44" s="244"/>
      <c r="F44" s="245"/>
      <c r="G44" s="3246"/>
    </row>
    <row r="45" spans="1:7" s="220" customFormat="1" ht="13.5" customHeight="1">
      <c r="A45" s="261" t="s">
        <v>2233</v>
      </c>
      <c r="B45" s="250" t="s">
        <v>2199</v>
      </c>
      <c r="C45" s="251">
        <f ca="1">C46</f>
        <v>17247306</v>
      </c>
      <c r="D45" s="241">
        <f ca="1">C47</f>
        <v>1E-3</v>
      </c>
      <c r="E45" s="242" t="s">
        <v>2225</v>
      </c>
      <c r="F45" s="2539">
        <f ca="1">F27</f>
        <v>0.05</v>
      </c>
      <c r="G45" s="253" t="s">
        <v>2234</v>
      </c>
    </row>
    <row r="46" spans="1:7" s="220" customFormat="1" ht="13.5" customHeight="1">
      <c r="A46" s="888" t="s">
        <v>791</v>
      </c>
      <c r="B46" s="254" t="s">
        <v>2235</v>
      </c>
      <c r="C46" s="255">
        <f ca="1">ROUND((C33+C39)*F27,0)</f>
        <v>17247306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8">
        <f>F30</f>
        <v>5.5000000000000007E-2</v>
      </c>
      <c r="G48" s="240" t="s">
        <v>2238</v>
      </c>
    </row>
    <row r="49" spans="1:7" ht="16.5" customHeight="1">
      <c r="A49" s="261" t="s">
        <v>2204</v>
      </c>
      <c r="B49" s="216" t="s">
        <v>2278</v>
      </c>
      <c r="C49" s="238">
        <f ca="1">ROUND((C33+C39+C41+C45)/(1-C40-D41-D45-C48),0)</f>
        <v>409008602</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409008602</v>
      </c>
      <c r="D51" s="238"/>
      <c r="E51" s="238"/>
      <c r="F51" s="270"/>
      <c r="G51" s="240" t="s">
        <v>2246</v>
      </c>
    </row>
    <row r="52" spans="1:7" s="214" customFormat="1" ht="16.5" thickBot="1">
      <c r="A52" s="271" t="s">
        <v>2247</v>
      </c>
      <c r="B52" s="272"/>
      <c r="C52" s="273">
        <f ca="1">C31+C51</f>
        <v>446643329</v>
      </c>
      <c r="D52" s="272"/>
      <c r="E52" s="272"/>
      <c r="F52" s="272"/>
      <c r="G52" s="274"/>
    </row>
    <row r="55" spans="1:7" ht="15">
      <c r="B55" s="276" t="s">
        <v>2248</v>
      </c>
      <c r="C55" s="277"/>
    </row>
    <row r="56" spans="1:7">
      <c r="B56" s="279" t="s">
        <v>1478</v>
      </c>
      <c r="C56" s="281">
        <f ca="1">1-C57</f>
        <v>8.3999999999999964E-2</v>
      </c>
    </row>
    <row r="57" spans="1:7">
      <c r="B57" s="279" t="s">
        <v>1479</v>
      </c>
      <c r="C57" s="280">
        <f ca="1">ROUND(C51/C52,3)</f>
        <v>0.91600000000000004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9"/>
      <c r="F1" s="3039"/>
      <c r="G1" s="2902"/>
      <c r="H1" s="3039"/>
      <c r="I1" s="3039"/>
      <c r="J1" s="3039"/>
      <c r="K1" s="3040">
        <f>MATCH(C1,'数据-取费表'!A6:A16,0)+5</f>
        <v>7</v>
      </c>
    </row>
    <row r="2" spans="1:33" ht="18" customHeight="1">
      <c r="A2" s="207" t="s">
        <v>2148</v>
      </c>
      <c r="B2" s="210">
        <f ca="1">C32</f>
        <v>0</v>
      </c>
      <c r="C2" s="282" t="s">
        <v>2281</v>
      </c>
      <c r="D2" s="282"/>
      <c r="E2" s="3039"/>
      <c r="F2" s="3039"/>
      <c r="G2" s="3039"/>
      <c r="H2" s="3039"/>
      <c r="I2" s="3039"/>
      <c r="J2" s="3039"/>
      <c r="K2" s="3039"/>
    </row>
    <row r="3" spans="1:33" ht="18" customHeight="1" thickBot="1">
      <c r="A3" s="209" t="s">
        <v>2150</v>
      </c>
      <c r="B3" s="210">
        <f ca="1">ROUND(B2*10000/IF(C1="",'数据-汇总表'!E3,INDIRECT("'数据-取费表'!K"&amp;$K$1)),0)</f>
        <v>0</v>
      </c>
      <c r="C3" s="282" t="s">
        <v>2282</v>
      </c>
      <c r="D3" s="282"/>
      <c r="E3" s="3039"/>
      <c r="F3" s="3039"/>
      <c r="G3" s="3039"/>
      <c r="H3" s="3039"/>
      <c r="I3" s="3039"/>
      <c r="J3" s="3039"/>
      <c r="K3" s="3039"/>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77547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77547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1241</v>
      </c>
      <c r="D19" s="955">
        <f ca="1">IF(C1="",'数据-汇总表'!E5,IF(INDIRECT("'数据-取费表'!c"&amp;$K$1)="住宅",INDIRECT("'数据-取费表'!k"&amp;$K$1),0))</f>
        <v>77547</v>
      </c>
      <c r="E19" s="24">
        <f>'数据-取费表'!B27</f>
        <v>160</v>
      </c>
      <c r="F19" s="913"/>
      <c r="G19" s="15"/>
      <c r="H19" s="1351"/>
      <c r="I19" s="918"/>
      <c r="J19" s="918"/>
      <c r="K19" s="919"/>
    </row>
    <row r="20" spans="1:33" s="912" customFormat="1" ht="13.5" customHeight="1">
      <c r="A20" s="908" t="s">
        <v>806</v>
      </c>
      <c r="B20" s="909" t="s">
        <v>2316</v>
      </c>
      <c r="C20" s="24">
        <f ca="1">ROUND(D20*E20/10000,0)</f>
        <v>0</v>
      </c>
      <c r="D20" s="955">
        <f ca="1">IF(C1="",'数据-汇总表'!E6,IF(INDIRECT("'数据-取费表'!c"&amp;$K$1)="住宅",INDIRECT("'数据-取费表'!s"&amp;$K$1),INDIRECT("'数据-取费表'!k"&amp;$K$1)+INDIRECT("'数据-取费表'!s"&amp;$K$1)))</f>
        <v>0</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0.10009999999999999</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0.10009999999999999</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5.1499999999999997E-2</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5.1499999999999997E-2</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t="s">
        <v>3162</v>
      </c>
      <c r="D1" s="1548" t="s">
        <v>70</v>
      </c>
      <c r="E1" s="1549" t="s">
        <v>1352</v>
      </c>
      <c r="F1" s="1193">
        <f ca="1">J53</f>
        <v>65.42</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128682</v>
      </c>
      <c r="C2" s="1573" t="s">
        <v>1481</v>
      </c>
      <c r="D2" s="1573"/>
      <c r="E2" s="1574"/>
      <c r="F2" s="1575"/>
      <c r="G2" s="2937"/>
      <c r="H2" s="2926"/>
      <c r="I2" s="2926"/>
      <c r="J2" s="2926"/>
      <c r="K2" s="2927"/>
      <c r="L2" s="2926"/>
      <c r="M2" s="2926"/>
    </row>
    <row r="3" spans="1:37" ht="18" customHeight="1" thickBot="1">
      <c r="A3" s="1576" t="s">
        <v>1482</v>
      </c>
      <c r="B3" s="1577">
        <f ca="1">IF(ISERROR(B2*10000/F43),0,ROUND(B2*10000/F43,0))</f>
        <v>16594</v>
      </c>
      <c r="C3" s="1573" t="s">
        <v>1483</v>
      </c>
      <c r="D3" s="1573"/>
      <c r="E3" s="1574"/>
      <c r="F3" s="1575"/>
      <c r="G3" s="2937"/>
      <c r="H3" s="692" t="s">
        <v>1553</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6377</v>
      </c>
      <c r="D5" s="1550" t="s">
        <v>1367</v>
      </c>
      <c r="E5" s="1203"/>
      <c r="F5" s="1204"/>
      <c r="G5" s="1570"/>
      <c r="H5" s="305">
        <v>1</v>
      </c>
      <c r="I5" s="306" t="s">
        <v>1366</v>
      </c>
      <c r="J5" s="1202">
        <f ca="1">J6+J10+J12</f>
        <v>0</v>
      </c>
      <c r="K5" s="1550" t="s">
        <v>1367</v>
      </c>
      <c r="L5" s="1203"/>
      <c r="M5" s="1204"/>
    </row>
    <row r="6" spans="1:37" ht="18" customHeight="1">
      <c r="A6" s="1201" t="s">
        <v>1003</v>
      </c>
      <c r="B6" s="3249" t="s">
        <v>1368</v>
      </c>
      <c r="C6" s="1206">
        <f ca="1">ROUND(F6*F8*F7*(1-F9)/10000,0)</f>
        <v>6369</v>
      </c>
      <c r="D6" s="160" t="s">
        <v>2851</v>
      </c>
      <c r="E6" s="308" t="s">
        <v>1370</v>
      </c>
      <c r="F6" s="309">
        <f ca="1">INDIRECT("'数据-取费表'!u"&amp;$G$1)</f>
        <v>2.5</v>
      </c>
      <c r="G6" s="1570"/>
      <c r="H6" s="1201" t="s">
        <v>1003</v>
      </c>
      <c r="I6" s="3249" t="s">
        <v>1368</v>
      </c>
      <c r="J6" s="307">
        <f ca="1">ROUND(M6*M8*M7*(1-M9)/10000,0)</f>
        <v>0</v>
      </c>
      <c r="K6" s="160" t="s">
        <v>2850</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77547</v>
      </c>
      <c r="G7" s="1570"/>
      <c r="H7" s="310"/>
      <c r="I7" s="3250"/>
      <c r="J7" s="312"/>
      <c r="K7" s="313"/>
      <c r="L7" s="308" t="s">
        <v>1371</v>
      </c>
      <c r="M7" s="309">
        <f ca="1">F7</f>
        <v>77547</v>
      </c>
    </row>
    <row r="8" spans="1:37" ht="18" customHeight="1">
      <c r="A8" s="310"/>
      <c r="B8" s="3250"/>
      <c r="C8" s="312"/>
      <c r="D8" s="313"/>
      <c r="E8" s="308" t="s">
        <v>1372</v>
      </c>
      <c r="F8" s="309">
        <f ca="1">INDIRECT("'数据-取费表'!ai"&amp;$G$1)</f>
        <v>365</v>
      </c>
      <c r="G8" s="1570"/>
      <c r="H8" s="310"/>
      <c r="I8" s="3250"/>
      <c r="J8" s="312"/>
      <c r="K8" s="313"/>
      <c r="L8" s="308" t="s">
        <v>1372</v>
      </c>
      <c r="M8" s="309">
        <f ca="1">INDIRECT("'数据-取费表'!ai"&amp;$G$1)</f>
        <v>365</v>
      </c>
    </row>
    <row r="9" spans="1:37" ht="18" customHeight="1">
      <c r="A9" s="310"/>
      <c r="B9" s="3251"/>
      <c r="C9" s="312"/>
      <c r="D9" s="313"/>
      <c r="E9" s="308" t="s">
        <v>1373</v>
      </c>
      <c r="F9" s="318">
        <f ca="1">INDIRECT("'数据-取费表'!w"&amp;$G$1)</f>
        <v>0.1</v>
      </c>
      <c r="G9" s="1570"/>
      <c r="H9" s="310"/>
      <c r="I9" s="32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8</v>
      </c>
      <c r="D10" s="1552" t="s">
        <v>2859</v>
      </c>
      <c r="E10" s="319" t="s">
        <v>1375</v>
      </c>
      <c r="F10" s="1276" t="s">
        <v>3646</v>
      </c>
      <c r="G10" s="1570"/>
      <c r="H10" s="1201" t="s">
        <v>1007</v>
      </c>
      <c r="I10" s="1551" t="s">
        <v>1374</v>
      </c>
      <c r="J10" s="307">
        <f ca="1">ROUND(IF(M10="押一",J6/12*M11,IF(M10="押二",J6/12*2*M11,IF(M10="押三",J6/12*3*M11,J11*M11))),0)</f>
        <v>0</v>
      </c>
      <c r="K10" s="1552" t="s">
        <v>2858</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40900</v>
      </c>
      <c r="D13" s="1241" t="s">
        <v>1380</v>
      </c>
      <c r="E13" s="1241" t="s">
        <v>1381</v>
      </c>
      <c r="F13" s="1242">
        <f ca="1">INDIRECT("'数据-取费表'!y"&amp;$G$1)</f>
        <v>1</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29468</v>
      </c>
      <c r="D14" s="1531" t="s">
        <v>1383</v>
      </c>
      <c r="E14" s="1528"/>
      <c r="F14" s="325"/>
      <c r="G14" s="1570"/>
      <c r="H14" s="1113" t="s">
        <v>1003</v>
      </c>
      <c r="I14" s="308" t="s">
        <v>1384</v>
      </c>
      <c r="J14" s="24">
        <f ca="1">C29</f>
        <v>40900</v>
      </c>
      <c r="K14" s="15"/>
      <c r="L14" s="916"/>
      <c r="M14" s="917"/>
    </row>
    <row r="15" spans="1:37" s="1583" customFormat="1" ht="18" customHeight="1" thickBot="1">
      <c r="A15" s="1113" t="s">
        <v>1004</v>
      </c>
      <c r="B15" s="308" t="s">
        <v>1385</v>
      </c>
      <c r="C15" s="24">
        <f ca="1">ROUND(C14*F15,0)</f>
        <v>884</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1473</v>
      </c>
      <c r="D16" s="308" t="s">
        <v>1386</v>
      </c>
      <c r="E16" s="308" t="s">
        <v>1387</v>
      </c>
      <c r="F16" s="328">
        <f ca="1">IF(INDIRECT("'数据-取费表'!c"&amp;$G$1)="住宅",'数据-取费表'!B34,0)</f>
        <v>0.05</v>
      </c>
      <c r="G16" s="1570"/>
      <c r="H16" s="1239" t="s">
        <v>998</v>
      </c>
      <c r="I16" s="1240" t="s">
        <v>1389</v>
      </c>
      <c r="J16" s="316">
        <f ca="1">ROUND(J17+J22+J23+J24,0)</f>
        <v>967</v>
      </c>
      <c r="K16" s="1247" t="s">
        <v>1390</v>
      </c>
      <c r="L16" s="1248"/>
      <c r="M16" s="1204"/>
    </row>
    <row r="17" spans="1:37" s="1583" customFormat="1" ht="18" customHeight="1">
      <c r="A17" s="1113" t="s">
        <v>1355</v>
      </c>
      <c r="B17" s="308" t="s">
        <v>1391</v>
      </c>
      <c r="C17" s="24">
        <f ca="1">ROUND(F17*(F43+INDIRECT("'数据-取费表'!S"&amp;$G$1))/10000,0)</f>
        <v>1551</v>
      </c>
      <c r="D17" s="308" t="s">
        <v>1392</v>
      </c>
      <c r="E17" s="308" t="s">
        <v>1393</v>
      </c>
      <c r="F17" s="26">
        <f>'数据-取费表'!B35</f>
        <v>200</v>
      </c>
      <c r="G17" s="1582"/>
      <c r="H17" s="1113" t="s">
        <v>1003</v>
      </c>
      <c r="I17" s="308" t="s">
        <v>1394</v>
      </c>
      <c r="J17" s="2536">
        <f ca="1">ROUND(IF(AND(项目基本情况!B11="自然人",项目基本情况!B10="北京市"),J6*M17/(1+'数据-取费表'!C42),J18+J19+J20),0)</f>
        <v>353</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442</v>
      </c>
      <c r="D18" s="308" t="s">
        <v>1386</v>
      </c>
      <c r="E18" s="308" t="s">
        <v>1387</v>
      </c>
      <c r="F18" s="328">
        <f>'数据-取费表'!B36</f>
        <v>1.4999999999999999E-2</v>
      </c>
      <c r="G18" s="1582"/>
      <c r="H18" s="1113" t="s">
        <v>1002</v>
      </c>
      <c r="I18" s="308" t="s">
        <v>1398</v>
      </c>
      <c r="J18" s="24">
        <f ca="1">ROUND(J6*M18/(1+'数据-取费表'!C42),2)</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33818</v>
      </c>
      <c r="D19" s="136" t="s">
        <v>1401</v>
      </c>
      <c r="E19" s="1546"/>
      <c r="F19" s="26"/>
      <c r="G19" s="1570"/>
      <c r="H19" s="1113" t="s">
        <v>1004</v>
      </c>
      <c r="I19" s="308" t="s">
        <v>1402</v>
      </c>
      <c r="J19" s="24">
        <f ca="1">IF(K19="按租金收入计税",ROUND(J6*M19/(1+'数据-取费表'!C42),2),ROUND(C29*M19*0.7,2))</f>
        <v>343.56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676</v>
      </c>
      <c r="D20" s="329" t="s">
        <v>1405</v>
      </c>
      <c r="E20" s="308" t="s">
        <v>1387</v>
      </c>
      <c r="F20" s="328">
        <f>'数据-取费表'!B37</f>
        <v>0.02</v>
      </c>
      <c r="G20" s="1582"/>
      <c r="H20" s="1113" t="s">
        <v>1354</v>
      </c>
      <c r="I20" s="160" t="s">
        <v>1406</v>
      </c>
      <c r="J20" s="25">
        <f ca="1">ROUND(M20*M21/10000,2)</f>
        <v>9.33</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62231.63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ROUND(J14*M22,1)</f>
        <v>613.5</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1638</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ROUND(J13*M23,1)</f>
        <v>0</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ROUND(J5*M24,1)</f>
        <v>0</v>
      </c>
      <c r="K24" s="1252" t="s">
        <v>1424</v>
      </c>
      <c r="L24" s="1250" t="s">
        <v>1420</v>
      </c>
      <c r="M24" s="1246">
        <f ca="1">INDIRECT("'数据-取费表'!Am"&amp;$G$1)</f>
        <v>1.4999999999999999E-2</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-967</v>
      </c>
      <c r="K25" s="1255" t="s">
        <v>1429</v>
      </c>
      <c r="L25" s="1256"/>
      <c r="M25" s="1257"/>
    </row>
    <row r="26" spans="1:37">
      <c r="A26" s="1113" t="s">
        <v>1002</v>
      </c>
      <c r="B26" s="308" t="s">
        <v>1430</v>
      </c>
      <c r="C26" s="24">
        <f ca="1">ROUND((C19+C20)*F26,0)</f>
        <v>1725</v>
      </c>
      <c r="D26" s="329" t="s">
        <v>1431</v>
      </c>
      <c r="E26" s="319" t="s">
        <v>1432</v>
      </c>
      <c r="F26" s="318">
        <f ca="1">INDIRECT("'数据-取费表'!q"&amp;$G$1)</f>
        <v>0.05</v>
      </c>
      <c r="G26" s="1570"/>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1E-3</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40900</v>
      </c>
      <c r="D29" s="1252"/>
      <c r="E29" s="1250"/>
      <c r="F29" s="1253"/>
      <c r="G29" s="1582"/>
      <c r="H29" s="340" t="s">
        <v>1001</v>
      </c>
      <c r="I29" s="341" t="s">
        <v>1444</v>
      </c>
      <c r="J29" s="342">
        <f ca="1">ROUND(J26/(1+F40)^F41,0)</f>
        <v>0</v>
      </c>
      <c r="K29" s="343" t="s">
        <v>1445</v>
      </c>
      <c r="L29" s="344"/>
      <c r="M29" s="345">
        <f ca="1">INDIRECT("'数据-取费表'!k"&amp;$G$1)</f>
        <v>77547</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1842</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1071</v>
      </c>
      <c r="D31" s="1531" t="s">
        <v>1395</v>
      </c>
      <c r="E31" s="1530" t="s">
        <v>1446</v>
      </c>
      <c r="F31" s="2535">
        <f ca="1">IF(项目基本情况!B11="企业","——",IF('数据-取费表'!B10="住宅",IF(F6*F7*F8/12/(1+'数据-取费表'!F30)&gt;100000,4%,2.5%),IF(F6*F7*F8/12/(1+'数据-取费表'!F30)&gt;100000,12%,7%)))</f>
        <v>0.12</v>
      </c>
      <c r="G31" s="1570"/>
      <c r="H31" s="3041" t="s">
        <v>3059</v>
      </c>
      <c r="I31" s="1584"/>
      <c r="J31" s="1585"/>
      <c r="K31" s="2703"/>
      <c r="L31" s="2929"/>
      <c r="M31" s="2930"/>
    </row>
    <row r="32" spans="1:37" ht="18" customHeight="1">
      <c r="A32" s="1113" t="s">
        <v>1002</v>
      </c>
      <c r="B32" s="308" t="s">
        <v>1398</v>
      </c>
      <c r="C32" s="24">
        <f ca="1">IF(项目基本情况!B11="自然人","——",ROUND(C6*F32/(1+'数据-取费表'!C42),2))</f>
        <v>333.61</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IF(项目基本情况!B11="自然人","——",IF(D33="按租金收入计税",ROUND(C6*F33/(1+'数据-取费表'!C42),2),IF(D33="按房产原值计税",ROUND(C29*F33*0.7,2),INDIRECT("'数据-取费表'!Aj"&amp;$G$1))))</f>
        <v>727.89</v>
      </c>
      <c r="D33" s="1556" t="s">
        <v>3647</v>
      </c>
      <c r="E33" s="308" t="s">
        <v>1387</v>
      </c>
      <c r="F33" s="328">
        <f>IF(D33="按票据","——",IF(D33="按租金收入计税",'数据-取费表'!B51,'数据-取费表'!B50))</f>
        <v>0.12</v>
      </c>
      <c r="G33" s="1570"/>
      <c r="H33" s="2931"/>
      <c r="I33" s="1584"/>
      <c r="J33" s="1585"/>
      <c r="K33" s="2932"/>
      <c r="L33" s="2931"/>
      <c r="M33" s="2931"/>
    </row>
    <row r="34" spans="1:18" ht="18" customHeight="1">
      <c r="A34" s="1201" t="s">
        <v>1354</v>
      </c>
      <c r="B34" s="160" t="s">
        <v>1406</v>
      </c>
      <c r="C34" s="25">
        <f ca="1">IF(项目基本情况!B11="自然人","——",ROUND(F34*F35/10000,2))</f>
        <v>9.33</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62231.63</v>
      </c>
      <c r="G35" s="1570"/>
      <c r="H35" s="2928"/>
      <c r="I35" s="1584"/>
      <c r="J35" s="1585"/>
      <c r="K35" s="2932"/>
      <c r="L35" s="2931"/>
      <c r="M35" s="2931"/>
    </row>
    <row r="36" spans="1:18" ht="18" customHeight="1">
      <c r="A36" s="1262" t="s">
        <v>1007</v>
      </c>
      <c r="B36" s="308" t="s">
        <v>1414</v>
      </c>
      <c r="C36" s="24">
        <f ca="1">ROUND(C29*F36,1)</f>
        <v>613.5</v>
      </c>
      <c r="D36" s="1530" t="s">
        <v>1447</v>
      </c>
      <c r="E36" s="308" t="s">
        <v>1387</v>
      </c>
      <c r="F36" s="334">
        <f ca="1">INDIRECT("'数据-取费表'!Ak"&amp;$G$1)</f>
        <v>1.4999999999999999E-2</v>
      </c>
      <c r="G36" s="1570"/>
      <c r="H36" s="2931"/>
      <c r="I36" s="1584"/>
      <c r="J36" s="1585"/>
      <c r="K36" s="2772"/>
      <c r="L36" s="2931"/>
      <c r="M36" s="2931"/>
    </row>
    <row r="37" spans="1:18" ht="18" customHeight="1">
      <c r="A37" s="1113" t="s">
        <v>1043</v>
      </c>
      <c r="B37" s="308" t="s">
        <v>1418</v>
      </c>
      <c r="C37" s="24">
        <f ca="1">ROUND(C13*F37,1)</f>
        <v>61.4</v>
      </c>
      <c r="D37" s="1530" t="s">
        <v>1419</v>
      </c>
      <c r="E37" s="308" t="s">
        <v>1420</v>
      </c>
      <c r="F37" s="336">
        <f ca="1">INDIRECT("'数据-取费表'!Al"&amp;$G$1)</f>
        <v>1.5E-3</v>
      </c>
      <c r="G37" s="1570"/>
      <c r="H37" s="2931"/>
      <c r="I37" s="1584"/>
      <c r="J37" s="1585"/>
      <c r="K37" s="2772"/>
      <c r="L37" s="2931"/>
      <c r="M37" s="2931"/>
    </row>
    <row r="38" spans="1:18" ht="18" customHeight="1" thickBot="1">
      <c r="A38" s="1249" t="s">
        <v>1358</v>
      </c>
      <c r="B38" s="1250" t="s">
        <v>1404</v>
      </c>
      <c r="C38" s="1251">
        <f ca="1">ROUND(C5*F38,1)</f>
        <v>95.7</v>
      </c>
      <c r="D38" s="1252" t="s">
        <v>1424</v>
      </c>
      <c r="E38" s="1250" t="s">
        <v>1420</v>
      </c>
      <c r="F38" s="1246">
        <f ca="1">INDIRECT("'数据-取费表'!Am"&amp;$G$1)</f>
        <v>1.4999999999999999E-2</v>
      </c>
      <c r="G38" s="1570"/>
      <c r="H38" s="2931"/>
      <c r="I38" s="1584"/>
      <c r="J38" s="1585"/>
      <c r="K38" s="2935"/>
      <c r="L38" s="2931"/>
      <c r="M38" s="2931"/>
    </row>
    <row r="39" spans="1:18" ht="24.6" customHeight="1" thickTop="1">
      <c r="A39" s="1239" t="s">
        <v>999</v>
      </c>
      <c r="B39" s="1254" t="s">
        <v>1448</v>
      </c>
      <c r="C39" s="316">
        <f ca="1">C5-C30</f>
        <v>4535</v>
      </c>
      <c r="D39" s="1255" t="s">
        <v>1449</v>
      </c>
      <c r="E39" s="1256"/>
      <c r="F39" s="1257"/>
      <c r="G39" s="1570"/>
      <c r="H39" s="2931"/>
      <c r="I39" s="1584"/>
      <c r="J39" s="1585"/>
      <c r="K39" s="2935"/>
      <c r="L39" s="2931"/>
      <c r="M39" s="2931"/>
    </row>
    <row r="40" spans="1:18" ht="18" customHeight="1">
      <c r="A40" s="305" t="s">
        <v>1000</v>
      </c>
      <c r="B40" s="306" t="s">
        <v>1450</v>
      </c>
      <c r="C40" s="307">
        <f ca="1">ROUND(C39*(1-((1+F42)/(1+F40))^F41)/(F40-F42),0)</f>
        <v>128682</v>
      </c>
      <c r="D40" s="330" t="s">
        <v>1434</v>
      </c>
      <c r="E40" s="308" t="s">
        <v>1435</v>
      </c>
      <c r="F40" s="318">
        <f ca="1">INDIRECT("'数据-取费表'!I"&amp;$G$1)</f>
        <v>4.4999999999999998E-2</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65.42</v>
      </c>
      <c r="G41" s="1570"/>
      <c r="H41" s="1353"/>
      <c r="I41" s="1584"/>
      <c r="J41" s="1585"/>
      <c r="K41" s="2772"/>
      <c r="L41" s="1353"/>
      <c r="M41" s="1353"/>
    </row>
    <row r="42" spans="1:18" ht="18" customHeight="1">
      <c r="A42" s="314"/>
      <c r="B42" s="315"/>
      <c r="C42" s="316"/>
      <c r="D42" s="333"/>
      <c r="E42" s="308" t="s">
        <v>1442</v>
      </c>
      <c r="F42" s="318">
        <f ca="1">INDIRECT("'数据-取费表'!v"&amp;$G$1)</f>
        <v>1.4999999999999999E-2</v>
      </c>
      <c r="G42" s="1570"/>
      <c r="H42" s="1353"/>
      <c r="I42" s="1584"/>
      <c r="J42" s="1585"/>
      <c r="K42" s="2772"/>
      <c r="L42" s="1353"/>
      <c r="M42" s="1353"/>
    </row>
    <row r="43" spans="1:18" ht="18" customHeight="1" thickBot="1">
      <c r="A43" s="340" t="s">
        <v>1001</v>
      </c>
      <c r="B43" s="341" t="s">
        <v>1452</v>
      </c>
      <c r="C43" s="342">
        <f ca="1">ROUND(C40*10000/F43,0)</f>
        <v>16594</v>
      </c>
      <c r="D43" s="343" t="s">
        <v>1453</v>
      </c>
      <c r="E43" s="344" t="s">
        <v>1454</v>
      </c>
      <c r="F43" s="345">
        <f ca="1">INDIRECT("'数据-取费表'!k"&amp;$G$1)</f>
        <v>77547</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1484</v>
      </c>
      <c r="P45" s="1647"/>
      <c r="Q45" s="1647"/>
      <c r="R45" s="1647"/>
    </row>
    <row r="46" spans="1:18" s="1570" customFormat="1" ht="13.5" thickBot="1">
      <c r="A46" s="1590" t="s">
        <v>1485</v>
      </c>
      <c r="C46" s="1591">
        <f ca="1">C68-C40</f>
        <v>-215096</v>
      </c>
      <c r="D46" s="1592" t="str">
        <f>C2</f>
        <v>万元</v>
      </c>
      <c r="E46" s="1586"/>
      <c r="F46" s="1586"/>
      <c r="I46" s="1593" t="s">
        <v>1486</v>
      </c>
      <c r="J46" s="1594"/>
      <c r="K46" s="1595"/>
      <c r="L46" s="1596">
        <f>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c r="K47" s="1602" t="s">
        <v>1492</v>
      </c>
      <c r="L47" s="1603">
        <f ca="1">INDIRECT("'数据-取费表'!d"&amp;$G$1)</f>
        <v>70</v>
      </c>
      <c r="M47" s="1566" t="str">
        <f>IF(ISNUMBER(FIND("住宅",C1)),"住宅","非住宅")</f>
        <v>住宅</v>
      </c>
      <c r="O47" s="1604" t="s">
        <v>1008</v>
      </c>
      <c r="P47" s="1605" t="s">
        <v>1493</v>
      </c>
      <c r="Q47" s="1606">
        <f ca="1">C40+J29</f>
        <v>128682</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65.42</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2852</v>
      </c>
      <c r="E49" s="1558" t="s">
        <v>1456</v>
      </c>
      <c r="F49" s="1191"/>
      <c r="G49" s="1611"/>
      <c r="H49" s="732"/>
      <c r="I49" s="1607" t="s">
        <v>1499</v>
      </c>
      <c r="J49" s="1612"/>
      <c r="K49" s="1609" t="s">
        <v>1500</v>
      </c>
      <c r="L49" s="1613"/>
      <c r="O49" s="1614" t="s">
        <v>1010</v>
      </c>
      <c r="P49" s="1605" t="s">
        <v>1501</v>
      </c>
      <c r="Q49" s="1606">
        <f ca="1">C29</f>
        <v>40900</v>
      </c>
      <c r="R49" s="1606" t="s">
        <v>1494</v>
      </c>
    </row>
    <row r="50" spans="1:18" s="1570" customFormat="1" ht="13.5" thickBot="1">
      <c r="A50" s="1107"/>
      <c r="B50" s="1110"/>
      <c r="C50" s="1278"/>
      <c r="D50" s="1084"/>
      <c r="E50" s="1187" t="s">
        <v>1371</v>
      </c>
      <c r="F50" s="1188">
        <f ca="1">F7</f>
        <v>77547</v>
      </c>
      <c r="H50" s="732"/>
      <c r="I50" s="1607" t="s">
        <v>1502</v>
      </c>
      <c r="J50" s="1615">
        <f>SUMPRODUCT((I63:I65=J47)*(J62:L62=J48)*(J63:L65))</f>
        <v>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65.42</v>
      </c>
      <c r="R52" s="1606" t="s">
        <v>1511</v>
      </c>
    </row>
    <row r="53" spans="1:18" s="1570" customFormat="1" ht="24.75" thickBot="1">
      <c r="A53" s="1314" t="s">
        <v>1105</v>
      </c>
      <c r="B53" s="155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65.42</v>
      </c>
      <c r="K53" s="3247" t="s">
        <v>1513</v>
      </c>
      <c r="L53" s="3248"/>
      <c r="O53" s="1604" t="s">
        <v>1014</v>
      </c>
      <c r="P53" s="1605" t="s">
        <v>1514</v>
      </c>
      <c r="Q53" s="1606">
        <f ca="1">Q47+Q48</f>
        <v>128682</v>
      </c>
      <c r="R53" s="1606" t="s">
        <v>1015</v>
      </c>
    </row>
    <row r="54" spans="1:18" s="1570" customFormat="1" ht="13.5" thickBot="1">
      <c r="A54" s="1315"/>
      <c r="B54" s="1553" t="s">
        <v>1353</v>
      </c>
      <c r="C54" s="1090"/>
      <c r="D54" s="1552"/>
      <c r="E54" s="1560"/>
      <c r="F54" s="1626"/>
      <c r="I54" s="162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1518</v>
      </c>
      <c r="O55" s="1597" t="s">
        <v>1487</v>
      </c>
      <c r="P55" s="1598" t="s">
        <v>1488</v>
      </c>
      <c r="Q55" s="1599" t="s">
        <v>1489</v>
      </c>
      <c r="R55" s="1599" t="s">
        <v>1490</v>
      </c>
    </row>
    <row r="56" spans="1:18" s="1570" customFormat="1" ht="25.5" thickTop="1" thickBot="1">
      <c r="A56" s="1088">
        <v>2</v>
      </c>
      <c r="B56" s="1089" t="s">
        <v>1379</v>
      </c>
      <c r="C56" s="238">
        <f ca="1">C13</f>
        <v>40900</v>
      </c>
      <c r="D56" s="1633"/>
      <c r="E56" s="1634"/>
      <c r="F56" s="1626"/>
      <c r="I56" s="1635" t="s">
        <v>1519</v>
      </c>
      <c r="J56" s="1636"/>
      <c r="K56" s="1607" t="s">
        <v>1520</v>
      </c>
      <c r="L56" s="1610">
        <f ca="1">IF(L48&lt;J51,"——",L48-J53)</f>
        <v>0</v>
      </c>
      <c r="O56" s="1604" t="s">
        <v>1008</v>
      </c>
      <c r="P56" s="1605" t="s">
        <v>1493</v>
      </c>
      <c r="Q56" s="1606">
        <f ca="1">C40+J29</f>
        <v>128682</v>
      </c>
      <c r="R56" s="1606" t="s">
        <v>1494</v>
      </c>
    </row>
    <row r="57" spans="1:18" s="1570" customFormat="1" ht="24.75" thickBot="1">
      <c r="A57" s="1637"/>
      <c r="B57" s="1081" t="s">
        <v>1443</v>
      </c>
      <c r="C57" s="244">
        <f ca="1">C29</f>
        <v>40900</v>
      </c>
      <c r="D57" s="1638"/>
      <c r="E57" s="1639"/>
      <c r="F57" s="1640"/>
      <c r="I57" s="1641" t="s">
        <v>1521</v>
      </c>
      <c r="J57" s="1642" t="str">
        <f ca="1">IF(OR(M47="住宅",J51&lt;L48,J56="是"),"——",J51-L48)</f>
        <v>——</v>
      </c>
      <c r="K57" s="1607" t="s">
        <v>1522</v>
      </c>
      <c r="L57" s="1610">
        <f ca="1">IF(L48&lt;J51,"——",IF(L55="比较法",L49,IF(L55="基准地价",L50,L51)))</f>
        <v>0</v>
      </c>
      <c r="O57" s="1604" t="s">
        <v>1009</v>
      </c>
      <c r="P57" s="1605" t="s">
        <v>1523</v>
      </c>
      <c r="Q57" s="1606">
        <f ca="1">L60</f>
        <v>0</v>
      </c>
      <c r="R57" s="1606" t="s">
        <v>1524</v>
      </c>
    </row>
    <row r="58" spans="1:18" s="1570" customFormat="1" ht="24.75" thickBot="1">
      <c r="A58" s="321" t="s">
        <v>998</v>
      </c>
      <c r="B58" s="1089" t="s">
        <v>1389</v>
      </c>
      <c r="C58" s="322">
        <f ca="1">ROUND(C59+C64+C65+C66,0)</f>
        <v>4120</v>
      </c>
      <c r="D58" s="1091" t="s">
        <v>1390</v>
      </c>
      <c r="E58" s="1092"/>
      <c r="F58" s="1093"/>
      <c r="I58" s="1641" t="s">
        <v>1525</v>
      </c>
      <c r="J58" s="1643" t="e">
        <f ca="1">IF(J55&lt;0.4,0.4,J55)</f>
        <v>#VALUE!</v>
      </c>
      <c r="K58" s="1620" t="s">
        <v>1526</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3445</v>
      </c>
      <c r="D59" s="1094" t="s">
        <v>1395</v>
      </c>
      <c r="E59" s="1095" t="s">
        <v>1396</v>
      </c>
      <c r="F59" s="2535">
        <f ca="1">IF(项目基本情况!B11="企业","——",IF('数据-取费表'!B10="住宅",IF(F49*F50*F51/12/(1+'数据-取费表'!F30)&gt;100000,4%,2.5%),IF(F49*F50*F51/12/(1+'数据-取费表'!F30)&gt;100000,12%,7%)))</f>
        <v>7.0000000000000007E-2</v>
      </c>
      <c r="I59" s="1641" t="s">
        <v>1528</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4" t="s">
        <v>1530</v>
      </c>
      <c r="J60" s="1645" t="str">
        <f ca="1">IF(OR(M47="住宅",J51&lt;L48,J56="是"),"0",ROUND(J59/(1+J52)^J53,0))</f>
        <v>0</v>
      </c>
      <c r="K60" s="1646" t="s">
        <v>1531</v>
      </c>
      <c r="L60" s="1645">
        <f ca="1">IF(OR(M47="住宅",L48&lt;J51),0,ROUND(L57*(L58/L59-1),0))</f>
        <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IF(项目基本情况!B11="自然人","——",IF(D61="按租金收入计税",ROUND(C48*F61,2),IF(D61="按房产原值计税",ROUND(C57*F61*0.7,2),INDIRECT("'数据-取费表'!Aj"&amp;$G$1))))</f>
        <v>3435.6</v>
      </c>
      <c r="D61" s="1556" t="s">
        <v>1403</v>
      </c>
      <c r="E61" s="1081" t="s">
        <v>1459</v>
      </c>
      <c r="F61" s="328">
        <f t="shared" si="0"/>
        <v>0.12</v>
      </c>
      <c r="I61" s="1647"/>
      <c r="J61" s="1647"/>
      <c r="K61" s="1647"/>
      <c r="L61" s="1647"/>
      <c r="O61" s="1614" t="s">
        <v>1013</v>
      </c>
      <c r="P61" s="1605" t="str">
        <f>K59</f>
        <v>建筑物剩余耐用年限下的土地年期修正系数Kn</v>
      </c>
      <c r="Q61" s="1606" t="e">
        <f ca="1">L59</f>
        <v>#DIV/0!</v>
      </c>
      <c r="R61" s="1606" t="s">
        <v>1534</v>
      </c>
    </row>
    <row r="62" spans="1:18" s="1570" customFormat="1" ht="13.5" thickBot="1">
      <c r="A62" s="1113" t="s">
        <v>1460</v>
      </c>
      <c r="B62" s="1080" t="s">
        <v>1461</v>
      </c>
      <c r="C62" s="25">
        <f ca="1">IF(项目基本情况!B11="自然人","——",ROUND(F62*F63/10000,2))</f>
        <v>9.33</v>
      </c>
      <c r="D62" s="1096" t="s">
        <v>1462</v>
      </c>
      <c r="E62" s="1081" t="s">
        <v>1463</v>
      </c>
      <c r="F62" s="331">
        <f t="shared" si="0"/>
        <v>1.5</v>
      </c>
      <c r="I62" s="1648" t="s">
        <v>1535</v>
      </c>
      <c r="J62" s="1649" t="s">
        <v>1536</v>
      </c>
      <c r="K62" s="1649" t="s">
        <v>1537</v>
      </c>
      <c r="L62" s="1649" t="s">
        <v>1538</v>
      </c>
      <c r="M62" s="1650" t="s">
        <v>1539</v>
      </c>
      <c r="O62" s="1604" t="s">
        <v>1014</v>
      </c>
      <c r="P62" s="1605" t="s">
        <v>1540</v>
      </c>
      <c r="Q62" s="1606">
        <f ca="1">Q56+Q57</f>
        <v>128682</v>
      </c>
      <c r="R62" s="1606" t="s">
        <v>1015</v>
      </c>
    </row>
    <row r="63" spans="1:18" s="1570" customFormat="1" ht="13.5" thickBot="1">
      <c r="A63" s="332"/>
      <c r="B63" s="1087"/>
      <c r="C63" s="29"/>
      <c r="D63" s="1097"/>
      <c r="E63" s="1081" t="s">
        <v>1464</v>
      </c>
      <c r="F63" s="309">
        <f t="shared" ca="1" si="0"/>
        <v>62231.63</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ROUND(C57*F64,1)</f>
        <v>613.5</v>
      </c>
      <c r="D64" s="1095" t="s">
        <v>1467</v>
      </c>
      <c r="E64" s="1081" t="s">
        <v>1459</v>
      </c>
      <c r="F64" s="334">
        <f t="shared" ca="1" si="0"/>
        <v>1.4999999999999999E-2</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61.4</v>
      </c>
      <c r="D65" s="1095" t="s">
        <v>1419</v>
      </c>
      <c r="E65" s="1081" t="s">
        <v>1420</v>
      </c>
      <c r="F65" s="336">
        <f t="shared" ca="1" si="0"/>
        <v>1.5E-3</v>
      </c>
      <c r="I65" s="1648" t="s">
        <v>1544</v>
      </c>
      <c r="J65" s="1649">
        <v>40</v>
      </c>
      <c r="K65" s="1649">
        <v>30</v>
      </c>
      <c r="L65" s="1649">
        <v>50</v>
      </c>
      <c r="M65" s="1651">
        <v>0.02</v>
      </c>
      <c r="O65" s="1604" t="s">
        <v>1008</v>
      </c>
      <c r="P65" s="1605" t="s">
        <v>1545</v>
      </c>
      <c r="Q65" s="1606">
        <f ca="1">C40+J29</f>
        <v>128682</v>
      </c>
      <c r="R65" s="1606" t="s">
        <v>1494</v>
      </c>
    </row>
    <row r="66" spans="1:18" s="1570" customFormat="1" ht="16.5" thickBot="1">
      <c r="A66" s="1113" t="s">
        <v>1469</v>
      </c>
      <c r="B66" s="1081" t="s">
        <v>1404</v>
      </c>
      <c r="C66" s="24">
        <f ca="1">ROUND(C48*F66,1)</f>
        <v>0</v>
      </c>
      <c r="D66" s="1095" t="s">
        <v>1470</v>
      </c>
      <c r="E66" s="1081" t="s">
        <v>1387</v>
      </c>
      <c r="F66" s="318">
        <f t="shared" ca="1" si="0"/>
        <v>1.4999999999999999E-2</v>
      </c>
      <c r="O66" s="1604" t="s">
        <v>1009</v>
      </c>
      <c r="P66" s="1605" t="s">
        <v>1523</v>
      </c>
      <c r="Q66" s="1606">
        <f ca="1">L60</f>
        <v>0</v>
      </c>
      <c r="R66" s="1606" t="s">
        <v>1546</v>
      </c>
    </row>
    <row r="67" spans="1:18" s="1570" customFormat="1" ht="16.5" thickBot="1">
      <c r="A67" s="1088" t="s">
        <v>999</v>
      </c>
      <c r="B67" s="1098" t="s">
        <v>1428</v>
      </c>
      <c r="C67" s="322">
        <f ca="1">C48-C58</f>
        <v>-4120</v>
      </c>
      <c r="D67" s="1094" t="s">
        <v>1429</v>
      </c>
      <c r="E67" s="1099"/>
      <c r="F67" s="1100"/>
      <c r="O67" s="1614" t="s">
        <v>1010</v>
      </c>
      <c r="P67" s="1605" t="s">
        <v>1527</v>
      </c>
      <c r="Q67" s="1652">
        <f ca="1">L51</f>
        <v>0</v>
      </c>
      <c r="R67" s="1606" t="s">
        <v>1547</v>
      </c>
    </row>
    <row r="68" spans="1:18" s="1570" customFormat="1" ht="16.5" thickBot="1">
      <c r="A68" s="1078" t="s">
        <v>1000</v>
      </c>
      <c r="B68" s="1079" t="s">
        <v>1450</v>
      </c>
      <c r="C68" s="307">
        <f ca="1">ROUND(C67*(1-((1+F70)/(1+F68))^F69)/(F68-F70),0)</f>
        <v>-86414</v>
      </c>
      <c r="D68" s="1096" t="s">
        <v>1434</v>
      </c>
      <c r="E68" s="1081" t="s">
        <v>1435</v>
      </c>
      <c r="F68" s="318">
        <f ca="1">F40</f>
        <v>4.4999999999999998E-2</v>
      </c>
      <c r="O68" s="1614" t="s">
        <v>1011</v>
      </c>
      <c r="P68" s="1653" t="s">
        <v>1548</v>
      </c>
      <c r="Q68" s="1606">
        <f ca="1">ROUND(Q69-Q70*Q71,0)</f>
        <v>1059</v>
      </c>
      <c r="R68" s="1606" t="s">
        <v>1019</v>
      </c>
    </row>
    <row r="69" spans="1:18" s="1570" customFormat="1" ht="13.5" thickBot="1">
      <c r="A69" s="1082"/>
      <c r="B69" s="1083"/>
      <c r="C69" s="312"/>
      <c r="D69" s="1101" t="s">
        <v>1438</v>
      </c>
      <c r="E69" s="1081" t="s">
        <v>1439</v>
      </c>
      <c r="F69" s="339">
        <f ca="1">F41</f>
        <v>65.42</v>
      </c>
      <c r="O69" s="1614" t="s">
        <v>1016</v>
      </c>
      <c r="P69" s="1653" t="s">
        <v>1549</v>
      </c>
      <c r="Q69" s="1606">
        <f ca="1">C39</f>
        <v>4535</v>
      </c>
      <c r="R69" s="1606" t="s">
        <v>1494</v>
      </c>
    </row>
    <row r="70" spans="1:18" s="1570" customFormat="1" ht="13.5" thickBot="1">
      <c r="A70" s="1085"/>
      <c r="B70" s="1086"/>
      <c r="C70" s="316"/>
      <c r="D70" s="1097"/>
      <c r="E70" s="1081" t="s">
        <v>1442</v>
      </c>
      <c r="F70" s="1185"/>
      <c r="O70" s="1614" t="s">
        <v>1017</v>
      </c>
      <c r="P70" s="1653" t="s">
        <v>1550</v>
      </c>
      <c r="Q70" s="1606">
        <f ca="1">C13</f>
        <v>40900</v>
      </c>
      <c r="R70" s="1606" t="s">
        <v>1494</v>
      </c>
    </row>
    <row r="71" spans="1:18" s="1570" customFormat="1" ht="13.5" thickBot="1">
      <c r="A71" s="1102" t="s">
        <v>1001</v>
      </c>
      <c r="B71" s="1103" t="s">
        <v>1452</v>
      </c>
      <c r="C71" s="342">
        <f ca="1">ROUND(C68*10000/F71,0)</f>
        <v>-11143</v>
      </c>
      <c r="D71" s="1104" t="s">
        <v>1453</v>
      </c>
      <c r="E71" s="1105" t="s">
        <v>1454</v>
      </c>
      <c r="F71" s="345">
        <f ca="1">F43</f>
        <v>77547</v>
      </c>
      <c r="O71" s="1614" t="s">
        <v>1018</v>
      </c>
      <c r="P71" s="1653" t="s">
        <v>1551</v>
      </c>
      <c r="Q71" s="1617">
        <f ca="1">C76</f>
        <v>8.5000000000000006E-2</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建筑物剩余耐用年限下的土地年期修正系数Kn</v>
      </c>
      <c r="Q74" s="1606" t="e">
        <f ca="1">L59</f>
        <v>#DIV/0!</v>
      </c>
      <c r="R74" s="1606" t="s">
        <v>1534</v>
      </c>
    </row>
    <row r="75" spans="1:18" ht="13.5" thickBot="1">
      <c r="A75" s="1570"/>
      <c r="B75" s="346" t="s">
        <v>1471</v>
      </c>
      <c r="C75" s="347">
        <f ca="1">ROUND(C13*C76,0)</f>
        <v>3477</v>
      </c>
      <c r="D75" s="1570"/>
      <c r="E75" s="1570"/>
      <c r="F75" s="1570"/>
      <c r="K75" s="1588"/>
      <c r="L75" s="1570"/>
      <c r="O75" s="1604" t="s">
        <v>1014</v>
      </c>
      <c r="P75" s="1605" t="s">
        <v>1514</v>
      </c>
      <c r="Q75" s="1606">
        <f ca="1">Q65+Q66</f>
        <v>128682</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0.23299999999999998</v>
      </c>
    </row>
    <row r="80" spans="1:18">
      <c r="B80" s="346" t="s">
        <v>1476</v>
      </c>
      <c r="C80" s="280">
        <f ca="1">ROUND(C75/C39,3)</f>
        <v>0.76700000000000002</v>
      </c>
    </row>
    <row r="81" spans="2:3">
      <c r="B81" s="276" t="s">
        <v>1477</v>
      </c>
      <c r="C81" s="244"/>
    </row>
    <row r="82" spans="2:3">
      <c r="B82" s="279" t="s">
        <v>1478</v>
      </c>
      <c r="C82" s="281">
        <f ca="1">1-C83</f>
        <v>0.68199999999999994</v>
      </c>
    </row>
    <row r="83" spans="2:3">
      <c r="B83" s="279" t="s">
        <v>1479</v>
      </c>
      <c r="C83" s="280">
        <f ca="1">ROUND(C13/C40,3)</f>
        <v>0.318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1554</v>
      </c>
      <c r="B1" s="722"/>
      <c r="C1" s="1565"/>
      <c r="D1" s="1548"/>
      <c r="E1" s="1549" t="s">
        <v>1352</v>
      </c>
      <c r="F1" s="1193">
        <f ca="1">J53</f>
        <v>-2</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1555</v>
      </c>
      <c r="B2" s="1572" t="e">
        <f ca="1">ROUND(D2/10000,0)</f>
        <v>#DIV/0!</v>
      </c>
      <c r="C2" s="1573" t="s">
        <v>1556</v>
      </c>
      <c r="D2" s="1657" t="e">
        <f ca="1">C40+J29+L46</f>
        <v>#DIV/0!</v>
      </c>
      <c r="E2" s="1574" t="s">
        <v>1557</v>
      </c>
      <c r="F2" s="1575"/>
      <c r="G2" s="2937"/>
      <c r="H2" s="2926"/>
      <c r="I2" s="2926"/>
      <c r="J2" s="2926"/>
      <c r="K2" s="2927"/>
      <c r="L2" s="2926"/>
      <c r="M2" s="2926"/>
    </row>
    <row r="3" spans="1:37" ht="18" customHeight="1" thickBot="1">
      <c r="A3" s="1576" t="s">
        <v>1558</v>
      </c>
      <c r="B3" s="1577">
        <f ca="1">IF(ISERROR(D2/F43),0,ROUND(D2/F43,0))</f>
        <v>0</v>
      </c>
      <c r="C3" s="1573" t="s">
        <v>1559</v>
      </c>
      <c r="D3" s="1573"/>
      <c r="E3" s="1574"/>
      <c r="F3" s="1575"/>
      <c r="G3" s="2937"/>
      <c r="H3" s="692" t="s">
        <v>1553</v>
      </c>
      <c r="I3" s="1568"/>
      <c r="J3" s="1568"/>
      <c r="K3" s="1569"/>
      <c r="L3" s="1568"/>
      <c r="M3" s="1568"/>
    </row>
    <row r="4" spans="1:37" ht="18" customHeight="1">
      <c r="A4" s="301" t="s">
        <v>1560</v>
      </c>
      <c r="B4" s="302" t="s">
        <v>1561</v>
      </c>
      <c r="C4" s="302" t="s">
        <v>1562</v>
      </c>
      <c r="D4" s="302" t="s">
        <v>1563</v>
      </c>
      <c r="E4" s="303" t="s">
        <v>1564</v>
      </c>
      <c r="F4" s="304"/>
      <c r="G4" s="1570"/>
      <c r="H4" s="301" t="s">
        <v>1560</v>
      </c>
      <c r="I4" s="302" t="s">
        <v>1561</v>
      </c>
      <c r="J4" s="302" t="s">
        <v>1562</v>
      </c>
      <c r="K4" s="302" t="s">
        <v>1563</v>
      </c>
      <c r="L4" s="303" t="s">
        <v>1564</v>
      </c>
      <c r="M4" s="304"/>
    </row>
    <row r="5" spans="1:37" ht="18" customHeight="1">
      <c r="A5" s="305">
        <v>1</v>
      </c>
      <c r="B5" s="306" t="s">
        <v>1565</v>
      </c>
      <c r="C5" s="1202">
        <f ca="1">C6+C10+C12</f>
        <v>0</v>
      </c>
      <c r="D5" s="1550" t="s">
        <v>1566</v>
      </c>
      <c r="E5" s="1203"/>
      <c r="F5" s="1204"/>
      <c r="G5" s="1570"/>
      <c r="H5" s="305">
        <v>1</v>
      </c>
      <c r="I5" s="306" t="s">
        <v>1565</v>
      </c>
      <c r="J5" s="1202">
        <f ca="1">J6+J10+J12</f>
        <v>0</v>
      </c>
      <c r="K5" s="1550" t="s">
        <v>1566</v>
      </c>
      <c r="L5" s="1203"/>
      <c r="M5" s="1204"/>
    </row>
    <row r="6" spans="1:37" ht="18" customHeight="1">
      <c r="A6" s="1201" t="s">
        <v>1003</v>
      </c>
      <c r="B6" s="3249" t="s">
        <v>1368</v>
      </c>
      <c r="C6" s="1206">
        <f ca="1">ROUND(F6*F8*F7*(1-F9),0)</f>
        <v>0</v>
      </c>
      <c r="D6" s="160" t="s">
        <v>2848</v>
      </c>
      <c r="E6" s="308" t="s">
        <v>1370</v>
      </c>
      <c r="F6" s="309">
        <f ca="1">INDIRECT("'数据-取费表'!u"&amp;$G$1)</f>
        <v>0</v>
      </c>
      <c r="G6" s="1570"/>
      <c r="H6" s="1201" t="s">
        <v>1003</v>
      </c>
      <c r="I6" s="3249" t="s">
        <v>1368</v>
      </c>
      <c r="J6" s="307">
        <f ca="1">ROUND(M6*M8*M7*(1-M9),0)</f>
        <v>0</v>
      </c>
      <c r="K6" s="1562" t="s">
        <v>2849</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0</v>
      </c>
      <c r="G7" s="1570"/>
      <c r="H7" s="310"/>
      <c r="I7" s="3250"/>
      <c r="J7" s="312"/>
      <c r="K7" s="313"/>
      <c r="L7" s="308" t="s">
        <v>1371</v>
      </c>
      <c r="M7" s="309">
        <f ca="1">F7</f>
        <v>0</v>
      </c>
    </row>
    <row r="8" spans="1:37" ht="18" customHeight="1">
      <c r="A8" s="310"/>
      <c r="B8" s="3250"/>
      <c r="C8" s="312"/>
      <c r="D8" s="313"/>
      <c r="E8" s="308" t="s">
        <v>1372</v>
      </c>
      <c r="F8" s="309">
        <f ca="1">INDIRECT("'数据-取费表'!ai"&amp;$G$1)</f>
        <v>0</v>
      </c>
      <c r="G8" s="1570"/>
      <c r="H8" s="310"/>
      <c r="I8" s="3250"/>
      <c r="J8" s="312"/>
      <c r="K8" s="313"/>
      <c r="L8" s="308" t="s">
        <v>1372</v>
      </c>
      <c r="M8" s="309">
        <f ca="1">INDIRECT("'数据-取费表'!ai"&amp;$G$1)</f>
        <v>0</v>
      </c>
    </row>
    <row r="9" spans="1:37" ht="18" customHeight="1">
      <c r="A9" s="310"/>
      <c r="B9" s="3251"/>
      <c r="C9" s="312"/>
      <c r="D9" s="313"/>
      <c r="E9" s="308" t="s">
        <v>1373</v>
      </c>
      <c r="F9" s="318">
        <f ca="1">INDIRECT("'数据-取费表'!w"&amp;$G$1)</f>
        <v>0</v>
      </c>
      <c r="G9" s="1570"/>
      <c r="H9" s="310"/>
      <c r="I9" s="3251"/>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2858</v>
      </c>
      <c r="E10" s="319" t="s">
        <v>1375</v>
      </c>
      <c r="F10" s="1276"/>
      <c r="G10" s="1570"/>
      <c r="H10" s="1201" t="s">
        <v>1007</v>
      </c>
      <c r="I10" s="1551" t="s">
        <v>1374</v>
      </c>
      <c r="J10" s="307">
        <f ca="1">ROUND(IF(M10="押一",J6/12*M11,IF(M10="押二",J6/12*2*M11,IF(M10="押三",J6/12*3*M11,J11*M11))),0)</f>
        <v>0</v>
      </c>
      <c r="K10" s="1563" t="s">
        <v>2860</v>
      </c>
      <c r="L10" s="319" t="s">
        <v>1375</v>
      </c>
      <c r="M10" s="1276"/>
    </row>
    <row r="11" spans="1:37" ht="18" customHeight="1">
      <c r="A11" s="314"/>
      <c r="B11" s="1553" t="s">
        <v>1567</v>
      </c>
      <c r="C11" s="1090"/>
      <c r="D11" s="313"/>
      <c r="E11" s="319" t="s">
        <v>1377</v>
      </c>
      <c r="F11" s="320">
        <f ca="1">'数据-取费表'!B39</f>
        <v>1.4999999999999999E-2</v>
      </c>
      <c r="G11" s="1570"/>
      <c r="H11" s="1209"/>
      <c r="I11" s="1553" t="s">
        <v>1568</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0.03</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5.5000000000000007E-2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1.5</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1E-3</v>
      </c>
      <c r="D24" s="335" t="str">
        <f>IF(F23&lt;=1,"销售费用×利率×(建设周期÷2)","销售费用×((1+利率)^(建设周期÷2)-1)")</f>
        <v>销售费用×((1+利率)^(建设周期÷2)-1)</v>
      </c>
      <c r="E24" s="308" t="s">
        <v>1423</v>
      </c>
      <c r="F24" s="337">
        <f ca="1">'数据-取费表'!B40</f>
        <v>4.7500000000000001E-2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5.2400000000000002E-2</v>
      </c>
      <c r="D28" s="329" t="s">
        <v>1441</v>
      </c>
      <c r="E28" s="308" t="s">
        <v>1387</v>
      </c>
      <c r="F28" s="328">
        <f>'数据-取费表'!B41</f>
        <v>5.5000000000000007E-2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8"/>
      <c r="I30" s="1584"/>
      <c r="J30" s="1585"/>
      <c r="K30" s="2703"/>
      <c r="L30" s="2929"/>
      <c r="M30" s="2930"/>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f ca="1">IF(项目基本情况!B11="企业","——",IF('数据-取费表'!B10="住宅",IF(F6*F7*F8/12/(1+'数据-取费表'!F30)&gt;100000,4%,2.5%),IF(F6*F7*F8/12/(1+'数据-取费表'!F30)&gt;100000,12%,7%)))</f>
        <v>7.0000000000000007E-2</v>
      </c>
      <c r="G31" s="1570"/>
      <c r="H31" s="3041" t="s">
        <v>3059</v>
      </c>
      <c r="I31" s="1584"/>
      <c r="J31" s="1585"/>
      <c r="K31" s="2703"/>
      <c r="L31" s="2929"/>
      <c r="M31" s="2930"/>
    </row>
    <row r="32" spans="1:37" ht="18" customHeight="1">
      <c r="A32" s="1113" t="s">
        <v>1002</v>
      </c>
      <c r="B32" s="308" t="s">
        <v>1398</v>
      </c>
      <c r="C32" s="24">
        <f ca="1">IF(项目基本情况!B11="自然人","——",ROUND(C6*F32/(1+'数据-取费表'!C42),0))</f>
        <v>0</v>
      </c>
      <c r="D32" s="1530" t="s">
        <v>1399</v>
      </c>
      <c r="E32" s="308" t="s">
        <v>1387</v>
      </c>
      <c r="F32" s="337">
        <f>'数据-取费表'!B41</f>
        <v>5.5000000000000007E-2</v>
      </c>
      <c r="G32" s="1570"/>
      <c r="H32" s="2928"/>
      <c r="I32" s="1584"/>
      <c r="J32" s="1585"/>
      <c r="K32" s="2703"/>
      <c r="L32" s="2929"/>
      <c r="M32" s="2930"/>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31"/>
      <c r="I33" s="1584"/>
      <c r="J33" s="1585"/>
      <c r="K33" s="2932"/>
      <c r="L33" s="2931"/>
      <c r="M33" s="2931"/>
    </row>
    <row r="34" spans="1:18" ht="18" customHeight="1">
      <c r="A34" s="1201" t="s">
        <v>1354</v>
      </c>
      <c r="B34" s="160" t="s">
        <v>1406</v>
      </c>
      <c r="C34" s="25">
        <f ca="1">IF(项目基本情况!B11="自然人","——",ROUND(F34*F35,))</f>
        <v>0</v>
      </c>
      <c r="D34" s="330" t="s">
        <v>1407</v>
      </c>
      <c r="E34" s="308" t="s">
        <v>1408</v>
      </c>
      <c r="F34" s="331">
        <f>'数据-取费表'!B52</f>
        <v>1.5</v>
      </c>
      <c r="G34" s="1570"/>
      <c r="H34" s="2928"/>
      <c r="I34" s="1584"/>
      <c r="J34" s="1585"/>
      <c r="K34" s="2933"/>
      <c r="L34" s="2934"/>
      <c r="M34" s="2934"/>
    </row>
    <row r="35" spans="1:18" ht="18" customHeight="1">
      <c r="A35" s="1263"/>
      <c r="B35" s="1261"/>
      <c r="C35" s="29"/>
      <c r="D35" s="333"/>
      <c r="E35" s="308" t="s">
        <v>1412</v>
      </c>
      <c r="F35" s="309">
        <f ca="1">INDIRECT("'数据-取费表'!r"&amp;$G$1)</f>
        <v>0</v>
      </c>
      <c r="G35" s="1570"/>
      <c r="H35" s="2928"/>
      <c r="I35" s="1584"/>
      <c r="J35" s="1585"/>
      <c r="K35" s="2932"/>
      <c r="L35" s="2931"/>
      <c r="M35" s="2931"/>
    </row>
    <row r="36" spans="1:18" ht="18" customHeight="1">
      <c r="A36" s="1262" t="s">
        <v>1007</v>
      </c>
      <c r="B36" s="308" t="s">
        <v>1414</v>
      </c>
      <c r="C36" s="24">
        <f ca="1">ROUND(C29*F36,0)</f>
        <v>0</v>
      </c>
      <c r="D36" s="1530" t="s">
        <v>1447</v>
      </c>
      <c r="E36" s="308" t="s">
        <v>1387</v>
      </c>
      <c r="F36" s="334">
        <f ca="1">INDIRECT("'数据-取费表'!Ak"&amp;$G$1)</f>
        <v>0</v>
      </c>
      <c r="G36" s="1570"/>
      <c r="H36" s="2931"/>
      <c r="I36" s="1584"/>
      <c r="J36" s="1585"/>
      <c r="K36" s="2772"/>
      <c r="L36" s="2931"/>
      <c r="M36" s="2931"/>
    </row>
    <row r="37" spans="1:18" ht="18" customHeight="1">
      <c r="A37" s="1113" t="s">
        <v>1043</v>
      </c>
      <c r="B37" s="308" t="s">
        <v>1418</v>
      </c>
      <c r="C37" s="24">
        <f ca="1">ROUND(C13*F37,0)</f>
        <v>0</v>
      </c>
      <c r="D37" s="1530" t="s">
        <v>1419</v>
      </c>
      <c r="E37" s="308" t="s">
        <v>1420</v>
      </c>
      <c r="F37" s="336">
        <f ca="1">INDIRECT("'数据-取费表'!Al"&amp;$G$1)</f>
        <v>0</v>
      </c>
      <c r="G37" s="1570"/>
      <c r="H37" s="2931"/>
      <c r="I37" s="1584"/>
      <c r="J37" s="1585"/>
      <c r="K37" s="2772"/>
      <c r="L37" s="2931"/>
      <c r="M37" s="2931"/>
    </row>
    <row r="38" spans="1:18" ht="18" customHeight="1" thickBot="1">
      <c r="A38" s="1249" t="s">
        <v>1358</v>
      </c>
      <c r="B38" s="1250" t="s">
        <v>1404</v>
      </c>
      <c r="C38" s="1251">
        <f ca="1">ROUND(C5*F38,1)</f>
        <v>0</v>
      </c>
      <c r="D38" s="1252" t="s">
        <v>1424</v>
      </c>
      <c r="E38" s="1250" t="s">
        <v>1420</v>
      </c>
      <c r="F38" s="1246">
        <f ca="1">INDIRECT("'数据-取费表'!Am"&amp;$G$1)</f>
        <v>0</v>
      </c>
      <c r="G38" s="1570"/>
      <c r="H38" s="2931"/>
      <c r="I38" s="1584"/>
      <c r="J38" s="1585"/>
      <c r="K38" s="2935"/>
      <c r="L38" s="2931"/>
      <c r="M38" s="2931"/>
    </row>
    <row r="39" spans="1:18" ht="24.6" customHeight="1" thickTop="1">
      <c r="A39" s="1239" t="s">
        <v>999</v>
      </c>
      <c r="B39" s="1254" t="s">
        <v>1448</v>
      </c>
      <c r="C39" s="316">
        <f ca="1">C5-C30</f>
        <v>0</v>
      </c>
      <c r="D39" s="1255" t="s">
        <v>1449</v>
      </c>
      <c r="E39" s="1256"/>
      <c r="F39" s="1257"/>
      <c r="G39" s="1570"/>
      <c r="H39" s="2931"/>
      <c r="I39" s="1584"/>
      <c r="J39" s="1585"/>
      <c r="K39" s="2935"/>
      <c r="L39" s="2931"/>
      <c r="M39" s="2931"/>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5"/>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1442</v>
      </c>
      <c r="F42" s="318">
        <f ca="1">INDIRECT("'数据-取费表'!v"&amp;$G$1)</f>
        <v>0</v>
      </c>
      <c r="G42" s="1570"/>
      <c r="H42" s="1353"/>
      <c r="I42" s="1584"/>
      <c r="J42" s="1585"/>
      <c r="K42" s="2772"/>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1569</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-2</v>
      </c>
      <c r="R52" s="1606" t="s">
        <v>1511</v>
      </c>
    </row>
    <row r="53" spans="1:18" s="1570" customFormat="1" ht="30.75" customHeight="1" thickBot="1">
      <c r="A53" s="1271" t="s">
        <v>1105</v>
      </c>
      <c r="B53" s="329" t="s">
        <v>1374</v>
      </c>
      <c r="C53" s="322">
        <f ca="1">ROUND(IF(F53="押一",C49/12*F11,IF(F53="押二",C49/12*2*F11,IF(F53="押三",C49/12*3*F11,C54*F11))),0)</f>
        <v>0</v>
      </c>
      <c r="D53" s="1552" t="s">
        <v>2861</v>
      </c>
      <c r="E53" s="319" t="s">
        <v>1375</v>
      </c>
      <c r="F53" s="1276"/>
      <c r="I53" s="1625" t="s">
        <v>1512</v>
      </c>
      <c r="J53" s="2388">
        <f ca="1">IF(M47="住宅",IF(D1="——",MAX(J51,L48),MAX(J51,L48-'数据-取费表'!B24)),IF(D1="——",MIN(J51,L48),MIN(J51,L48-'数据-取费表'!B24)))</f>
        <v>-2</v>
      </c>
      <c r="K53" s="3247" t="s">
        <v>1513</v>
      </c>
      <c r="L53" s="3248"/>
      <c r="O53" s="1604" t="s">
        <v>1014</v>
      </c>
      <c r="P53" s="1605" t="s">
        <v>1514</v>
      </c>
      <c r="Q53" s="1606" t="e">
        <f ca="1">Q47+Q48</f>
        <v>#DIV/0!</v>
      </c>
      <c r="R53" s="1606" t="s">
        <v>1015</v>
      </c>
    </row>
    <row r="54" spans="1:18" s="1570" customFormat="1" ht="13.5" thickBot="1">
      <c r="A54" s="1106"/>
      <c r="B54" s="1660" t="s">
        <v>1568</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1519</v>
      </c>
      <c r="J56" s="1636"/>
      <c r="K56" s="1607" t="s">
        <v>1520</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1521</v>
      </c>
      <c r="J57" s="1642">
        <f ca="1">IF(OR(M47="住宅",J51&lt;L48,J56="是"),"——",J51-L48)</f>
        <v>0</v>
      </c>
      <c r="K57" s="1607" t="s">
        <v>1570</v>
      </c>
      <c r="L57" s="1610">
        <f ca="1">IF(L48&lt;J51,"——",IF(L55="比较法",L49,IF(L55="基准地价",L50,L51)))</f>
        <v>0</v>
      </c>
      <c r="O57" s="1604" t="s">
        <v>1009</v>
      </c>
      <c r="P57" s="1605" t="s">
        <v>1571</v>
      </c>
      <c r="Q57" s="1606" t="e">
        <f ca="1">L60</f>
        <v>#DIV/0!</v>
      </c>
      <c r="R57" s="1606" t="s">
        <v>1572</v>
      </c>
    </row>
    <row r="58" spans="1:18" s="1570" customFormat="1" ht="24.75" thickBot="1">
      <c r="A58" s="321" t="s">
        <v>998</v>
      </c>
      <c r="B58" s="1089" t="s">
        <v>1389</v>
      </c>
      <c r="C58" s="322">
        <f ca="1">ROUND(C59+C64+C65+C66,0)</f>
        <v>0</v>
      </c>
      <c r="D58" s="1091" t="s">
        <v>1390</v>
      </c>
      <c r="E58" s="1092"/>
      <c r="F58" s="1093"/>
      <c r="I58" s="1641" t="s">
        <v>1525</v>
      </c>
      <c r="J58" s="1643" t="e">
        <f ca="1">IF(J55&lt;0.4,0.4,J55)</f>
        <v>#DIV/0!</v>
      </c>
      <c r="K58" s="1620" t="s">
        <v>1573</v>
      </c>
      <c r="L58" s="1610" t="e">
        <f ca="1">ROUND(POWER(1+L52,L47-L48)*(POWER(1+L52,L48)-1)/(POWER(1+L52,L47)-1),4)</f>
        <v>#DIV/0!</v>
      </c>
      <c r="O58" s="1614" t="s">
        <v>1010</v>
      </c>
      <c r="P58" s="1605" t="s">
        <v>1527</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f ca="1">IF(项目基本情况!B11="企业","——",IF('数据-取费表'!B10="住宅",IF(F49*F50*F51/12/(1+'数据-取费表'!F30)&gt;100000,4%,2.5%),IF(F49*F50*F51/12/(1+'数据-取费表'!F30)&gt;100000,12%,7%)))</f>
        <v>7.0000000000000007E-2</v>
      </c>
      <c r="I59" s="1641" t="s">
        <v>1528</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1529</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4" t="s">
        <v>1530</v>
      </c>
      <c r="J60" s="1645" t="e">
        <f ca="1">IF(OR(M47="住宅",J51&lt;L48,J56="是"),"0",ROUND(J59/(1+J52)^J53,0))</f>
        <v>#DIV/0!</v>
      </c>
      <c r="K60" s="1646" t="s">
        <v>1531</v>
      </c>
      <c r="L60" s="1645" t="e">
        <f ca="1">IF(OR(M47="住宅",L48&lt;J51),0,ROUND(L57*(L58/L59-1),0))</f>
        <v>#DIV/0!</v>
      </c>
      <c r="O60" s="1614" t="s">
        <v>1012</v>
      </c>
      <c r="P60" s="1605" t="s">
        <v>1532</v>
      </c>
      <c r="Q60" s="1606" t="e">
        <f ca="1">L58</f>
        <v>#DIV/0!</v>
      </c>
      <c r="R60" s="1606" t="s">
        <v>1533</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1534</v>
      </c>
    </row>
    <row r="62" spans="1:18" s="1570" customFormat="1" ht="13.5" thickBot="1">
      <c r="A62" s="1113" t="s">
        <v>1460</v>
      </c>
      <c r="B62" s="1080" t="s">
        <v>1461</v>
      </c>
      <c r="C62" s="25">
        <f ca="1">IF(项目基本情况!B11="自然人","——",ROUND(F62*F63,0))</f>
        <v>0</v>
      </c>
      <c r="D62" s="1096" t="s">
        <v>1462</v>
      </c>
      <c r="E62" s="1081" t="s">
        <v>1463</v>
      </c>
      <c r="F62" s="331">
        <f t="shared" si="0"/>
        <v>1.5</v>
      </c>
      <c r="I62" s="1648" t="s">
        <v>1535</v>
      </c>
      <c r="J62" s="1649" t="s">
        <v>1536</v>
      </c>
      <c r="K62" s="1649" t="s">
        <v>1537</v>
      </c>
      <c r="L62" s="1649" t="s">
        <v>1538</v>
      </c>
      <c r="M62" s="1650" t="s">
        <v>1539</v>
      </c>
      <c r="O62" s="1604" t="s">
        <v>1014</v>
      </c>
      <c r="P62" s="1605" t="s">
        <v>1540</v>
      </c>
      <c r="Q62" s="1606" t="e">
        <f ca="1">Q56+Q57</f>
        <v>#DIV/0!</v>
      </c>
      <c r="R62" s="1606" t="s">
        <v>1015</v>
      </c>
    </row>
    <row r="63" spans="1:18" s="1570" customFormat="1" ht="13.5" thickBot="1">
      <c r="A63" s="332"/>
      <c r="B63" s="1087"/>
      <c r="C63" s="29"/>
      <c r="D63" s="1097"/>
      <c r="E63" s="1081" t="s">
        <v>1464</v>
      </c>
      <c r="F63" s="309">
        <f t="shared" ca="1" si="0"/>
        <v>0</v>
      </c>
      <c r="I63" s="1648" t="s">
        <v>1541</v>
      </c>
      <c r="J63" s="1649">
        <v>70</v>
      </c>
      <c r="K63" s="1649">
        <v>50</v>
      </c>
      <c r="L63" s="1649">
        <v>80</v>
      </c>
      <c r="M63" s="1651">
        <v>0.02</v>
      </c>
      <c r="O63" s="1589" t="s">
        <v>1542</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1543</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1544</v>
      </c>
      <c r="J65" s="1649">
        <v>40</v>
      </c>
      <c r="K65" s="1649">
        <v>30</v>
      </c>
      <c r="L65" s="1649">
        <v>50</v>
      </c>
      <c r="M65" s="1651">
        <v>0.02</v>
      </c>
      <c r="O65" s="1604" t="s">
        <v>1008</v>
      </c>
      <c r="P65" s="1605" t="s">
        <v>1545</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1523</v>
      </c>
      <c r="Q66" s="1606" t="e">
        <f ca="1">L60</f>
        <v>#DIV/0!</v>
      </c>
      <c r="R66" s="1606" t="s">
        <v>1546</v>
      </c>
    </row>
    <row r="67" spans="1:18" s="1570" customFormat="1" ht="16.5" thickBot="1">
      <c r="A67" s="1088" t="s">
        <v>999</v>
      </c>
      <c r="B67" s="1098" t="s">
        <v>1428</v>
      </c>
      <c r="C67" s="322">
        <f ca="1">C48-C58</f>
        <v>0</v>
      </c>
      <c r="D67" s="1094" t="s">
        <v>1429</v>
      </c>
      <c r="E67" s="1099"/>
      <c r="F67" s="1100"/>
      <c r="O67" s="1614" t="s">
        <v>1010</v>
      </c>
      <c r="P67" s="1605" t="s">
        <v>1527</v>
      </c>
      <c r="Q67" s="1652">
        <f ca="1">L51</f>
        <v>0</v>
      </c>
      <c r="R67" s="1606" t="s">
        <v>1547</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1548</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1549</v>
      </c>
      <c r="Q69" s="1606">
        <f ca="1">C39</f>
        <v>0</v>
      </c>
      <c r="R69" s="1606" t="s">
        <v>1494</v>
      </c>
    </row>
    <row r="70" spans="1:18" s="1570" customFormat="1" ht="13.5" thickBot="1">
      <c r="A70" s="1085"/>
      <c r="B70" s="1086"/>
      <c r="C70" s="316"/>
      <c r="D70" s="1097"/>
      <c r="E70" s="1081" t="s">
        <v>1442</v>
      </c>
      <c r="F70" s="1185">
        <f ca="1">F42</f>
        <v>0</v>
      </c>
      <c r="O70" s="1614" t="s">
        <v>1017</v>
      </c>
      <c r="P70" s="1653" t="s">
        <v>1550</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1551</v>
      </c>
      <c r="Q71" s="1617">
        <f ca="1">C76</f>
        <v>0</v>
      </c>
      <c r="R71" s="1606"/>
    </row>
    <row r="72" spans="1:18" s="1570" customFormat="1" ht="13.5" thickBot="1">
      <c r="B72" s="735"/>
      <c r="C72" s="735"/>
      <c r="O72" s="1614" t="s">
        <v>1012</v>
      </c>
      <c r="P72" s="1605" t="s">
        <v>1529</v>
      </c>
      <c r="Q72" s="1617">
        <f>L52</f>
        <v>0</v>
      </c>
      <c r="R72" s="1606"/>
    </row>
    <row r="73" spans="1:18" ht="16.5" thickBot="1">
      <c r="A73" s="1570"/>
      <c r="B73" s="735"/>
      <c r="C73" s="735"/>
      <c r="D73" s="1570"/>
      <c r="E73" s="1570"/>
      <c r="F73" s="1570"/>
      <c r="O73" s="1614" t="s">
        <v>1013</v>
      </c>
      <c r="P73" s="1605" t="s">
        <v>1532</v>
      </c>
      <c r="Q73" s="1606" t="e">
        <f ca="1">L58</f>
        <v>#DIV/0!</v>
      </c>
      <c r="R73" s="1606" t="s">
        <v>1533</v>
      </c>
    </row>
    <row r="74" spans="1:18" ht="13.5" thickBot="1">
      <c r="A74" s="1570"/>
      <c r="B74" s="279" t="s">
        <v>1552</v>
      </c>
      <c r="C74" s="1655"/>
      <c r="D74" s="1570"/>
      <c r="E74" s="1570"/>
      <c r="F74" s="1570"/>
      <c r="O74" s="1614" t="s">
        <v>1020</v>
      </c>
      <c r="P74" s="1605" t="str">
        <f>K59</f>
        <v>建设期及建筑物耐用年限下的土地年期修正系数Kn</v>
      </c>
      <c r="Q74" s="1606" t="e">
        <f ca="1">L59</f>
        <v>#DIV/0!</v>
      </c>
      <c r="R74" s="1606" t="s">
        <v>1534</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8"/>
      <c r="G1" s="1676"/>
      <c r="H1" s="1676"/>
      <c r="I1" s="1676"/>
      <c r="J1" s="1676"/>
      <c r="K1" s="1676"/>
      <c r="L1" s="1676"/>
      <c r="M1" s="1676"/>
      <c r="N1" s="1676"/>
      <c r="O1" s="1676"/>
      <c r="P1" s="1676"/>
      <c r="Q1" s="1676"/>
      <c r="R1" s="1676"/>
      <c r="S1" s="1676"/>
    </row>
    <row r="2" spans="1:22" ht="15.75">
      <c r="A2" s="2058" t="s">
        <v>2148</v>
      </c>
      <c r="B2" s="2059">
        <f ca="1">SUMIF(B6:B13,"&lt;&gt;#ref!",B6:B13)</f>
        <v>128682</v>
      </c>
      <c r="C2" s="2060" t="s">
        <v>2340</v>
      </c>
      <c r="D2" s="2061" t="s">
        <v>2341</v>
      </c>
      <c r="E2" s="2835">
        <f>SUM(E6:E13)</f>
        <v>77547</v>
      </c>
      <c r="F2" s="2938"/>
      <c r="G2" s="1676"/>
      <c r="H2" s="1676"/>
      <c r="I2" s="1676"/>
      <c r="J2" s="1676"/>
      <c r="K2" s="1676"/>
      <c r="L2" s="1676"/>
      <c r="M2" s="1676"/>
      <c r="N2" s="1676"/>
      <c r="O2" s="1676"/>
      <c r="P2" s="1676"/>
      <c r="Q2" s="1676"/>
      <c r="R2" s="1676"/>
      <c r="S2" s="1676"/>
    </row>
    <row r="3" spans="1:22" ht="15.75">
      <c r="A3" s="2058" t="s">
        <v>1360</v>
      </c>
      <c r="B3" s="2829">
        <f ca="1">ROUND(B2*10000/E2,0)</f>
        <v>16594</v>
      </c>
      <c r="C3" s="2060" t="s">
        <v>2348</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2342</v>
      </c>
      <c r="B5" s="3252" t="s">
        <v>2343</v>
      </c>
      <c r="C5" s="3253"/>
      <c r="D5" s="2939"/>
      <c r="E5" s="2062" t="s">
        <v>2344</v>
      </c>
      <c r="F5" s="2063" t="s">
        <v>2345</v>
      </c>
      <c r="G5" s="1676"/>
      <c r="H5" s="1676"/>
      <c r="I5" s="1676"/>
      <c r="J5" s="1676"/>
      <c r="K5" s="1676"/>
      <c r="L5" s="1676"/>
      <c r="M5" s="1676"/>
      <c r="N5" s="1676"/>
      <c r="O5" s="1676"/>
      <c r="P5" s="1676"/>
      <c r="Q5" s="1676"/>
      <c r="R5" s="1676"/>
      <c r="S5" s="1676"/>
    </row>
    <row r="6" spans="1:22">
      <c r="A6" s="2832" t="str">
        <f>'数据-取费表'!AN6</f>
        <v>收益法</v>
      </c>
      <c r="B6" s="2830">
        <f ca="1">IF(F6="是",'数据-取费表'!AO6,0)</f>
        <v>128682</v>
      </c>
      <c r="C6" s="2060" t="s">
        <v>2340</v>
      </c>
      <c r="D6" s="2940"/>
      <c r="E6" s="2834">
        <f>IF(OR(A6=0,F6="否"),0,'数据-取费表'!K6+'数据-取费表'!S6)</f>
        <v>77547</v>
      </c>
      <c r="F6" s="2064" t="s">
        <v>2346</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2340</v>
      </c>
      <c r="D7" s="2940"/>
      <c r="E7" s="2834">
        <f>IF(OR(A7=0,F7="否"),0,'数据-取费表'!K7+'数据-取费表'!S7)</f>
        <v>0</v>
      </c>
      <c r="F7" s="2064" t="s">
        <v>2346</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2340</v>
      </c>
      <c r="D8" s="2940"/>
      <c r="E8" s="2834">
        <f>IF(OR(A8=0,F8="否"),0,'数据-取费表'!K8+'数据-取费表'!S8)</f>
        <v>0</v>
      </c>
      <c r="F8" s="2064" t="s">
        <v>2346</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2340</v>
      </c>
      <c r="D9" s="2940"/>
      <c r="E9" s="2834">
        <f>IF(OR(A9=0,F9="否"),0,'数据-取费表'!K9+'数据-取费表'!S9)</f>
        <v>0</v>
      </c>
      <c r="F9" s="2064" t="s">
        <v>2346</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2340</v>
      </c>
      <c r="D10" s="2940"/>
      <c r="E10" s="2834">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2340</v>
      </c>
      <c r="D11" s="2940"/>
      <c r="E11" s="2834">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2340</v>
      </c>
      <c r="D12" s="2940"/>
      <c r="E12" s="2834">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2340</v>
      </c>
      <c r="D13" s="2941"/>
      <c r="E13" s="2834">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RowHeight="13.5"/>
  <cols>
    <col min="1" max="1" width="10.5" customWidth="1"/>
    <col min="2" max="2" width="12.875" customWidth="1"/>
    <col min="3" max="3" width="8.75" customWidth="1"/>
  </cols>
  <sheetData>
    <row r="1" spans="1:9" ht="14.25">
      <c r="A1" s="3270" t="s">
        <v>1044</v>
      </c>
      <c r="B1" s="3271"/>
      <c r="C1" s="3272"/>
      <c r="D1" s="3273">
        <f>SUM(I10,I15,I20,I21,I23)</f>
        <v>0</v>
      </c>
      <c r="E1" s="3273"/>
      <c r="F1" s="3273"/>
      <c r="G1" s="3273"/>
      <c r="H1" s="3273"/>
      <c r="I1" s="3274"/>
    </row>
    <row r="2" spans="1:9">
      <c r="A2" s="3260" t="s">
        <v>1045</v>
      </c>
      <c r="B2" s="3261" t="s">
        <v>1046</v>
      </c>
      <c r="C2" s="3261"/>
      <c r="D2" s="1211" t="s">
        <v>1047</v>
      </c>
      <c r="E2" s="1211" t="s">
        <v>1048</v>
      </c>
      <c r="F2" s="1211" t="s">
        <v>1049</v>
      </c>
      <c r="G2" s="1211" t="s">
        <v>1050</v>
      </c>
      <c r="H2" s="1211" t="s">
        <v>1051</v>
      </c>
      <c r="I2" s="1212" t="s">
        <v>1052</v>
      </c>
    </row>
    <row r="3" spans="1:9">
      <c r="A3" s="3260"/>
      <c r="B3" s="3261" t="s">
        <v>1053</v>
      </c>
      <c r="C3" s="3261"/>
      <c r="D3" s="1213"/>
      <c r="E3" s="1211"/>
      <c r="F3" s="1214"/>
      <c r="G3" s="1214"/>
      <c r="H3" s="1215"/>
      <c r="I3" s="1216">
        <f>ROUND(D3*E3*F3*G3*H3/10000,0)</f>
        <v>0</v>
      </c>
    </row>
    <row r="4" spans="1:9">
      <c r="A4" s="3260"/>
      <c r="B4" s="3261" t="s">
        <v>1054</v>
      </c>
      <c r="C4" s="3261"/>
      <c r="D4" s="1213"/>
      <c r="E4" s="1211"/>
      <c r="F4" s="1214"/>
      <c r="G4" s="1214"/>
      <c r="H4" s="1215"/>
      <c r="I4" s="1216">
        <f t="shared" ref="I4:I9" si="0">ROUND(D4*E4*F4*G4*H4/10000,0)</f>
        <v>0</v>
      </c>
    </row>
    <row r="5" spans="1:9">
      <c r="A5" s="3260"/>
      <c r="B5" s="3261" t="s">
        <v>1055</v>
      </c>
      <c r="C5" s="3261"/>
      <c r="D5" s="1213"/>
      <c r="E5" s="1211"/>
      <c r="F5" s="1214"/>
      <c r="G5" s="1214"/>
      <c r="H5" s="1215"/>
      <c r="I5" s="1216">
        <f t="shared" si="0"/>
        <v>0</v>
      </c>
    </row>
    <row r="6" spans="1:9">
      <c r="A6" s="3260"/>
      <c r="B6" s="3261" t="s">
        <v>1056</v>
      </c>
      <c r="C6" s="3261"/>
      <c r="D6" s="1213"/>
      <c r="E6" s="1211"/>
      <c r="F6" s="1214"/>
      <c r="G6" s="1214"/>
      <c r="H6" s="1215"/>
      <c r="I6" s="1216">
        <f t="shared" si="0"/>
        <v>0</v>
      </c>
    </row>
    <row r="7" spans="1:9">
      <c r="A7" s="3260"/>
      <c r="B7" s="3261" t="s">
        <v>1057</v>
      </c>
      <c r="C7" s="3261"/>
      <c r="D7" s="1213"/>
      <c r="E7" s="1211"/>
      <c r="F7" s="1214"/>
      <c r="G7" s="1214"/>
      <c r="H7" s="1215"/>
      <c r="I7" s="1216">
        <f t="shared" si="0"/>
        <v>0</v>
      </c>
    </row>
    <row r="8" spans="1:9">
      <c r="A8" s="3260"/>
      <c r="B8" s="3261" t="s">
        <v>1058</v>
      </c>
      <c r="C8" s="3261"/>
      <c r="D8" s="1213"/>
      <c r="E8" s="1211"/>
      <c r="F8" s="1214"/>
      <c r="G8" s="1214"/>
      <c r="H8" s="1215"/>
      <c r="I8" s="1216">
        <f t="shared" si="0"/>
        <v>0</v>
      </c>
    </row>
    <row r="9" spans="1:9">
      <c r="A9" s="3260"/>
      <c r="B9" s="3261" t="s">
        <v>1059</v>
      </c>
      <c r="C9" s="3261"/>
      <c r="D9" s="1213"/>
      <c r="E9" s="1211"/>
      <c r="F9" s="1214"/>
      <c r="G9" s="1214"/>
      <c r="H9" s="1215"/>
      <c r="I9" s="1216">
        <f t="shared" si="0"/>
        <v>0</v>
      </c>
    </row>
    <row r="10" spans="1:9">
      <c r="A10" s="3260"/>
      <c r="B10" s="3262" t="s">
        <v>1060</v>
      </c>
      <c r="C10" s="3262"/>
      <c r="D10" s="1217"/>
      <c r="E10" s="1217" t="e">
        <f>ROUND(D1*10000/D10/H9,0)</f>
        <v>#DIV/0!</v>
      </c>
      <c r="F10" s="1218"/>
      <c r="G10" s="1218"/>
      <c r="H10" s="1219"/>
      <c r="I10" s="1220">
        <f>SUM(I3:I9)</f>
        <v>0</v>
      </c>
    </row>
    <row r="11" spans="1:9" ht="14.25">
      <c r="A11" s="3260" t="s">
        <v>1061</v>
      </c>
      <c r="B11" s="3261" t="s">
        <v>1062</v>
      </c>
      <c r="C11" s="3261"/>
      <c r="D11" s="1213" t="s">
        <v>1063</v>
      </c>
      <c r="E11" s="1213" t="s">
        <v>1064</v>
      </c>
      <c r="F11" s="1214" t="s">
        <v>1065</v>
      </c>
      <c r="G11" s="1214" t="s">
        <v>1051</v>
      </c>
      <c r="H11" s="1221" t="s">
        <v>1066</v>
      </c>
      <c r="I11" s="1212" t="s">
        <v>1052</v>
      </c>
    </row>
    <row r="12" spans="1:9">
      <c r="A12" s="3260"/>
      <c r="B12" s="3261" t="s">
        <v>1067</v>
      </c>
      <c r="C12" s="3261"/>
      <c r="D12" s="1213"/>
      <c r="E12" s="1213"/>
      <c r="F12" s="1214"/>
      <c r="G12" s="1215"/>
      <c r="H12" s="1222"/>
      <c r="I12" s="1212">
        <f>ROUND(D12*E12*F12*G12/10000,0)</f>
        <v>0</v>
      </c>
    </row>
    <row r="13" spans="1:9">
      <c r="A13" s="3260"/>
      <c r="B13" s="3261" t="s">
        <v>1068</v>
      </c>
      <c r="C13" s="3261"/>
      <c r="D13" s="1213"/>
      <c r="E13" s="1213"/>
      <c r="F13" s="1214"/>
      <c r="G13" s="1215"/>
      <c r="H13" s="1222"/>
      <c r="I13" s="1212">
        <f>ROUND(D13*E13*F13*G13/10000,0)</f>
        <v>0</v>
      </c>
    </row>
    <row r="14" spans="1:9">
      <c r="A14" s="3260"/>
      <c r="B14" s="3261" t="s">
        <v>1069</v>
      </c>
      <c r="C14" s="3261"/>
      <c r="D14" s="1213"/>
      <c r="E14" s="1213"/>
      <c r="F14" s="1214"/>
      <c r="G14" s="1215"/>
      <c r="H14" s="1222"/>
      <c r="I14" s="1212">
        <f>ROUND(D14*E14*F14*G14/10000,0)</f>
        <v>0</v>
      </c>
    </row>
    <row r="15" spans="1:9">
      <c r="A15" s="3260"/>
      <c r="B15" s="3262" t="s">
        <v>1060</v>
      </c>
      <c r="C15" s="3262"/>
      <c r="D15" s="1217"/>
      <c r="E15" s="1217">
        <f>SUM(E12:E14)</f>
        <v>0</v>
      </c>
      <c r="F15" s="1218"/>
      <c r="G15" s="1215"/>
      <c r="H15" s="1222"/>
      <c r="I15" s="1223">
        <f>SUM(I12:I14)</f>
        <v>0</v>
      </c>
    </row>
    <row r="16" spans="1:9" ht="24">
      <c r="A16" s="3260" t="s">
        <v>1070</v>
      </c>
      <c r="B16" s="3261" t="s">
        <v>1071</v>
      </c>
      <c r="C16" s="3261"/>
      <c r="D16" s="1213" t="s">
        <v>1047</v>
      </c>
      <c r="E16" s="1224" t="s">
        <v>1072</v>
      </c>
      <c r="F16" s="1214" t="s">
        <v>1073</v>
      </c>
      <c r="G16" s="1215" t="s">
        <v>1051</v>
      </c>
      <c r="H16" s="1221" t="s">
        <v>1066</v>
      </c>
      <c r="I16" s="1212" t="s">
        <v>1052</v>
      </c>
    </row>
    <row r="17" spans="1:9" ht="14.25">
      <c r="A17" s="3260"/>
      <c r="B17" s="3261" t="s">
        <v>1074</v>
      </c>
      <c r="C17" s="3261"/>
      <c r="D17" s="1213"/>
      <c r="E17" s="1213"/>
      <c r="F17" s="1214"/>
      <c r="G17" s="1215"/>
      <c r="H17" s="1225"/>
      <c r="I17" s="1226">
        <f>ROUND(D17*E17*F17*G17/10000,0)</f>
        <v>0</v>
      </c>
    </row>
    <row r="18" spans="1:9" ht="14.25">
      <c r="A18" s="3260"/>
      <c r="B18" s="3261" t="s">
        <v>1075</v>
      </c>
      <c r="C18" s="3261"/>
      <c r="D18" s="1213"/>
      <c r="E18" s="1213"/>
      <c r="F18" s="1214"/>
      <c r="G18" s="1215"/>
      <c r="H18" s="1225"/>
      <c r="I18" s="1226">
        <f>ROUND(D18*E18*F18*G18/10000,0)</f>
        <v>0</v>
      </c>
    </row>
    <row r="19" spans="1:9" ht="14.25">
      <c r="A19" s="3260"/>
      <c r="B19" s="3261" t="s">
        <v>1076</v>
      </c>
      <c r="C19" s="3261"/>
      <c r="D19" s="1213"/>
      <c r="E19" s="1213"/>
      <c r="F19" s="1214"/>
      <c r="G19" s="1215"/>
      <c r="H19" s="1225"/>
      <c r="I19" s="1226">
        <f>ROUND(D19*E19*F19*G19/10000,0)</f>
        <v>0</v>
      </c>
    </row>
    <row r="20" spans="1:9">
      <c r="A20" s="3260"/>
      <c r="B20" s="3262" t="s">
        <v>1060</v>
      </c>
      <c r="C20" s="3262"/>
      <c r="D20" s="1217">
        <f>SUM(D17:D19)</f>
        <v>0</v>
      </c>
      <c r="E20" s="1217"/>
      <c r="F20" s="1218"/>
      <c r="G20" s="1215"/>
      <c r="H20" s="1222"/>
      <c r="I20" s="1223">
        <f>SUM(I17:I19)</f>
        <v>0</v>
      </c>
    </row>
    <row r="21" spans="1:9">
      <c r="A21" s="3260" t="s">
        <v>1077</v>
      </c>
      <c r="B21" s="3263"/>
      <c r="C21" s="3263"/>
      <c r="D21" s="3263"/>
      <c r="E21" s="3263"/>
      <c r="F21" s="3263"/>
      <c r="G21" s="3263"/>
      <c r="H21" s="1504">
        <v>0.1</v>
      </c>
      <c r="I21" s="1220">
        <f>ROUND(I10*H21,0)</f>
        <v>0</v>
      </c>
    </row>
    <row r="22" spans="1:9" ht="14.25">
      <c r="A22" s="3264" t="s">
        <v>1078</v>
      </c>
      <c r="B22" s="3265"/>
      <c r="C22" s="3266"/>
      <c r="D22" s="1227" t="s">
        <v>1079</v>
      </c>
      <c r="E22" s="1227" t="s">
        <v>1080</v>
      </c>
      <c r="F22" s="1228" t="s">
        <v>1081</v>
      </c>
      <c r="G22" s="1228" t="s">
        <v>1082</v>
      </c>
      <c r="H22" s="1221" t="s">
        <v>1083</v>
      </c>
      <c r="I22" s="1212" t="s">
        <v>1084</v>
      </c>
    </row>
    <row r="23" spans="1:9" ht="14.25" thickBot="1">
      <c r="A23" s="3267"/>
      <c r="B23" s="3268"/>
      <c r="C23" s="3269"/>
      <c r="D23" s="1229"/>
      <c r="E23" s="1229"/>
      <c r="F23" s="1229"/>
      <c r="G23" s="1230"/>
      <c r="H23" s="1231"/>
      <c r="I23" s="1232">
        <f>ROUND(E23*D23*F23*(1-G23)/10000,0)</f>
        <v>0</v>
      </c>
    </row>
    <row r="26" spans="1:9">
      <c r="A26" s="1233" t="s">
        <v>1085</v>
      </c>
      <c r="B26" s="1233"/>
      <c r="C26" s="1233"/>
      <c r="D26" s="1233"/>
      <c r="E26" s="3257">
        <f>C27-C30-C31-C32</f>
        <v>0</v>
      </c>
      <c r="F26" s="3257"/>
      <c r="G26" s="3257"/>
      <c r="H26" s="1501" t="s">
        <v>1306</v>
      </c>
    </row>
    <row r="27" spans="1:9">
      <c r="A27" s="1234">
        <v>1</v>
      </c>
      <c r="B27" s="1235" t="s">
        <v>1086</v>
      </c>
      <c r="C27" s="1235">
        <f>C28+C29</f>
        <v>0</v>
      </c>
      <c r="D27" s="1235"/>
      <c r="E27" s="3258"/>
      <c r="F27" s="3258"/>
      <c r="G27" s="3258"/>
    </row>
    <row r="28" spans="1:9">
      <c r="A28" s="1236" t="s">
        <v>1087</v>
      </c>
      <c r="B28" s="1235" t="s">
        <v>1088</v>
      </c>
      <c r="C28" s="1235"/>
      <c r="D28" s="1235"/>
      <c r="E28" s="3258"/>
      <c r="F28" s="3258"/>
      <c r="G28" s="325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9"/>
      <c r="F32" s="3259"/>
      <c r="G32" s="3259"/>
    </row>
    <row r="33" spans="1:7" hidden="1">
      <c r="A33" s="3254" t="s">
        <v>1097</v>
      </c>
      <c r="B33" s="3255"/>
      <c r="C33" s="3255"/>
      <c r="D33" s="3256"/>
      <c r="E33" s="3257"/>
      <c r="F33" s="3257"/>
      <c r="G33" s="3257"/>
    </row>
    <row r="34" spans="1:7" hidden="1">
      <c r="A34" s="1238">
        <v>1</v>
      </c>
      <c r="B34" s="1235" t="s">
        <v>1098</v>
      </c>
      <c r="C34" s="1235"/>
      <c r="D34" s="1235"/>
      <c r="E34" s="3258"/>
      <c r="F34" s="3258"/>
      <c r="G34" s="3258"/>
    </row>
    <row r="35" spans="1:7" hidden="1">
      <c r="A35" s="1238">
        <v>2</v>
      </c>
      <c r="B35" s="1235" t="s">
        <v>1099</v>
      </c>
      <c r="C35" s="1235"/>
      <c r="D35" s="1235"/>
      <c r="E35" s="3258"/>
      <c r="F35" s="3258"/>
      <c r="G35" s="3258"/>
    </row>
    <row r="36" spans="1:7" hidden="1">
      <c r="A36" s="1238">
        <v>3</v>
      </c>
      <c r="B36" s="1235" t="s">
        <v>1100</v>
      </c>
      <c r="C36" s="1235"/>
      <c r="D36" s="1235"/>
      <c r="E36" s="3258"/>
      <c r="F36" s="3258"/>
      <c r="G36" s="3258"/>
    </row>
    <row r="37" spans="1:7" hidden="1">
      <c r="A37" s="1238">
        <v>4</v>
      </c>
      <c r="B37" s="1235" t="s">
        <v>1101</v>
      </c>
      <c r="C37" s="1235"/>
      <c r="D37" s="1235"/>
      <c r="E37" s="3258"/>
      <c r="F37" s="3258"/>
      <c r="G37" s="3258"/>
    </row>
    <row r="38" spans="1:7" hidden="1">
      <c r="A38" s="3254" t="s">
        <v>1102</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Q10" sqref="Q1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77547</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2356</v>
      </c>
      <c r="B4" s="362"/>
      <c r="C4" s="3293" t="s">
        <v>2357</v>
      </c>
      <c r="D4" s="3294"/>
      <c r="E4" s="3295" t="s">
        <v>2358</v>
      </c>
      <c r="F4" s="3296"/>
      <c r="G4" s="3293" t="s">
        <v>2359</v>
      </c>
      <c r="H4" s="3294"/>
      <c r="I4" s="3293" t="s">
        <v>2360</v>
      </c>
      <c r="J4" s="3294"/>
      <c r="K4" s="2077" t="s">
        <v>2361</v>
      </c>
      <c r="L4" s="2946"/>
      <c r="M4" s="2947"/>
      <c r="N4" s="2947"/>
      <c r="O4" s="2947"/>
      <c r="P4" s="3297" t="s">
        <v>2362</v>
      </c>
      <c r="Q4" s="3298"/>
      <c r="R4" s="3303" t="s">
        <v>2358</v>
      </c>
      <c r="S4" s="3304"/>
      <c r="T4" s="3303" t="s">
        <v>2359</v>
      </c>
      <c r="U4" s="3304"/>
      <c r="V4" s="3309" t="s">
        <v>2360</v>
      </c>
      <c r="W4" s="3309"/>
      <c r="X4" s="1541"/>
      <c r="Y4" s="3303" t="s">
        <v>2362</v>
      </c>
      <c r="Z4" s="3304"/>
      <c r="AA4" s="3290" t="s">
        <v>2358</v>
      </c>
      <c r="AB4" s="3290" t="s">
        <v>2359</v>
      </c>
      <c r="AC4" s="3290" t="s">
        <v>2360</v>
      </c>
    </row>
    <row r="5" spans="1:29" ht="15">
      <c r="A5" s="364"/>
      <c r="B5" s="365"/>
      <c r="C5" s="3312" t="s">
        <v>2363</v>
      </c>
      <c r="D5" s="3313"/>
      <c r="E5" s="3319" t="s">
        <v>2364</v>
      </c>
      <c r="F5" s="3320"/>
      <c r="G5" s="3312" t="s">
        <v>2365</v>
      </c>
      <c r="H5" s="3313"/>
      <c r="I5" s="3312" t="s">
        <v>2366</v>
      </c>
      <c r="J5" s="3313"/>
      <c r="K5" s="2078"/>
      <c r="L5" s="2946"/>
      <c r="M5" s="2947"/>
      <c r="N5" s="2947"/>
      <c r="O5" s="2947"/>
      <c r="P5" s="3299"/>
      <c r="Q5" s="3300"/>
      <c r="R5" s="3305"/>
      <c r="S5" s="3306"/>
      <c r="T5" s="3305"/>
      <c r="U5" s="3306"/>
      <c r="V5" s="3309"/>
      <c r="W5" s="3309"/>
      <c r="X5" s="1541"/>
      <c r="Y5" s="3305"/>
      <c r="Z5" s="3306"/>
      <c r="AA5" s="3291"/>
      <c r="AB5" s="3291"/>
      <c r="AC5" s="3291"/>
    </row>
    <row r="6" spans="1:29" ht="15.75" thickBot="1">
      <c r="A6" s="366"/>
      <c r="B6" s="367"/>
      <c r="C6" s="3310" t="s">
        <v>2367</v>
      </c>
      <c r="D6" s="3311"/>
      <c r="E6" s="3317" t="s">
        <v>2367</v>
      </c>
      <c r="F6" s="3318"/>
      <c r="G6" s="3310" t="s">
        <v>2367</v>
      </c>
      <c r="H6" s="3311"/>
      <c r="I6" s="3310" t="s">
        <v>2367</v>
      </c>
      <c r="J6" s="3311"/>
      <c r="K6" s="2078" t="s">
        <v>2368</v>
      </c>
      <c r="L6" s="2946"/>
      <c r="M6" s="2947"/>
      <c r="N6" s="2947"/>
      <c r="O6" s="2947"/>
      <c r="P6" s="3301"/>
      <c r="Q6" s="3302"/>
      <c r="R6" s="3305"/>
      <c r="S6" s="3306"/>
      <c r="T6" s="3307"/>
      <c r="U6" s="3308"/>
      <c r="V6" s="3309"/>
      <c r="W6" s="3309"/>
      <c r="X6" s="1541"/>
      <c r="Y6" s="3307"/>
      <c r="Z6" s="3308"/>
      <c r="AA6" s="3292"/>
      <c r="AB6" s="3292"/>
      <c r="AC6" s="3292"/>
    </row>
    <row r="7" spans="1:29" s="113" customFormat="1" ht="15.75" thickBot="1">
      <c r="A7" s="368" t="s">
        <v>2369</v>
      </c>
      <c r="B7" s="369"/>
      <c r="C7" s="370">
        <f>'数据-取费表'!B2</f>
        <v>44562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14" t="s">
        <v>2370</v>
      </c>
      <c r="Q7" s="3316"/>
      <c r="R7" s="710" t="s">
        <v>23</v>
      </c>
      <c r="S7" s="711">
        <f t="shared" ref="S7:S15" si="0">F7</f>
        <v>0</v>
      </c>
      <c r="T7" s="710" t="s">
        <v>23</v>
      </c>
      <c r="U7" s="711">
        <f t="shared" ref="U7:U15" si="1">H7</f>
        <v>0</v>
      </c>
      <c r="V7" s="710" t="s">
        <v>23</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14" t="s">
        <v>2373</v>
      </c>
      <c r="Q8" s="3315"/>
      <c r="R8" s="710" t="s">
        <v>23</v>
      </c>
      <c r="S8" s="711">
        <f t="shared" si="0"/>
        <v>0</v>
      </c>
      <c r="T8" s="710" t="s">
        <v>23</v>
      </c>
      <c r="U8" s="711">
        <f t="shared" si="1"/>
        <v>0</v>
      </c>
      <c r="V8" s="710" t="s">
        <v>23</v>
      </c>
      <c r="W8" s="711">
        <f t="shared" si="2"/>
        <v>0</v>
      </c>
      <c r="X8" s="712"/>
      <c r="Y8" s="3314" t="s">
        <v>2373</v>
      </c>
      <c r="Z8" s="331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289"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289"/>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289"/>
      <c r="Q11" s="1529" t="str">
        <f t="shared" si="6"/>
        <v>容积率</v>
      </c>
      <c r="R11" s="710" t="s">
        <v>21</v>
      </c>
      <c r="S11" s="711" t="e">
        <f t="shared" si="0"/>
        <v>#N/A</v>
      </c>
      <c r="T11" s="710" t="s">
        <v>21</v>
      </c>
      <c r="U11" s="711" t="e">
        <f t="shared" si="1"/>
        <v>#N/A</v>
      </c>
      <c r="V11" s="710" t="s">
        <v>21</v>
      </c>
      <c r="W11" s="711" t="e">
        <f t="shared" si="2"/>
        <v>#N/A</v>
      </c>
      <c r="X11" s="712"/>
      <c r="Y11" s="3148"/>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289"/>
      <c r="Q12" s="1529">
        <f t="shared" si="6"/>
        <v>111</v>
      </c>
      <c r="R12" s="710" t="s">
        <v>21</v>
      </c>
      <c r="S12" s="711">
        <f t="shared" si="0"/>
        <v>100</v>
      </c>
      <c r="T12" s="710" t="s">
        <v>21</v>
      </c>
      <c r="U12" s="711">
        <f t="shared" si="1"/>
        <v>100</v>
      </c>
      <c r="V12" s="710" t="s">
        <v>21</v>
      </c>
      <c r="W12" s="711">
        <f t="shared" si="2"/>
        <v>100</v>
      </c>
      <c r="X12" s="712"/>
      <c r="Y12" s="314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289"/>
      <c r="Q13" s="1529">
        <f t="shared" si="6"/>
        <v>111</v>
      </c>
      <c r="R13" s="710" t="s">
        <v>21</v>
      </c>
      <c r="S13" s="711">
        <f t="shared" si="0"/>
        <v>100</v>
      </c>
      <c r="T13" s="710" t="s">
        <v>21</v>
      </c>
      <c r="U13" s="711">
        <f t="shared" si="1"/>
        <v>100</v>
      </c>
      <c r="V13" s="710" t="s">
        <v>21</v>
      </c>
      <c r="W13" s="711">
        <f t="shared" si="2"/>
        <v>100</v>
      </c>
      <c r="X13" s="712"/>
      <c r="Y13" s="3148"/>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289"/>
      <c r="Q14" s="1529">
        <f t="shared" si="6"/>
        <v>111</v>
      </c>
      <c r="R14" s="710" t="s">
        <v>21</v>
      </c>
      <c r="S14" s="711">
        <f t="shared" si="0"/>
        <v>100</v>
      </c>
      <c r="T14" s="710" t="s">
        <v>21</v>
      </c>
      <c r="U14" s="711">
        <f t="shared" si="1"/>
        <v>100</v>
      </c>
      <c r="V14" s="710" t="s">
        <v>21</v>
      </c>
      <c r="W14" s="711">
        <f t="shared" si="2"/>
        <v>100</v>
      </c>
      <c r="X14" s="712"/>
      <c r="Y14" s="3148"/>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287" t="s">
        <v>2381</v>
      </c>
      <c r="Q15" s="1538" t="str">
        <f t="shared" si="6"/>
        <v>居住社区成熟度</v>
      </c>
      <c r="R15" s="714" t="s">
        <v>21</v>
      </c>
      <c r="S15" s="715">
        <f t="shared" si="0"/>
        <v>100</v>
      </c>
      <c r="T15" s="714" t="s">
        <v>21</v>
      </c>
      <c r="U15" s="715">
        <f t="shared" si="1"/>
        <v>100</v>
      </c>
      <c r="V15" s="714" t="s">
        <v>21</v>
      </c>
      <c r="W15" s="715">
        <f t="shared" si="2"/>
        <v>100</v>
      </c>
      <c r="X15" s="1541"/>
      <c r="Y15" s="3280"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288"/>
      <c r="Q16" s="1538"/>
      <c r="R16" s="714"/>
      <c r="S16" s="715"/>
      <c r="T16" s="714"/>
      <c r="U16" s="715"/>
      <c r="V16" s="714"/>
      <c r="W16" s="715"/>
      <c r="X16" s="1541"/>
      <c r="Y16" s="328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288"/>
      <c r="Q17" s="1538" t="str">
        <f>B17</f>
        <v>交通便捷度</v>
      </c>
      <c r="R17" s="714" t="s">
        <v>21</v>
      </c>
      <c r="S17" s="715">
        <f>F17</f>
        <v>100</v>
      </c>
      <c r="T17" s="714" t="s">
        <v>21</v>
      </c>
      <c r="U17" s="715">
        <f>H17</f>
        <v>100</v>
      </c>
      <c r="V17" s="714" t="s">
        <v>21</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288"/>
      <c r="Q18" s="1538"/>
      <c r="R18" s="714"/>
      <c r="S18" s="715"/>
      <c r="T18" s="714"/>
      <c r="U18" s="715"/>
      <c r="V18" s="714"/>
      <c r="W18" s="715"/>
      <c r="X18" s="1541"/>
      <c r="Y18" s="3281"/>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288"/>
      <c r="Q19" s="1538" t="str">
        <f>B19</f>
        <v>公共配套设施</v>
      </c>
      <c r="R19" s="714" t="s">
        <v>21</v>
      </c>
      <c r="S19" s="715">
        <f>F19</f>
        <v>100</v>
      </c>
      <c r="T19" s="714" t="s">
        <v>21</v>
      </c>
      <c r="U19" s="715">
        <f>H19</f>
        <v>100</v>
      </c>
      <c r="V19" s="714" t="s">
        <v>21</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288"/>
      <c r="Q20" s="1538"/>
      <c r="R20" s="714"/>
      <c r="S20" s="715"/>
      <c r="T20" s="714"/>
      <c r="U20" s="715"/>
      <c r="V20" s="714"/>
      <c r="W20" s="715"/>
      <c r="X20" s="1541"/>
      <c r="Y20" s="3281"/>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288"/>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288"/>
      <c r="Q22" s="1538"/>
      <c r="R22" s="714"/>
      <c r="S22" s="715"/>
      <c r="T22" s="714"/>
      <c r="U22" s="715"/>
      <c r="V22" s="714"/>
      <c r="W22" s="715"/>
      <c r="X22" s="1541"/>
      <c r="Y22" s="3281"/>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288"/>
      <c r="Q23" s="1538" t="str">
        <f>B23</f>
        <v>自然及人文环境</v>
      </c>
      <c r="R23" s="714" t="s">
        <v>21</v>
      </c>
      <c r="S23" s="715">
        <f>F23</f>
        <v>100</v>
      </c>
      <c r="T23" s="714" t="s">
        <v>21</v>
      </c>
      <c r="U23" s="715">
        <f>H23</f>
        <v>100</v>
      </c>
      <c r="V23" s="714" t="s">
        <v>21</v>
      </c>
      <c r="W23" s="715">
        <f>J23</f>
        <v>100</v>
      </c>
      <c r="X23" s="1541"/>
      <c r="Y23" s="3281"/>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288"/>
      <c r="Q24" s="1538"/>
      <c r="R24" s="714"/>
      <c r="S24" s="715"/>
      <c r="T24" s="714"/>
      <c r="U24" s="715"/>
      <c r="V24" s="714"/>
      <c r="W24" s="715"/>
      <c r="X24" s="1541"/>
      <c r="Y24" s="3281"/>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288"/>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81"/>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288"/>
      <c r="Q26" s="1538" t="str">
        <f t="shared" si="11"/>
        <v>朝向</v>
      </c>
      <c r="R26" s="714" t="s">
        <v>21</v>
      </c>
      <c r="S26" s="715">
        <f t="shared" si="12"/>
        <v>100</v>
      </c>
      <c r="T26" s="714" t="s">
        <v>21</v>
      </c>
      <c r="U26" s="715">
        <f t="shared" si="13"/>
        <v>100</v>
      </c>
      <c r="V26" s="714" t="s">
        <v>21</v>
      </c>
      <c r="W26" s="715">
        <f t="shared" si="14"/>
        <v>100</v>
      </c>
      <c r="X26" s="1541"/>
      <c r="Y26" s="3281"/>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288"/>
      <c r="Q27" s="1529">
        <f t="shared" si="11"/>
        <v>111</v>
      </c>
      <c r="R27" s="710" t="s">
        <v>21</v>
      </c>
      <c r="S27" s="711">
        <f t="shared" si="12"/>
        <v>100</v>
      </c>
      <c r="T27" s="710" t="s">
        <v>21</v>
      </c>
      <c r="U27" s="711">
        <f t="shared" si="13"/>
        <v>100</v>
      </c>
      <c r="V27" s="710" t="s">
        <v>21</v>
      </c>
      <c r="W27" s="711">
        <f t="shared" si="14"/>
        <v>100</v>
      </c>
      <c r="X27" s="712"/>
      <c r="Y27" s="3281"/>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288"/>
      <c r="Q28" s="1538">
        <f t="shared" si="11"/>
        <v>111</v>
      </c>
      <c r="R28" s="714" t="s">
        <v>21</v>
      </c>
      <c r="S28" s="715">
        <f t="shared" si="12"/>
        <v>100</v>
      </c>
      <c r="T28" s="714" t="s">
        <v>21</v>
      </c>
      <c r="U28" s="715">
        <f t="shared" si="13"/>
        <v>100</v>
      </c>
      <c r="V28" s="714" t="s">
        <v>21</v>
      </c>
      <c r="W28" s="715">
        <f t="shared" si="14"/>
        <v>100</v>
      </c>
      <c r="X28" s="1541"/>
      <c r="Y28" s="3281"/>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288"/>
      <c r="Q29" s="1538">
        <f t="shared" si="11"/>
        <v>111</v>
      </c>
      <c r="R29" s="714" t="s">
        <v>21</v>
      </c>
      <c r="S29" s="715">
        <f t="shared" si="12"/>
        <v>100</v>
      </c>
      <c r="T29" s="714" t="s">
        <v>21</v>
      </c>
      <c r="U29" s="715">
        <f t="shared" si="13"/>
        <v>100</v>
      </c>
      <c r="V29" s="714" t="s">
        <v>21</v>
      </c>
      <c r="W29" s="715">
        <f t="shared" si="14"/>
        <v>100</v>
      </c>
      <c r="X29" s="1541"/>
      <c r="Y29" s="3281"/>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288"/>
      <c r="Q30" s="1538">
        <f t="shared" si="11"/>
        <v>111</v>
      </c>
      <c r="R30" s="714" t="s">
        <v>21</v>
      </c>
      <c r="S30" s="715">
        <f t="shared" si="12"/>
        <v>100</v>
      </c>
      <c r="T30" s="714" t="s">
        <v>21</v>
      </c>
      <c r="U30" s="715">
        <f t="shared" si="13"/>
        <v>100</v>
      </c>
      <c r="V30" s="714" t="s">
        <v>21</v>
      </c>
      <c r="W30" s="715">
        <f t="shared" si="14"/>
        <v>100</v>
      </c>
      <c r="X30" s="1541"/>
      <c r="Y30" s="3281"/>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288"/>
      <c r="Q31" s="1538">
        <f t="shared" si="11"/>
        <v>111</v>
      </c>
      <c r="R31" s="714" t="s">
        <v>21</v>
      </c>
      <c r="S31" s="715">
        <f t="shared" si="12"/>
        <v>100</v>
      </c>
      <c r="T31" s="714" t="s">
        <v>21</v>
      </c>
      <c r="U31" s="715">
        <f t="shared" si="13"/>
        <v>100</v>
      </c>
      <c r="V31" s="714" t="s">
        <v>21</v>
      </c>
      <c r="W31" s="715">
        <f t="shared" si="14"/>
        <v>100</v>
      </c>
      <c r="X31" s="1541"/>
      <c r="Y31" s="3281"/>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282" t="s">
        <v>2386</v>
      </c>
      <c r="Q32" s="1538" t="str">
        <f t="shared" si="11"/>
        <v>建筑类型</v>
      </c>
      <c r="R32" s="714" t="s">
        <v>21</v>
      </c>
      <c r="S32" s="715">
        <f t="shared" si="12"/>
        <v>100</v>
      </c>
      <c r="T32" s="714" t="s">
        <v>21</v>
      </c>
      <c r="U32" s="715">
        <f t="shared" si="13"/>
        <v>100</v>
      </c>
      <c r="V32" s="714" t="s">
        <v>21</v>
      </c>
      <c r="W32" s="715">
        <f t="shared" si="14"/>
        <v>100</v>
      </c>
      <c r="X32" s="1541"/>
      <c r="Y32" s="3285"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283"/>
      <c r="Q33" s="716" t="str">
        <f t="shared" si="11"/>
        <v>项目建筑规模</v>
      </c>
      <c r="R33" s="717" t="s">
        <v>21</v>
      </c>
      <c r="S33" s="718" t="e">
        <f t="shared" si="12"/>
        <v>#N/A</v>
      </c>
      <c r="T33" s="717" t="s">
        <v>21</v>
      </c>
      <c r="U33" s="718" t="e">
        <f t="shared" si="13"/>
        <v>#N/A</v>
      </c>
      <c r="V33" s="717" t="s">
        <v>21</v>
      </c>
      <c r="W33" s="718" t="e">
        <f t="shared" si="14"/>
        <v>#N/A</v>
      </c>
      <c r="X33" s="719"/>
      <c r="Y33" s="3285"/>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283"/>
      <c r="Q34" s="1538" t="str">
        <f t="shared" si="11"/>
        <v>建筑结构</v>
      </c>
      <c r="R34" s="714" t="s">
        <v>21</v>
      </c>
      <c r="S34" s="715">
        <f t="shared" si="12"/>
        <v>100</v>
      </c>
      <c r="T34" s="714" t="s">
        <v>21</v>
      </c>
      <c r="U34" s="715">
        <f t="shared" si="13"/>
        <v>100</v>
      </c>
      <c r="V34" s="714" t="s">
        <v>21</v>
      </c>
      <c r="W34" s="715">
        <f t="shared" si="14"/>
        <v>100</v>
      </c>
      <c r="X34" s="1541"/>
      <c r="Y34" s="3285"/>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283"/>
      <c r="Q35" s="1538" t="str">
        <f t="shared" si="11"/>
        <v>建筑品质</v>
      </c>
      <c r="R35" s="714" t="s">
        <v>21</v>
      </c>
      <c r="S35" s="715">
        <f t="shared" si="12"/>
        <v>100</v>
      </c>
      <c r="T35" s="714" t="s">
        <v>21</v>
      </c>
      <c r="U35" s="715">
        <f t="shared" si="13"/>
        <v>100</v>
      </c>
      <c r="V35" s="714" t="s">
        <v>21</v>
      </c>
      <c r="W35" s="715">
        <f t="shared" si="14"/>
        <v>100</v>
      </c>
      <c r="X35" s="1541"/>
      <c r="Y35" s="3285"/>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283"/>
      <c r="Q36" s="1538" t="str">
        <f t="shared" si="11"/>
        <v>公共部分装修</v>
      </c>
      <c r="R36" s="714" t="s">
        <v>21</v>
      </c>
      <c r="S36" s="715">
        <f t="shared" si="12"/>
        <v>100</v>
      </c>
      <c r="T36" s="714" t="s">
        <v>21</v>
      </c>
      <c r="U36" s="715">
        <f t="shared" si="13"/>
        <v>100</v>
      </c>
      <c r="V36" s="714" t="s">
        <v>21</v>
      </c>
      <c r="W36" s="715">
        <f t="shared" si="14"/>
        <v>100</v>
      </c>
      <c r="X36" s="1541"/>
      <c r="Y36" s="3285"/>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283"/>
      <c r="Q37" s="1529" t="str">
        <f t="shared" si="11"/>
        <v>成新度</v>
      </c>
      <c r="R37" s="710" t="s">
        <v>21</v>
      </c>
      <c r="S37" s="711" t="e">
        <f t="shared" si="12"/>
        <v>#N/A</v>
      </c>
      <c r="T37" s="710" t="s">
        <v>21</v>
      </c>
      <c r="U37" s="711" t="e">
        <f t="shared" si="13"/>
        <v>#N/A</v>
      </c>
      <c r="V37" s="710" t="s">
        <v>21</v>
      </c>
      <c r="W37" s="711" t="e">
        <f t="shared" si="14"/>
        <v>#N/A</v>
      </c>
      <c r="X37" s="712"/>
      <c r="Y37" s="3285"/>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283" t="s">
        <v>2386</v>
      </c>
      <c r="Q38" s="1538" t="str">
        <f t="shared" si="11"/>
        <v>物业管理</v>
      </c>
      <c r="R38" s="714" t="s">
        <v>21</v>
      </c>
      <c r="S38" s="715">
        <f t="shared" si="12"/>
        <v>100</v>
      </c>
      <c r="T38" s="714" t="s">
        <v>21</v>
      </c>
      <c r="U38" s="715">
        <f t="shared" si="13"/>
        <v>100</v>
      </c>
      <c r="V38" s="714" t="s">
        <v>21</v>
      </c>
      <c r="W38" s="715">
        <f t="shared" si="14"/>
        <v>100</v>
      </c>
      <c r="X38" s="1541"/>
      <c r="Y38" s="3285"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283"/>
      <c r="Q39" s="1538" t="str">
        <f t="shared" si="11"/>
        <v>市政基础设施</v>
      </c>
      <c r="R39" s="714" t="s">
        <v>21</v>
      </c>
      <c r="S39" s="715">
        <f t="shared" si="12"/>
        <v>100</v>
      </c>
      <c r="T39" s="714" t="s">
        <v>21</v>
      </c>
      <c r="U39" s="715">
        <f t="shared" si="13"/>
        <v>100</v>
      </c>
      <c r="V39" s="714" t="s">
        <v>21</v>
      </c>
      <c r="W39" s="715">
        <f t="shared" si="14"/>
        <v>100</v>
      </c>
      <c r="X39" s="1541"/>
      <c r="Y39" s="3285"/>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283"/>
      <c r="Q40" s="1538" t="str">
        <f t="shared" si="11"/>
        <v>房型</v>
      </c>
      <c r="R40" s="714" t="s">
        <v>21</v>
      </c>
      <c r="S40" s="715">
        <f t="shared" si="12"/>
        <v>100</v>
      </c>
      <c r="T40" s="714" t="s">
        <v>21</v>
      </c>
      <c r="U40" s="715">
        <f t="shared" si="13"/>
        <v>100</v>
      </c>
      <c r="V40" s="714" t="s">
        <v>21</v>
      </c>
      <c r="W40" s="715">
        <f t="shared" si="14"/>
        <v>100</v>
      </c>
      <c r="X40" s="1541"/>
      <c r="Y40" s="3285"/>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283"/>
      <c r="Q41" s="716" t="str">
        <f t="shared" si="11"/>
        <v>单套/主力户型建筑面积</v>
      </c>
      <c r="R41" s="717" t="s">
        <v>21</v>
      </c>
      <c r="S41" s="718">
        <f t="shared" si="12"/>
        <v>100</v>
      </c>
      <c r="T41" s="717" t="s">
        <v>21</v>
      </c>
      <c r="U41" s="718">
        <f t="shared" si="13"/>
        <v>100</v>
      </c>
      <c r="V41" s="717" t="s">
        <v>21</v>
      </c>
      <c r="W41" s="718">
        <f t="shared" si="14"/>
        <v>100</v>
      </c>
      <c r="X41" s="719"/>
      <c r="Y41" s="3285"/>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283"/>
      <c r="Q42" s="1538" t="str">
        <f t="shared" si="11"/>
        <v>内部装修</v>
      </c>
      <c r="R42" s="714" t="s">
        <v>21</v>
      </c>
      <c r="S42" s="715">
        <f t="shared" si="12"/>
        <v>100</v>
      </c>
      <c r="T42" s="714" t="s">
        <v>21</v>
      </c>
      <c r="U42" s="715">
        <f t="shared" si="13"/>
        <v>100</v>
      </c>
      <c r="V42" s="714" t="s">
        <v>21</v>
      </c>
      <c r="W42" s="715">
        <f t="shared" si="14"/>
        <v>100</v>
      </c>
      <c r="X42" s="1541"/>
      <c r="Y42" s="3285"/>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283"/>
      <c r="Q43" s="1538" t="str">
        <f t="shared" si="11"/>
        <v>内部装修维护情况</v>
      </c>
      <c r="R43" s="714" t="s">
        <v>21</v>
      </c>
      <c r="S43" s="715">
        <f t="shared" si="12"/>
        <v>100</v>
      </c>
      <c r="T43" s="714" t="s">
        <v>21</v>
      </c>
      <c r="U43" s="715">
        <f t="shared" si="13"/>
        <v>100</v>
      </c>
      <c r="V43" s="714" t="s">
        <v>21</v>
      </c>
      <c r="W43" s="715">
        <f t="shared" si="14"/>
        <v>100</v>
      </c>
      <c r="X43" s="1541"/>
      <c r="Y43" s="3285"/>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283"/>
      <c r="Q44" s="1529">
        <f t="shared" si="11"/>
        <v>111</v>
      </c>
      <c r="R44" s="710" t="s">
        <v>21</v>
      </c>
      <c r="S44" s="711">
        <f t="shared" si="12"/>
        <v>100</v>
      </c>
      <c r="T44" s="710" t="s">
        <v>21</v>
      </c>
      <c r="U44" s="711">
        <f t="shared" si="13"/>
        <v>100</v>
      </c>
      <c r="V44" s="710" t="s">
        <v>21</v>
      </c>
      <c r="W44" s="711">
        <f t="shared" si="14"/>
        <v>100</v>
      </c>
      <c r="X44" s="712"/>
      <c r="Y44" s="328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283"/>
      <c r="Q45" s="1538">
        <f t="shared" si="11"/>
        <v>111</v>
      </c>
      <c r="R45" s="714" t="s">
        <v>21</v>
      </c>
      <c r="S45" s="715">
        <f t="shared" si="12"/>
        <v>100</v>
      </c>
      <c r="T45" s="714" t="s">
        <v>21</v>
      </c>
      <c r="U45" s="715">
        <f t="shared" si="13"/>
        <v>100</v>
      </c>
      <c r="V45" s="714" t="s">
        <v>21</v>
      </c>
      <c r="W45" s="715">
        <f t="shared" si="14"/>
        <v>100</v>
      </c>
      <c r="X45" s="1541"/>
      <c r="Y45" s="3285"/>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284"/>
      <c r="Q46" s="1538">
        <f t="shared" si="11"/>
        <v>111</v>
      </c>
      <c r="R46" s="714" t="s">
        <v>20</v>
      </c>
      <c r="S46" s="715">
        <f t="shared" si="12"/>
        <v>100</v>
      </c>
      <c r="T46" s="714" t="s">
        <v>20</v>
      </c>
      <c r="U46" s="715">
        <f t="shared" si="13"/>
        <v>100</v>
      </c>
      <c r="V46" s="714" t="s">
        <v>20</v>
      </c>
      <c r="W46" s="715">
        <f t="shared" si="14"/>
        <v>100</v>
      </c>
      <c r="X46" s="1541"/>
      <c r="Y46" s="3286"/>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5"/>
      <c r="M47" s="2956"/>
      <c r="N47" s="2947"/>
      <c r="O47" s="2956"/>
      <c r="P47" s="3278" t="str">
        <f>A47</f>
        <v>成交单价（元/平方米）</v>
      </c>
      <c r="Q47" s="3278"/>
      <c r="R47" s="3279">
        <f>E47</f>
        <v>0</v>
      </c>
      <c r="S47" s="3279"/>
      <c r="T47" s="3279">
        <f>G47</f>
        <v>0</v>
      </c>
      <c r="U47" s="3279"/>
      <c r="V47" s="3279">
        <f>I47</f>
        <v>0</v>
      </c>
      <c r="W47" s="3279"/>
      <c r="X47" s="699"/>
      <c r="Y47" s="721"/>
      <c r="Z47" s="699"/>
      <c r="AA47" s="699"/>
      <c r="AB47" s="699"/>
      <c r="AC47" s="699"/>
    </row>
    <row r="48" spans="1:29" ht="15.75" thickBot="1">
      <c r="A48" s="445" t="s">
        <v>2399</v>
      </c>
      <c r="B48" s="446"/>
      <c r="C48" s="1322" t="e">
        <f>R49</f>
        <v>#DIV/0!</v>
      </c>
      <c r="D48" s="2540" t="s">
        <v>2881</v>
      </c>
      <c r="E48" s="1323" t="e">
        <f>R48</f>
        <v>#DIV/0!</v>
      </c>
      <c r="F48" s="2541"/>
      <c r="G48" s="1322" t="e">
        <f>T48</f>
        <v>#DIV/0!</v>
      </c>
      <c r="H48" s="2541"/>
      <c r="I48" s="1323" t="e">
        <f>V48</f>
        <v>#DIV/0!</v>
      </c>
      <c r="J48" s="2541"/>
      <c r="K48" s="2542">
        <f>F48+H48+J48</f>
        <v>0</v>
      </c>
      <c r="L48" s="2955"/>
      <c r="M48" s="2956"/>
      <c r="N48" s="2956"/>
      <c r="O48" s="2956"/>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5"/>
      <c r="M49" s="2956"/>
      <c r="N49" s="2956"/>
      <c r="O49" s="2956"/>
      <c r="P49" s="3275" t="str">
        <f>A49</f>
        <v>估价对象XX用房的比较价值（楼面单价，元/平方米）</v>
      </c>
      <c r="Q49" s="3276"/>
      <c r="R49" s="3277" t="e">
        <f>IF(F1="售价",ROUND(IF(D48="简单平均",AVERAGE(R48:V48),R48*F48+T48*H48+V48*J48),0),ROUND(IF(D48="简单平均",AVERAGE(R48:V48),R48*F48+T48*H48+V48*J48),1))</f>
        <v>#DIV/0!</v>
      </c>
      <c r="S49" s="3277"/>
      <c r="T49" s="3277"/>
      <c r="U49" s="3277"/>
      <c r="V49" s="3277"/>
      <c r="W49" s="327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2022-1</v>
      </c>
      <c r="D58" s="1347">
        <f>EDATE(C58,-1)</f>
        <v>44531</v>
      </c>
      <c r="E58" s="1347">
        <f>EDATE(D58,-1)</f>
        <v>44501</v>
      </c>
      <c r="F58" s="1347">
        <f t="shared" ref="F58:O58" si="19">EDATE(E58,-1)</f>
        <v>44470</v>
      </c>
      <c r="G58" s="1347">
        <f t="shared" si="19"/>
        <v>44440</v>
      </c>
      <c r="H58" s="1347">
        <f t="shared" si="19"/>
        <v>44409</v>
      </c>
      <c r="I58" s="1347">
        <f t="shared" si="19"/>
        <v>44378</v>
      </c>
      <c r="J58" s="1347">
        <f t="shared" si="19"/>
        <v>44348</v>
      </c>
      <c r="K58" s="1347">
        <f t="shared" si="19"/>
        <v>44317</v>
      </c>
      <c r="L58" s="1347">
        <f t="shared" si="19"/>
        <v>44287</v>
      </c>
      <c r="M58" s="1347">
        <f t="shared" si="19"/>
        <v>44256</v>
      </c>
      <c r="N58" s="1347">
        <f t="shared" si="19"/>
        <v>44228</v>
      </c>
      <c r="O58" s="1347">
        <f t="shared" si="19"/>
        <v>44197</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77547</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2466</v>
      </c>
      <c r="B4" s="362"/>
      <c r="C4" s="3293" t="s">
        <v>2467</v>
      </c>
      <c r="D4" s="3294"/>
      <c r="E4" s="3295" t="s">
        <v>2468</v>
      </c>
      <c r="F4" s="3296"/>
      <c r="G4" s="3293" t="s">
        <v>2469</v>
      </c>
      <c r="H4" s="3294"/>
      <c r="I4" s="3293" t="s">
        <v>2470</v>
      </c>
      <c r="J4" s="3294"/>
      <c r="K4" s="567" t="s">
        <v>2471</v>
      </c>
      <c r="L4" s="2946"/>
      <c r="M4" s="2947"/>
      <c r="N4" s="2947"/>
      <c r="O4" s="2947"/>
      <c r="P4" s="3297" t="s">
        <v>2472</v>
      </c>
      <c r="Q4" s="3298"/>
      <c r="R4" s="3303" t="s">
        <v>2468</v>
      </c>
      <c r="S4" s="3304"/>
      <c r="T4" s="3303" t="s">
        <v>2469</v>
      </c>
      <c r="U4" s="3304"/>
      <c r="V4" s="3309" t="s">
        <v>2470</v>
      </c>
      <c r="W4" s="3309"/>
      <c r="X4" s="1541"/>
      <c r="Y4" s="3303" t="s">
        <v>2472</v>
      </c>
      <c r="Z4" s="3304"/>
      <c r="AA4" s="3290" t="s">
        <v>2468</v>
      </c>
      <c r="AB4" s="3309" t="s">
        <v>2469</v>
      </c>
      <c r="AC4" s="3290" t="s">
        <v>2470</v>
      </c>
    </row>
    <row r="5" spans="1:29" ht="15">
      <c r="A5" s="364"/>
      <c r="B5" s="365"/>
      <c r="C5" s="3312" t="s">
        <v>2363</v>
      </c>
      <c r="D5" s="3313"/>
      <c r="E5" s="3319" t="s">
        <v>2364</v>
      </c>
      <c r="F5" s="3320"/>
      <c r="G5" s="3312" t="s">
        <v>2365</v>
      </c>
      <c r="H5" s="3313"/>
      <c r="I5" s="3312" t="s">
        <v>2366</v>
      </c>
      <c r="J5" s="3313"/>
      <c r="K5" s="567"/>
      <c r="L5" s="2946"/>
      <c r="M5" s="2947"/>
      <c r="N5" s="2947"/>
      <c r="O5" s="2947"/>
      <c r="P5" s="3299"/>
      <c r="Q5" s="3300"/>
      <c r="R5" s="3305"/>
      <c r="S5" s="3306"/>
      <c r="T5" s="3305"/>
      <c r="U5" s="3306"/>
      <c r="V5" s="3309"/>
      <c r="W5" s="3309"/>
      <c r="X5" s="1541"/>
      <c r="Y5" s="3305"/>
      <c r="Z5" s="3306"/>
      <c r="AA5" s="3291"/>
      <c r="AB5" s="3309"/>
      <c r="AC5" s="3291"/>
    </row>
    <row r="6" spans="1:29" ht="15.75" thickBot="1">
      <c r="A6" s="366"/>
      <c r="B6" s="367"/>
      <c r="C6" s="3310" t="s">
        <v>2367</v>
      </c>
      <c r="D6" s="3311"/>
      <c r="E6" s="3317" t="s">
        <v>2367</v>
      </c>
      <c r="F6" s="3318"/>
      <c r="G6" s="3310" t="s">
        <v>2367</v>
      </c>
      <c r="H6" s="3311"/>
      <c r="I6" s="3310" t="s">
        <v>2367</v>
      </c>
      <c r="J6" s="3311"/>
      <c r="K6" s="567" t="s">
        <v>2368</v>
      </c>
      <c r="L6" s="2946"/>
      <c r="M6" s="2947"/>
      <c r="N6" s="2947"/>
      <c r="O6" s="2947"/>
      <c r="P6" s="3301"/>
      <c r="Q6" s="3302"/>
      <c r="R6" s="3305"/>
      <c r="S6" s="3306"/>
      <c r="T6" s="3307"/>
      <c r="U6" s="3308"/>
      <c r="V6" s="3309"/>
      <c r="W6" s="3309"/>
      <c r="X6" s="1541"/>
      <c r="Y6" s="3307"/>
      <c r="Z6" s="3308"/>
      <c r="AA6" s="3292"/>
      <c r="AB6" s="3309"/>
      <c r="AC6" s="3292"/>
    </row>
    <row r="7" spans="1:29" s="113" customFormat="1" ht="15.75" thickBot="1">
      <c r="A7" s="368" t="s">
        <v>2369</v>
      </c>
      <c r="B7" s="369"/>
      <c r="C7" s="370">
        <f>'数据-取费表'!B2</f>
        <v>44562</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14" t="s">
        <v>2373</v>
      </c>
      <c r="Q8" s="3315"/>
      <c r="R8" s="710" t="s">
        <v>17</v>
      </c>
      <c r="S8" s="711">
        <f t="shared" si="0"/>
        <v>0</v>
      </c>
      <c r="T8" s="710" t="s">
        <v>17</v>
      </c>
      <c r="U8" s="711">
        <f t="shared" si="1"/>
        <v>0</v>
      </c>
      <c r="V8" s="710" t="s">
        <v>17</v>
      </c>
      <c r="W8" s="711">
        <f t="shared" si="2"/>
        <v>0</v>
      </c>
      <c r="X8" s="712"/>
      <c r="Y8" s="3314" t="s">
        <v>2373</v>
      </c>
      <c r="Z8" s="331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289"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289"/>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289"/>
      <c r="Q11" s="1529" t="str">
        <f t="shared" si="6"/>
        <v>容积率</v>
      </c>
      <c r="R11" s="710" t="s">
        <v>17</v>
      </c>
      <c r="S11" s="711" t="e">
        <f t="shared" si="0"/>
        <v>#N/A</v>
      </c>
      <c r="T11" s="710" t="s">
        <v>17</v>
      </c>
      <c r="U11" s="711" t="e">
        <f t="shared" si="1"/>
        <v>#N/A</v>
      </c>
      <c r="V11" s="710" t="s">
        <v>17</v>
      </c>
      <c r="W11" s="711" t="e">
        <f t="shared" si="2"/>
        <v>#N/A</v>
      </c>
      <c r="X11" s="712"/>
      <c r="Y11" s="314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289"/>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289"/>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289"/>
      <c r="Q14" s="1529">
        <f t="shared" si="6"/>
        <v>111</v>
      </c>
      <c r="R14" s="710" t="s">
        <v>17</v>
      </c>
      <c r="S14" s="711">
        <f t="shared" si="0"/>
        <v>100</v>
      </c>
      <c r="T14" s="710" t="s">
        <v>17</v>
      </c>
      <c r="U14" s="711">
        <f t="shared" si="1"/>
        <v>100</v>
      </c>
      <c r="V14" s="710" t="s">
        <v>17</v>
      </c>
      <c r="W14" s="711">
        <f t="shared" si="2"/>
        <v>100</v>
      </c>
      <c r="X14" s="712"/>
      <c r="Y14" s="3148"/>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287" t="s">
        <v>2381</v>
      </c>
      <c r="Q15" s="1538" t="str">
        <f t="shared" si="6"/>
        <v>商业繁华度</v>
      </c>
      <c r="R15" s="714" t="s">
        <v>17</v>
      </c>
      <c r="S15" s="715">
        <f t="shared" si="0"/>
        <v>100</v>
      </c>
      <c r="T15" s="714" t="s">
        <v>17</v>
      </c>
      <c r="U15" s="715">
        <f t="shared" si="1"/>
        <v>100</v>
      </c>
      <c r="V15" s="714" t="s">
        <v>17</v>
      </c>
      <c r="W15" s="715">
        <f t="shared" si="2"/>
        <v>100</v>
      </c>
      <c r="X15" s="1541"/>
      <c r="Y15" s="3280"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288"/>
      <c r="Q16" s="1538"/>
      <c r="R16" s="714"/>
      <c r="S16" s="715"/>
      <c r="T16" s="714"/>
      <c r="U16" s="715"/>
      <c r="V16" s="714"/>
      <c r="W16" s="715"/>
      <c r="X16" s="1541"/>
      <c r="Y16" s="3281"/>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288"/>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288"/>
      <c r="Q18" s="1538"/>
      <c r="R18" s="714"/>
      <c r="S18" s="715"/>
      <c r="T18" s="714"/>
      <c r="U18" s="715"/>
      <c r="V18" s="714"/>
      <c r="W18" s="715"/>
      <c r="X18" s="1541"/>
      <c r="Y18" s="3281"/>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288"/>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288"/>
      <c r="Q20" s="1538"/>
      <c r="R20" s="714"/>
      <c r="S20" s="715"/>
      <c r="T20" s="714"/>
      <c r="U20" s="715"/>
      <c r="V20" s="714"/>
      <c r="W20" s="715"/>
      <c r="X20" s="1541"/>
      <c r="Y20" s="3281"/>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288"/>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288"/>
      <c r="Q22" s="1538"/>
      <c r="R22" s="714"/>
      <c r="S22" s="715"/>
      <c r="T22" s="714"/>
      <c r="U22" s="715"/>
      <c r="V22" s="714"/>
      <c r="W22" s="715"/>
      <c r="X22" s="1541"/>
      <c r="Y22" s="3281"/>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288"/>
      <c r="Q23" s="1538" t="str">
        <f>B23</f>
        <v>自然及人文环境</v>
      </c>
      <c r="R23" s="714" t="s">
        <v>17</v>
      </c>
      <c r="S23" s="715">
        <f>F23</f>
        <v>100</v>
      </c>
      <c r="T23" s="714" t="s">
        <v>17</v>
      </c>
      <c r="U23" s="715">
        <f>H23</f>
        <v>100</v>
      </c>
      <c r="V23" s="714" t="s">
        <v>17</v>
      </c>
      <c r="W23" s="715">
        <f>J23</f>
        <v>100</v>
      </c>
      <c r="X23" s="1541"/>
      <c r="Y23" s="3281"/>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288"/>
      <c r="Q24" s="1538"/>
      <c r="R24" s="714"/>
      <c r="S24" s="715"/>
      <c r="T24" s="714"/>
      <c r="U24" s="715"/>
      <c r="V24" s="714"/>
      <c r="W24" s="715"/>
      <c r="X24" s="1541"/>
      <c r="Y24" s="3281"/>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288"/>
      <c r="Q25" s="1538" t="str">
        <f t="shared" ref="Q25:Q46" si="11">B25</f>
        <v>临街状况</v>
      </c>
      <c r="R25" s="714" t="s">
        <v>17</v>
      </c>
      <c r="S25" s="715">
        <f>F25</f>
        <v>100</v>
      </c>
      <c r="T25" s="714" t="s">
        <v>17</v>
      </c>
      <c r="U25" s="715">
        <f>H25</f>
        <v>100</v>
      </c>
      <c r="V25" s="714" t="s">
        <v>17</v>
      </c>
      <c r="W25" s="715">
        <f>J25</f>
        <v>100</v>
      </c>
      <c r="X25" s="1541"/>
      <c r="Y25" s="3281"/>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288"/>
      <c r="Q26" s="1538" t="str">
        <f t="shared" si="11"/>
        <v>平面位置/可视性</v>
      </c>
      <c r="R26" s="714" t="s">
        <v>17</v>
      </c>
      <c r="S26" s="715">
        <f>F26</f>
        <v>100</v>
      </c>
      <c r="T26" s="714" t="s">
        <v>17</v>
      </c>
      <c r="U26" s="715">
        <f>H26</f>
        <v>100</v>
      </c>
      <c r="V26" s="714" t="s">
        <v>17</v>
      </c>
      <c r="W26" s="715">
        <f>J26</f>
        <v>100</v>
      </c>
      <c r="X26" s="1541"/>
      <c r="Y26" s="3281"/>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288"/>
      <c r="Q27" s="1529" t="str">
        <f t="shared" si="11"/>
        <v>人流量</v>
      </c>
      <c r="R27" s="710" t="s">
        <v>17</v>
      </c>
      <c r="S27" s="711">
        <f>F27</f>
        <v>100</v>
      </c>
      <c r="T27" s="710" t="s">
        <v>17</v>
      </c>
      <c r="U27" s="711">
        <f>H27</f>
        <v>100</v>
      </c>
      <c r="V27" s="710" t="s">
        <v>17</v>
      </c>
      <c r="W27" s="711">
        <f>J27</f>
        <v>100</v>
      </c>
      <c r="X27" s="712"/>
      <c r="Y27" s="3281"/>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288"/>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81"/>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288"/>
      <c r="Q29" s="1538">
        <f t="shared" si="11"/>
        <v>111</v>
      </c>
      <c r="R29" s="714" t="s">
        <v>17</v>
      </c>
      <c r="S29" s="715">
        <f t="shared" si="12"/>
        <v>100</v>
      </c>
      <c r="T29" s="714" t="s">
        <v>17</v>
      </c>
      <c r="U29" s="715">
        <f t="shared" si="13"/>
        <v>100</v>
      </c>
      <c r="V29" s="714" t="s">
        <v>17</v>
      </c>
      <c r="W29" s="715">
        <f t="shared" si="14"/>
        <v>100</v>
      </c>
      <c r="X29" s="1541"/>
      <c r="Y29" s="3281"/>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288"/>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288"/>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282" t="s">
        <v>2386</v>
      </c>
      <c r="Q32" s="1538" t="str">
        <f t="shared" si="11"/>
        <v>商业类型</v>
      </c>
      <c r="R32" s="714" t="s">
        <v>17</v>
      </c>
      <c r="S32" s="715">
        <f t="shared" si="12"/>
        <v>100</v>
      </c>
      <c r="T32" s="714" t="s">
        <v>17</v>
      </c>
      <c r="U32" s="715">
        <f t="shared" si="13"/>
        <v>100</v>
      </c>
      <c r="V32" s="714" t="s">
        <v>17</v>
      </c>
      <c r="W32" s="715">
        <f t="shared" si="14"/>
        <v>100</v>
      </c>
      <c r="X32" s="1541"/>
      <c r="Y32" s="3285"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283"/>
      <c r="Q33" s="716" t="str">
        <f t="shared" si="11"/>
        <v>项目建筑规模</v>
      </c>
      <c r="R33" s="717" t="s">
        <v>17</v>
      </c>
      <c r="S33" s="718" t="e">
        <f t="shared" si="12"/>
        <v>#N/A</v>
      </c>
      <c r="T33" s="717" t="s">
        <v>17</v>
      </c>
      <c r="U33" s="718" t="e">
        <f t="shared" si="13"/>
        <v>#N/A</v>
      </c>
      <c r="V33" s="717" t="s">
        <v>17</v>
      </c>
      <c r="W33" s="718" t="e">
        <f t="shared" si="14"/>
        <v>#N/A</v>
      </c>
      <c r="X33" s="719"/>
      <c r="Y33" s="3285"/>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283"/>
      <c r="Q34" s="1538" t="str">
        <f t="shared" si="11"/>
        <v>建筑结构</v>
      </c>
      <c r="R34" s="714" t="s">
        <v>17</v>
      </c>
      <c r="S34" s="715">
        <f t="shared" si="12"/>
        <v>100</v>
      </c>
      <c r="T34" s="714" t="s">
        <v>17</v>
      </c>
      <c r="U34" s="715">
        <f t="shared" si="13"/>
        <v>100</v>
      </c>
      <c r="V34" s="714" t="s">
        <v>17</v>
      </c>
      <c r="W34" s="715">
        <f t="shared" si="14"/>
        <v>100</v>
      </c>
      <c r="X34" s="1541"/>
      <c r="Y34" s="3285"/>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283"/>
      <c r="Q35" s="1538" t="str">
        <f t="shared" si="11"/>
        <v>公共部分装修</v>
      </c>
      <c r="R35" s="714" t="s">
        <v>17</v>
      </c>
      <c r="S35" s="715">
        <f t="shared" si="12"/>
        <v>100</v>
      </c>
      <c r="T35" s="714" t="s">
        <v>17</v>
      </c>
      <c r="U35" s="715">
        <f t="shared" si="13"/>
        <v>100</v>
      </c>
      <c r="V35" s="714" t="s">
        <v>17</v>
      </c>
      <c r="W35" s="715">
        <f t="shared" si="14"/>
        <v>100</v>
      </c>
      <c r="X35" s="1541"/>
      <c r="Y35" s="3285"/>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283"/>
      <c r="Q36" s="1538" t="str">
        <f t="shared" si="11"/>
        <v>成新度</v>
      </c>
      <c r="R36" s="714" t="s">
        <v>17</v>
      </c>
      <c r="S36" s="715" t="e">
        <f t="shared" si="12"/>
        <v>#N/A</v>
      </c>
      <c r="T36" s="714" t="s">
        <v>17</v>
      </c>
      <c r="U36" s="715" t="e">
        <f t="shared" si="13"/>
        <v>#N/A</v>
      </c>
      <c r="V36" s="714" t="s">
        <v>17</v>
      </c>
      <c r="W36" s="715" t="e">
        <f t="shared" si="14"/>
        <v>#N/A</v>
      </c>
      <c r="X36" s="1541"/>
      <c r="Y36" s="3285"/>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283"/>
      <c r="Q37" s="1529" t="str">
        <f t="shared" si="11"/>
        <v>市政基础设施</v>
      </c>
      <c r="R37" s="710" t="s">
        <v>17</v>
      </c>
      <c r="S37" s="711">
        <f t="shared" si="12"/>
        <v>100</v>
      </c>
      <c r="T37" s="710" t="s">
        <v>17</v>
      </c>
      <c r="U37" s="711">
        <f t="shared" si="13"/>
        <v>100</v>
      </c>
      <c r="V37" s="710" t="s">
        <v>17</v>
      </c>
      <c r="W37" s="711">
        <f t="shared" si="14"/>
        <v>100</v>
      </c>
      <c r="X37" s="712"/>
      <c r="Y37" s="3285"/>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283" t="s">
        <v>2386</v>
      </c>
      <c r="Q38" s="1538" t="str">
        <f t="shared" si="11"/>
        <v>业态</v>
      </c>
      <c r="R38" s="714" t="s">
        <v>17</v>
      </c>
      <c r="S38" s="715">
        <f t="shared" si="12"/>
        <v>100</v>
      </c>
      <c r="T38" s="714" t="s">
        <v>17</v>
      </c>
      <c r="U38" s="715">
        <f t="shared" si="13"/>
        <v>100</v>
      </c>
      <c r="V38" s="714" t="s">
        <v>17</v>
      </c>
      <c r="W38" s="715">
        <f t="shared" si="14"/>
        <v>100</v>
      </c>
      <c r="X38" s="1541"/>
      <c r="Y38" s="3285"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283"/>
      <c r="Q39" s="1538" t="str">
        <f t="shared" si="11"/>
        <v>层高</v>
      </c>
      <c r="R39" s="714" t="s">
        <v>17</v>
      </c>
      <c r="S39" s="715">
        <f t="shared" si="12"/>
        <v>100</v>
      </c>
      <c r="T39" s="714" t="s">
        <v>17</v>
      </c>
      <c r="U39" s="715">
        <f t="shared" si="13"/>
        <v>100</v>
      </c>
      <c r="V39" s="714" t="s">
        <v>17</v>
      </c>
      <c r="W39" s="715">
        <f t="shared" si="14"/>
        <v>100</v>
      </c>
      <c r="X39" s="1541"/>
      <c r="Y39" s="3285"/>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283"/>
      <c r="Q40" s="1538" t="str">
        <f t="shared" si="11"/>
        <v>单套建筑面积</v>
      </c>
      <c r="R40" s="714" t="s">
        <v>17</v>
      </c>
      <c r="S40" s="715">
        <f t="shared" si="12"/>
        <v>100</v>
      </c>
      <c r="T40" s="714" t="s">
        <v>17</v>
      </c>
      <c r="U40" s="715">
        <f t="shared" si="13"/>
        <v>100</v>
      </c>
      <c r="V40" s="714" t="s">
        <v>17</v>
      </c>
      <c r="W40" s="715">
        <f t="shared" si="14"/>
        <v>100</v>
      </c>
      <c r="X40" s="1541"/>
      <c r="Y40" s="3285"/>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283"/>
      <c r="Q41" s="716" t="str">
        <f t="shared" si="11"/>
        <v>进深比</v>
      </c>
      <c r="R41" s="717" t="s">
        <v>17</v>
      </c>
      <c r="S41" s="718">
        <f t="shared" si="12"/>
        <v>100</v>
      </c>
      <c r="T41" s="717" t="s">
        <v>17</v>
      </c>
      <c r="U41" s="718">
        <f t="shared" si="13"/>
        <v>100</v>
      </c>
      <c r="V41" s="717" t="s">
        <v>17</v>
      </c>
      <c r="W41" s="718">
        <f t="shared" si="14"/>
        <v>100</v>
      </c>
      <c r="X41" s="719"/>
      <c r="Y41" s="3285"/>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283"/>
      <c r="Q42" s="1538" t="str">
        <f t="shared" si="11"/>
        <v>内部装修</v>
      </c>
      <c r="R42" s="714" t="s">
        <v>17</v>
      </c>
      <c r="S42" s="715">
        <f t="shared" si="12"/>
        <v>100</v>
      </c>
      <c r="T42" s="714" t="s">
        <v>17</v>
      </c>
      <c r="U42" s="715">
        <f t="shared" si="13"/>
        <v>100</v>
      </c>
      <c r="V42" s="714" t="s">
        <v>17</v>
      </c>
      <c r="W42" s="715">
        <f t="shared" si="14"/>
        <v>100</v>
      </c>
      <c r="X42" s="1541"/>
      <c r="Y42" s="3285"/>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283"/>
      <c r="Q43" s="1538" t="str">
        <f t="shared" si="11"/>
        <v>内部装修维护情况</v>
      </c>
      <c r="R43" s="714" t="s">
        <v>17</v>
      </c>
      <c r="S43" s="715">
        <f t="shared" si="12"/>
        <v>100</v>
      </c>
      <c r="T43" s="714" t="s">
        <v>17</v>
      </c>
      <c r="U43" s="715">
        <f t="shared" si="13"/>
        <v>100</v>
      </c>
      <c r="V43" s="714" t="s">
        <v>17</v>
      </c>
      <c r="W43" s="715">
        <f t="shared" si="14"/>
        <v>100</v>
      </c>
      <c r="X43" s="1541"/>
      <c r="Y43" s="3285"/>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283"/>
      <c r="Q44" s="1529">
        <f t="shared" si="11"/>
        <v>111</v>
      </c>
      <c r="R44" s="710" t="s">
        <v>17</v>
      </c>
      <c r="S44" s="711">
        <f t="shared" si="12"/>
        <v>100</v>
      </c>
      <c r="T44" s="710" t="s">
        <v>17</v>
      </c>
      <c r="U44" s="711">
        <f t="shared" si="13"/>
        <v>100</v>
      </c>
      <c r="V44" s="710" t="s">
        <v>17</v>
      </c>
      <c r="W44" s="711">
        <f t="shared" si="14"/>
        <v>100</v>
      </c>
      <c r="X44" s="712"/>
      <c r="Y44" s="328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283"/>
      <c r="Q45" s="1538">
        <f t="shared" si="11"/>
        <v>111</v>
      </c>
      <c r="R45" s="714" t="s">
        <v>17</v>
      </c>
      <c r="S45" s="715">
        <f t="shared" si="12"/>
        <v>100</v>
      </c>
      <c r="T45" s="714" t="s">
        <v>17</v>
      </c>
      <c r="U45" s="715">
        <f t="shared" si="13"/>
        <v>100</v>
      </c>
      <c r="V45" s="714" t="s">
        <v>17</v>
      </c>
      <c r="W45" s="715">
        <f t="shared" si="14"/>
        <v>100</v>
      </c>
      <c r="X45" s="1541"/>
      <c r="Y45" s="3285"/>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284"/>
      <c r="Q46" s="1538">
        <f t="shared" si="11"/>
        <v>111</v>
      </c>
      <c r="R46" s="714" t="s">
        <v>17</v>
      </c>
      <c r="S46" s="715">
        <f t="shared" si="12"/>
        <v>100</v>
      </c>
      <c r="T46" s="714" t="s">
        <v>17</v>
      </c>
      <c r="U46" s="715">
        <f t="shared" si="13"/>
        <v>100</v>
      </c>
      <c r="V46" s="714" t="s">
        <v>17</v>
      </c>
      <c r="W46" s="715">
        <f t="shared" si="14"/>
        <v>100</v>
      </c>
      <c r="X46" s="1541"/>
      <c r="Y46" s="3286"/>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5"/>
      <c r="M47" s="2956"/>
      <c r="N47" s="2947"/>
      <c r="O47" s="2956"/>
      <c r="P47" s="3278" t="str">
        <f>A47</f>
        <v>成交单价（元/平方米）</v>
      </c>
      <c r="Q47" s="3278"/>
      <c r="R47" s="3309">
        <f>E47</f>
        <v>0</v>
      </c>
      <c r="S47" s="3309"/>
      <c r="T47" s="3309">
        <f>G47</f>
        <v>0</v>
      </c>
      <c r="U47" s="3309"/>
      <c r="V47" s="3309">
        <f>I47</f>
        <v>0</v>
      </c>
      <c r="W47" s="3309"/>
      <c r="X47" s="699"/>
      <c r="Y47" s="721"/>
      <c r="Z47" s="699"/>
      <c r="AA47" s="699"/>
      <c r="AB47" s="699"/>
      <c r="AC47" s="699"/>
    </row>
    <row r="48" spans="1:29" ht="15.75" thickBot="1">
      <c r="A48" s="445" t="s">
        <v>2490</v>
      </c>
      <c r="B48" s="446"/>
      <c r="C48" s="1322" t="e">
        <f>R49</f>
        <v>#DIV/0!</v>
      </c>
      <c r="D48" s="2540" t="s">
        <v>2881</v>
      </c>
      <c r="E48" s="1323" t="e">
        <f>R48</f>
        <v>#DIV/0!</v>
      </c>
      <c r="F48" s="2541"/>
      <c r="G48" s="1322" t="e">
        <f>T48</f>
        <v>#DIV/0!</v>
      </c>
      <c r="H48" s="2541"/>
      <c r="I48" s="1323" t="e">
        <f>V48</f>
        <v>#DIV/0!</v>
      </c>
      <c r="J48" s="2541"/>
      <c r="K48" s="2543">
        <f>F48+H48+J48</f>
        <v>0</v>
      </c>
      <c r="L48" s="2955"/>
      <c r="M48" s="2956"/>
      <c r="N48" s="2947"/>
      <c r="O48" s="2956"/>
      <c r="P48" s="3278" t="str">
        <f>A48</f>
        <v>比较价值（元/平方米）</v>
      </c>
      <c r="Q48" s="3278"/>
      <c r="R48" s="3279" t="e">
        <f>IF(F1="售价",ROUND(PRODUCT(R47,AA7:AA46),0),ROUND(PRODUCT(R47,AA7:AA46),1))</f>
        <v>#DIV/0!</v>
      </c>
      <c r="S48" s="3279"/>
      <c r="T48" s="3279" t="e">
        <f>IF(F1="售价",ROUND(PRODUCT(T47,AB7:AB46),0),ROUND(PRODUCT(T47,AB7:AB46),1))</f>
        <v>#DIV/0!</v>
      </c>
      <c r="U48" s="3279"/>
      <c r="V48" s="3279" t="e">
        <f>IF(F1="售价",ROUND(PRODUCT(V47,AC7:AC46),0),ROUND(PRODUCT(V47,AC7:AC46),1))</f>
        <v>#DIV/0!</v>
      </c>
      <c r="W48" s="327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5"/>
      <c r="M49" s="2956"/>
      <c r="N49" s="2947"/>
      <c r="O49" s="2956"/>
      <c r="P49" s="3275" t="str">
        <f>A49</f>
        <v>估价对象XX用房的比较价值（楼面单价，元/平方米）</v>
      </c>
      <c r="Q49" s="3276"/>
      <c r="R49" s="3277" t="e">
        <f>IF(F1="售价",ROUND(IF(D48="简单平均",AVERAGE(R48:V48),R48*F48+T48*H48+V48*J48),0),ROUND(IF(D48="简单平均",AVERAGE(R48:V48),R48*F48+T48*H48+V48*J48),1))</f>
        <v>#DIV/0!</v>
      </c>
      <c r="S49" s="3277"/>
      <c r="T49" s="3277"/>
      <c r="U49" s="3277"/>
      <c r="V49" s="3277"/>
      <c r="W49" s="3277"/>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2495</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2369</v>
      </c>
      <c r="B58" s="463"/>
      <c r="C58" s="1346" t="str">
        <f>YEAR(C7)&amp;"-"&amp;MONTH(C7)</f>
        <v>2022-1</v>
      </c>
      <c r="D58" s="1347">
        <f>EDATE(C58,-1)</f>
        <v>44531</v>
      </c>
      <c r="E58" s="1347">
        <f t="shared" ref="E58:N58" si="16">EDATE(D58,-1)</f>
        <v>44501</v>
      </c>
      <c r="F58" s="1347">
        <f t="shared" si="16"/>
        <v>44470</v>
      </c>
      <c r="G58" s="1347">
        <f t="shared" si="16"/>
        <v>44440</v>
      </c>
      <c r="H58" s="1347">
        <f t="shared" si="16"/>
        <v>44409</v>
      </c>
      <c r="I58" s="1347">
        <f t="shared" si="16"/>
        <v>44378</v>
      </c>
      <c r="J58" s="1347">
        <f t="shared" si="16"/>
        <v>44348</v>
      </c>
      <c r="K58" s="1347">
        <f t="shared" si="16"/>
        <v>44317</v>
      </c>
      <c r="L58" s="1347">
        <f t="shared" si="16"/>
        <v>44287</v>
      </c>
      <c r="M58" s="1347">
        <f t="shared" si="16"/>
        <v>44256</v>
      </c>
      <c r="N58" s="1347">
        <f t="shared" si="16"/>
        <v>44228</v>
      </c>
      <c r="O58" s="1347">
        <f>EDATE(N58,-1)</f>
        <v>44197</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2406</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2371</v>
      </c>
      <c r="B61" s="467"/>
      <c r="C61" s="479" t="s">
        <v>2473</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2409</v>
      </c>
      <c r="B63" s="485" t="s">
        <v>2375</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2380</v>
      </c>
      <c r="B76" s="485" t="s">
        <v>2417</v>
      </c>
      <c r="C76" s="530" t="s">
        <v>2418</v>
      </c>
      <c r="D76" s="530" t="s">
        <v>2419</v>
      </c>
      <c r="E76" s="530" t="s">
        <v>2420</v>
      </c>
      <c r="F76" s="530" t="s">
        <v>2421</v>
      </c>
      <c r="G76" s="530" t="s">
        <v>2422</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2423</v>
      </c>
      <c r="C78" s="535" t="s">
        <v>2418</v>
      </c>
      <c r="D78" s="535" t="s">
        <v>2419</v>
      </c>
      <c r="E78" s="535" t="s">
        <v>2420</v>
      </c>
      <c r="F78" s="535" t="s">
        <v>2421</v>
      </c>
      <c r="G78" s="535" t="s">
        <v>2422</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2424</v>
      </c>
      <c r="C80" s="535" t="s">
        <v>2418</v>
      </c>
      <c r="D80" s="535" t="s">
        <v>2419</v>
      </c>
      <c r="E80" s="535" t="s">
        <v>2420</v>
      </c>
      <c r="F80" s="535" t="s">
        <v>2421</v>
      </c>
      <c r="G80" s="535" t="s">
        <v>2422</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2476</v>
      </c>
      <c r="C82" s="616" t="s">
        <v>2496</v>
      </c>
      <c r="D82" s="616" t="s">
        <v>2497</v>
      </c>
      <c r="E82" s="616" t="s">
        <v>2498</v>
      </c>
      <c r="F82" s="616" t="s">
        <v>2499</v>
      </c>
      <c r="G82" s="616" t="s">
        <v>2500</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2430</v>
      </c>
      <c r="C84" s="535" t="s">
        <v>2418</v>
      </c>
      <c r="D84" s="535" t="s">
        <v>2419</v>
      </c>
      <c r="E84" s="535" t="s">
        <v>2420</v>
      </c>
      <c r="F84" s="535" t="s">
        <v>2421</v>
      </c>
      <c r="G84" s="535" t="s">
        <v>2422</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2501</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2384</v>
      </c>
      <c r="B100" s="485" t="s">
        <v>2502</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2435</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2437</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2439</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2503</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2504</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2505</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2506</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2441</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77547</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2466</v>
      </c>
      <c r="B4" s="362"/>
      <c r="C4" s="3293" t="s">
        <v>2467</v>
      </c>
      <c r="D4" s="3294"/>
      <c r="E4" s="3295" t="s">
        <v>2468</v>
      </c>
      <c r="F4" s="3296"/>
      <c r="G4" s="3293" t="s">
        <v>2469</v>
      </c>
      <c r="H4" s="3294"/>
      <c r="I4" s="3293" t="s">
        <v>2470</v>
      </c>
      <c r="J4" s="3294"/>
      <c r="K4" s="567" t="s">
        <v>2471</v>
      </c>
      <c r="L4" s="2946"/>
      <c r="M4" s="2947"/>
      <c r="N4" s="2947"/>
      <c r="O4" s="2947"/>
      <c r="P4" s="3327" t="s">
        <v>2472</v>
      </c>
      <c r="Q4" s="3328"/>
      <c r="R4" s="3331" t="s">
        <v>2468</v>
      </c>
      <c r="S4" s="3332"/>
      <c r="T4" s="3331" t="s">
        <v>2469</v>
      </c>
      <c r="U4" s="3332"/>
      <c r="V4" s="3333" t="s">
        <v>2470</v>
      </c>
      <c r="W4" s="3333"/>
      <c r="X4" s="2146"/>
      <c r="Y4" s="3331" t="s">
        <v>2472</v>
      </c>
      <c r="Z4" s="3332"/>
      <c r="AA4" s="3335" t="s">
        <v>2468</v>
      </c>
      <c r="AB4" s="3335" t="s">
        <v>2469</v>
      </c>
      <c r="AC4" s="3324" t="s">
        <v>2470</v>
      </c>
    </row>
    <row r="5" spans="1:29" ht="15">
      <c r="A5" s="364"/>
      <c r="B5" s="365"/>
      <c r="C5" s="3312" t="s">
        <v>2363</v>
      </c>
      <c r="D5" s="3313"/>
      <c r="E5" s="3319" t="s">
        <v>2364</v>
      </c>
      <c r="F5" s="3320"/>
      <c r="G5" s="3312" t="s">
        <v>2365</v>
      </c>
      <c r="H5" s="3313"/>
      <c r="I5" s="3312" t="s">
        <v>2366</v>
      </c>
      <c r="J5" s="3313"/>
      <c r="K5" s="567"/>
      <c r="L5" s="2946"/>
      <c r="M5" s="2947"/>
      <c r="N5" s="2947"/>
      <c r="O5" s="2947"/>
      <c r="P5" s="3329"/>
      <c r="Q5" s="3300"/>
      <c r="R5" s="3305"/>
      <c r="S5" s="3306"/>
      <c r="T5" s="3305"/>
      <c r="U5" s="3306"/>
      <c r="V5" s="3309"/>
      <c r="W5" s="3309"/>
      <c r="X5" s="1541"/>
      <c r="Y5" s="3305"/>
      <c r="Z5" s="3306"/>
      <c r="AA5" s="3291"/>
      <c r="AB5" s="3291"/>
      <c r="AC5" s="3325"/>
    </row>
    <row r="6" spans="1:29" ht="15.75" thickBot="1">
      <c r="A6" s="366"/>
      <c r="B6" s="367"/>
      <c r="C6" s="3310" t="s">
        <v>2367</v>
      </c>
      <c r="D6" s="3311"/>
      <c r="E6" s="3317" t="s">
        <v>2367</v>
      </c>
      <c r="F6" s="3318"/>
      <c r="G6" s="3310" t="s">
        <v>2367</v>
      </c>
      <c r="H6" s="3311"/>
      <c r="I6" s="3310" t="s">
        <v>2367</v>
      </c>
      <c r="J6" s="3311"/>
      <c r="K6" s="567" t="s">
        <v>2368</v>
      </c>
      <c r="L6" s="2946"/>
      <c r="M6" s="2947"/>
      <c r="N6" s="2947"/>
      <c r="O6" s="2947"/>
      <c r="P6" s="3330"/>
      <c r="Q6" s="3302"/>
      <c r="R6" s="3305"/>
      <c r="S6" s="3306"/>
      <c r="T6" s="3307"/>
      <c r="U6" s="3308"/>
      <c r="V6" s="3309"/>
      <c r="W6" s="3309"/>
      <c r="X6" s="1541"/>
      <c r="Y6" s="3307"/>
      <c r="Z6" s="3308"/>
      <c r="AA6" s="3292"/>
      <c r="AB6" s="3292"/>
      <c r="AC6" s="3326"/>
    </row>
    <row r="7" spans="1:29" s="113" customFormat="1" ht="15.75" thickBot="1">
      <c r="A7" s="368" t="s">
        <v>2369</v>
      </c>
      <c r="B7" s="369"/>
      <c r="C7" s="370">
        <f>'数据-取费表'!B2</f>
        <v>44562</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3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2147"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34" t="s">
        <v>2373</v>
      </c>
      <c r="Q8" s="3315"/>
      <c r="R8" s="710" t="s">
        <v>17</v>
      </c>
      <c r="S8" s="711">
        <f t="shared" si="0"/>
        <v>0</v>
      </c>
      <c r="T8" s="710" t="s">
        <v>17</v>
      </c>
      <c r="U8" s="711">
        <f t="shared" si="1"/>
        <v>0</v>
      </c>
      <c r="V8" s="710" t="s">
        <v>17</v>
      </c>
      <c r="W8" s="711">
        <f t="shared" si="2"/>
        <v>0</v>
      </c>
      <c r="X8" s="712"/>
      <c r="Y8" s="3314" t="s">
        <v>2373</v>
      </c>
      <c r="Z8" s="3315"/>
      <c r="AA8" s="713" t="e">
        <f t="shared" ref="AA8:AA47" si="3">D8/F8</f>
        <v>#DIV/0!</v>
      </c>
      <c r="AB8" s="713" t="e">
        <f t="shared" ref="AB8:AB47" si="4">D8/H8</f>
        <v>#DIV/0!</v>
      </c>
      <c r="AC8" s="2147"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289"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2147">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289"/>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289"/>
      <c r="Q11" s="1529" t="str">
        <f t="shared" si="6"/>
        <v>容积率</v>
      </c>
      <c r="R11" s="710" t="s">
        <v>17</v>
      </c>
      <c r="S11" s="711" t="e">
        <f t="shared" si="0"/>
        <v>#N/A</v>
      </c>
      <c r="T11" s="710" t="s">
        <v>17</v>
      </c>
      <c r="U11" s="711" t="e">
        <f t="shared" si="1"/>
        <v>#N/A</v>
      </c>
      <c r="V11" s="710" t="s">
        <v>17</v>
      </c>
      <c r="W11" s="711" t="e">
        <f t="shared" si="2"/>
        <v>#N/A</v>
      </c>
      <c r="X11" s="712"/>
      <c r="Y11" s="3148"/>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289"/>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289"/>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289"/>
      <c r="Q14" s="1529">
        <f t="shared" si="6"/>
        <v>111</v>
      </c>
      <c r="R14" s="710" t="s">
        <v>17</v>
      </c>
      <c r="S14" s="711">
        <f t="shared" si="0"/>
        <v>100</v>
      </c>
      <c r="T14" s="710" t="s">
        <v>17</v>
      </c>
      <c r="U14" s="711">
        <f t="shared" si="1"/>
        <v>100</v>
      </c>
      <c r="V14" s="710" t="s">
        <v>17</v>
      </c>
      <c r="W14" s="711">
        <f t="shared" si="2"/>
        <v>100</v>
      </c>
      <c r="X14" s="712"/>
      <c r="Y14" s="3148"/>
      <c r="Z14" s="55">
        <f t="shared" si="7"/>
        <v>111</v>
      </c>
      <c r="AA14" s="713">
        <f t="shared" si="3"/>
        <v>1</v>
      </c>
      <c r="AB14" s="713">
        <f t="shared" si="4"/>
        <v>1</v>
      </c>
      <c r="AC14" s="2147">
        <f t="shared" si="5"/>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287" t="s">
        <v>2381</v>
      </c>
      <c r="Q15" s="1538" t="str">
        <f t="shared" si="6"/>
        <v>办公集聚程度</v>
      </c>
      <c r="R15" s="714" t="s">
        <v>17</v>
      </c>
      <c r="S15" s="715">
        <f t="shared" si="0"/>
        <v>100</v>
      </c>
      <c r="T15" s="714" t="s">
        <v>17</v>
      </c>
      <c r="U15" s="715">
        <f t="shared" si="1"/>
        <v>100</v>
      </c>
      <c r="V15" s="714" t="s">
        <v>17</v>
      </c>
      <c r="W15" s="715">
        <f t="shared" si="2"/>
        <v>100</v>
      </c>
      <c r="X15" s="1541"/>
      <c r="Y15" s="3280"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288"/>
      <c r="Q16" s="1538"/>
      <c r="R16" s="714"/>
      <c r="S16" s="715"/>
      <c r="T16" s="714"/>
      <c r="U16" s="715"/>
      <c r="V16" s="714"/>
      <c r="W16" s="715"/>
      <c r="X16" s="1541"/>
      <c r="Y16" s="3281"/>
      <c r="Z16" s="1542"/>
      <c r="AA16" s="1539">
        <v>1</v>
      </c>
      <c r="AB16" s="1539">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288"/>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288"/>
      <c r="Q18" s="1538"/>
      <c r="R18" s="714"/>
      <c r="S18" s="715"/>
      <c r="T18" s="714"/>
      <c r="U18" s="715"/>
      <c r="V18" s="714"/>
      <c r="W18" s="715"/>
      <c r="X18" s="1541"/>
      <c r="Y18" s="3281"/>
      <c r="Z18" s="1542"/>
      <c r="AA18" s="1539">
        <v>1</v>
      </c>
      <c r="AB18" s="1539">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288"/>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288"/>
      <c r="Q20" s="1538"/>
      <c r="R20" s="714"/>
      <c r="S20" s="715"/>
      <c r="T20" s="714"/>
      <c r="U20" s="715"/>
      <c r="V20" s="714"/>
      <c r="W20" s="715"/>
      <c r="X20" s="1541"/>
      <c r="Y20" s="3281"/>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288"/>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288"/>
      <c r="Q22" s="1538"/>
      <c r="R22" s="714"/>
      <c r="S22" s="715"/>
      <c r="T22" s="714"/>
      <c r="U22" s="715"/>
      <c r="V22" s="714"/>
      <c r="W22" s="715"/>
      <c r="X22" s="1541"/>
      <c r="Y22" s="3281"/>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288"/>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288"/>
      <c r="Q24" s="1538"/>
      <c r="R24" s="714"/>
      <c r="S24" s="715"/>
      <c r="T24" s="714"/>
      <c r="U24" s="715"/>
      <c r="V24" s="714"/>
      <c r="W24" s="715"/>
      <c r="X24" s="1541"/>
      <c r="Y24" s="3281"/>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288"/>
      <c r="Q25" s="1538" t="str">
        <f>B25</f>
        <v>毗邻道路的类型与等级</v>
      </c>
      <c r="R25" s="714" t="s">
        <v>17</v>
      </c>
      <c r="S25" s="715">
        <f>F25</f>
        <v>100</v>
      </c>
      <c r="T25" s="714" t="s">
        <v>17</v>
      </c>
      <c r="U25" s="715">
        <f>H25</f>
        <v>100</v>
      </c>
      <c r="V25" s="714" t="s">
        <v>17</v>
      </c>
      <c r="W25" s="715">
        <f>J25</f>
        <v>100</v>
      </c>
      <c r="X25" s="1541"/>
      <c r="Y25" s="3281"/>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288"/>
      <c r="Q26" s="1538"/>
      <c r="R26" s="714"/>
      <c r="S26" s="715"/>
      <c r="T26" s="714"/>
      <c r="U26" s="715"/>
      <c r="V26" s="714"/>
      <c r="W26" s="715"/>
      <c r="X26" s="1541"/>
      <c r="Y26" s="3281"/>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288"/>
      <c r="Q27" s="1538" t="str">
        <f t="shared" ref="Q27:Q47" si="11">B27</f>
        <v>楼层</v>
      </c>
      <c r="R27" s="714" t="s">
        <v>17</v>
      </c>
      <c r="S27" s="715">
        <f>F27</f>
        <v>100</v>
      </c>
      <c r="T27" s="714" t="s">
        <v>17</v>
      </c>
      <c r="U27" s="715">
        <f>H27</f>
        <v>100</v>
      </c>
      <c r="V27" s="714" t="s">
        <v>17</v>
      </c>
      <c r="W27" s="715">
        <f>J27</f>
        <v>100</v>
      </c>
      <c r="X27" s="1541"/>
      <c r="Y27" s="3281"/>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288"/>
      <c r="Q28" s="1529" t="str">
        <f t="shared" si="11"/>
        <v>朝向</v>
      </c>
      <c r="R28" s="710" t="s">
        <v>17</v>
      </c>
      <c r="S28" s="711">
        <f>F28</f>
        <v>100</v>
      </c>
      <c r="T28" s="710" t="s">
        <v>17</v>
      </c>
      <c r="U28" s="711">
        <f>H28</f>
        <v>100</v>
      </c>
      <c r="V28" s="710" t="s">
        <v>17</v>
      </c>
      <c r="W28" s="711">
        <f>J28</f>
        <v>100</v>
      </c>
      <c r="X28" s="712"/>
      <c r="Y28" s="3281"/>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288"/>
      <c r="Q29" s="1538">
        <f t="shared" si="11"/>
        <v>111</v>
      </c>
      <c r="R29" s="714" t="s">
        <v>17</v>
      </c>
      <c r="S29" s="715">
        <f t="shared" ref="S29:S47" si="12">F29</f>
        <v>100</v>
      </c>
      <c r="T29" s="714" t="s">
        <v>17</v>
      </c>
      <c r="U29" s="715">
        <f t="shared" ref="U29:U47" si="13">H29</f>
        <v>100</v>
      </c>
      <c r="V29" s="714" t="s">
        <v>17</v>
      </c>
      <c r="W29" s="715">
        <f t="shared" ref="W29:W47" si="14">J29</f>
        <v>100</v>
      </c>
      <c r="X29" s="1541"/>
      <c r="Y29" s="3281"/>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288"/>
      <c r="Q30" s="1538">
        <f t="shared" si="11"/>
        <v>111</v>
      </c>
      <c r="R30" s="714" t="s">
        <v>17</v>
      </c>
      <c r="S30" s="715">
        <f t="shared" si="12"/>
        <v>100</v>
      </c>
      <c r="T30" s="714" t="s">
        <v>17</v>
      </c>
      <c r="U30" s="715">
        <f t="shared" si="13"/>
        <v>100</v>
      </c>
      <c r="V30" s="714" t="s">
        <v>17</v>
      </c>
      <c r="W30" s="715">
        <f t="shared" si="14"/>
        <v>100</v>
      </c>
      <c r="X30" s="1541"/>
      <c r="Y30" s="3281"/>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288"/>
      <c r="Q31" s="1538">
        <f t="shared" si="11"/>
        <v>111</v>
      </c>
      <c r="R31" s="714" t="s">
        <v>17</v>
      </c>
      <c r="S31" s="715">
        <f t="shared" si="12"/>
        <v>100</v>
      </c>
      <c r="T31" s="714" t="s">
        <v>17</v>
      </c>
      <c r="U31" s="715">
        <f t="shared" si="13"/>
        <v>100</v>
      </c>
      <c r="V31" s="714" t="s">
        <v>17</v>
      </c>
      <c r="W31" s="715">
        <f t="shared" si="14"/>
        <v>100</v>
      </c>
      <c r="X31" s="1541"/>
      <c r="Y31" s="3281"/>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288"/>
      <c r="Q32" s="1538">
        <f t="shared" si="11"/>
        <v>111</v>
      </c>
      <c r="R32" s="714" t="s">
        <v>17</v>
      </c>
      <c r="S32" s="715">
        <f t="shared" si="12"/>
        <v>100</v>
      </c>
      <c r="T32" s="714" t="s">
        <v>17</v>
      </c>
      <c r="U32" s="715">
        <f t="shared" si="13"/>
        <v>100</v>
      </c>
      <c r="V32" s="714" t="s">
        <v>17</v>
      </c>
      <c r="W32" s="715">
        <f t="shared" si="14"/>
        <v>100</v>
      </c>
      <c r="X32" s="1541"/>
      <c r="Y32" s="3281"/>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282" t="s">
        <v>2386</v>
      </c>
      <c r="Q33" s="1538" t="str">
        <f t="shared" si="11"/>
        <v>建筑类型</v>
      </c>
      <c r="R33" s="714" t="s">
        <v>17</v>
      </c>
      <c r="S33" s="715">
        <f t="shared" si="12"/>
        <v>100</v>
      </c>
      <c r="T33" s="714" t="s">
        <v>17</v>
      </c>
      <c r="U33" s="715">
        <f t="shared" si="13"/>
        <v>100</v>
      </c>
      <c r="V33" s="714" t="s">
        <v>17</v>
      </c>
      <c r="W33" s="715">
        <f t="shared" si="14"/>
        <v>100</v>
      </c>
      <c r="X33" s="1541"/>
      <c r="Y33" s="3285"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283"/>
      <c r="Q34" s="716" t="str">
        <f t="shared" si="11"/>
        <v>项目建筑规模</v>
      </c>
      <c r="R34" s="717" t="s">
        <v>17</v>
      </c>
      <c r="S34" s="718" t="e">
        <f t="shared" si="12"/>
        <v>#N/A</v>
      </c>
      <c r="T34" s="717" t="s">
        <v>17</v>
      </c>
      <c r="U34" s="718" t="e">
        <f t="shared" si="13"/>
        <v>#N/A</v>
      </c>
      <c r="V34" s="717" t="s">
        <v>17</v>
      </c>
      <c r="W34" s="718" t="e">
        <f t="shared" si="14"/>
        <v>#N/A</v>
      </c>
      <c r="X34" s="719"/>
      <c r="Y34" s="3285"/>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283"/>
      <c r="Q35" s="1538" t="str">
        <f t="shared" si="11"/>
        <v>建筑结构</v>
      </c>
      <c r="R35" s="714" t="s">
        <v>17</v>
      </c>
      <c r="S35" s="715">
        <f t="shared" si="12"/>
        <v>100</v>
      </c>
      <c r="T35" s="714" t="s">
        <v>17</v>
      </c>
      <c r="U35" s="715">
        <f t="shared" si="13"/>
        <v>100</v>
      </c>
      <c r="V35" s="714" t="s">
        <v>17</v>
      </c>
      <c r="W35" s="715">
        <f t="shared" si="14"/>
        <v>100</v>
      </c>
      <c r="X35" s="1541"/>
      <c r="Y35" s="3285"/>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283"/>
      <c r="Q36" s="1538" t="str">
        <f t="shared" si="11"/>
        <v>公共部分装修</v>
      </c>
      <c r="R36" s="714" t="s">
        <v>17</v>
      </c>
      <c r="S36" s="715">
        <f t="shared" si="12"/>
        <v>100</v>
      </c>
      <c r="T36" s="714" t="s">
        <v>17</v>
      </c>
      <c r="U36" s="715">
        <f t="shared" si="13"/>
        <v>100</v>
      </c>
      <c r="V36" s="714" t="s">
        <v>17</v>
      </c>
      <c r="W36" s="715">
        <f t="shared" si="14"/>
        <v>100</v>
      </c>
      <c r="X36" s="1541"/>
      <c r="Y36" s="3285"/>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283"/>
      <c r="Q37" s="1538" t="str">
        <f t="shared" si="11"/>
        <v>成新度</v>
      </c>
      <c r="R37" s="714" t="s">
        <v>17</v>
      </c>
      <c r="S37" s="715" t="e">
        <f t="shared" si="12"/>
        <v>#N/A</v>
      </c>
      <c r="T37" s="714" t="s">
        <v>17</v>
      </c>
      <c r="U37" s="715" t="e">
        <f t="shared" si="13"/>
        <v>#N/A</v>
      </c>
      <c r="V37" s="714" t="s">
        <v>17</v>
      </c>
      <c r="W37" s="715" t="e">
        <f t="shared" si="14"/>
        <v>#N/A</v>
      </c>
      <c r="X37" s="1541"/>
      <c r="Y37" s="3285"/>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283"/>
      <c r="Q38" s="1529" t="str">
        <f t="shared" si="11"/>
        <v>写字楼等级</v>
      </c>
      <c r="R38" s="710" t="s">
        <v>17</v>
      </c>
      <c r="S38" s="711">
        <f t="shared" si="12"/>
        <v>100</v>
      </c>
      <c r="T38" s="710" t="s">
        <v>17</v>
      </c>
      <c r="U38" s="711">
        <f t="shared" si="13"/>
        <v>100</v>
      </c>
      <c r="V38" s="710" t="s">
        <v>17</v>
      </c>
      <c r="W38" s="711">
        <f t="shared" si="14"/>
        <v>100</v>
      </c>
      <c r="X38" s="712"/>
      <c r="Y38" s="3285"/>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283" t="s">
        <v>2386</v>
      </c>
      <c r="Q39" s="1538" t="str">
        <f t="shared" si="11"/>
        <v>物业管理</v>
      </c>
      <c r="R39" s="714" t="s">
        <v>17</v>
      </c>
      <c r="S39" s="715">
        <f t="shared" si="12"/>
        <v>100</v>
      </c>
      <c r="T39" s="714" t="s">
        <v>17</v>
      </c>
      <c r="U39" s="715">
        <f t="shared" si="13"/>
        <v>100</v>
      </c>
      <c r="V39" s="714" t="s">
        <v>17</v>
      </c>
      <c r="W39" s="715">
        <f t="shared" si="14"/>
        <v>100</v>
      </c>
      <c r="X39" s="1541"/>
      <c r="Y39" s="3285"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283"/>
      <c r="Q40" s="1538" t="str">
        <f t="shared" si="11"/>
        <v>市政基础设施</v>
      </c>
      <c r="R40" s="714" t="s">
        <v>17</v>
      </c>
      <c r="S40" s="715">
        <f t="shared" si="12"/>
        <v>100</v>
      </c>
      <c r="T40" s="714" t="s">
        <v>17</v>
      </c>
      <c r="U40" s="715">
        <f t="shared" si="13"/>
        <v>100</v>
      </c>
      <c r="V40" s="714" t="s">
        <v>17</v>
      </c>
      <c r="W40" s="715">
        <f t="shared" si="14"/>
        <v>100</v>
      </c>
      <c r="X40" s="1541"/>
      <c r="Y40" s="3285"/>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283"/>
      <c r="Q41" s="1538" t="str">
        <f t="shared" si="11"/>
        <v>层高</v>
      </c>
      <c r="R41" s="714" t="s">
        <v>17</v>
      </c>
      <c r="S41" s="715">
        <f t="shared" si="12"/>
        <v>100</v>
      </c>
      <c r="T41" s="714" t="s">
        <v>17</v>
      </c>
      <c r="U41" s="715">
        <f t="shared" si="13"/>
        <v>100</v>
      </c>
      <c r="V41" s="714" t="s">
        <v>17</v>
      </c>
      <c r="W41" s="715">
        <f t="shared" si="14"/>
        <v>100</v>
      </c>
      <c r="X41" s="1541"/>
      <c r="Y41" s="3285"/>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283"/>
      <c r="Q42" s="716" t="str">
        <f t="shared" si="11"/>
        <v>单套建筑面积</v>
      </c>
      <c r="R42" s="717" t="s">
        <v>17</v>
      </c>
      <c r="S42" s="718">
        <f t="shared" si="12"/>
        <v>100</v>
      </c>
      <c r="T42" s="717" t="s">
        <v>17</v>
      </c>
      <c r="U42" s="718">
        <f t="shared" si="13"/>
        <v>100</v>
      </c>
      <c r="V42" s="717" t="s">
        <v>17</v>
      </c>
      <c r="W42" s="718">
        <f t="shared" si="14"/>
        <v>100</v>
      </c>
      <c r="X42" s="719"/>
      <c r="Y42" s="3285"/>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283"/>
      <c r="Q43" s="1538" t="str">
        <f t="shared" si="11"/>
        <v>内部装修</v>
      </c>
      <c r="R43" s="714" t="s">
        <v>17</v>
      </c>
      <c r="S43" s="715">
        <f t="shared" si="12"/>
        <v>100</v>
      </c>
      <c r="T43" s="714" t="s">
        <v>17</v>
      </c>
      <c r="U43" s="715">
        <f t="shared" si="13"/>
        <v>100</v>
      </c>
      <c r="V43" s="714" t="s">
        <v>17</v>
      </c>
      <c r="W43" s="715">
        <f t="shared" si="14"/>
        <v>100</v>
      </c>
      <c r="X43" s="1541"/>
      <c r="Y43" s="3285"/>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283"/>
      <c r="Q44" s="1538" t="str">
        <f t="shared" si="11"/>
        <v>内部装修维护情况</v>
      </c>
      <c r="R44" s="714" t="s">
        <v>17</v>
      </c>
      <c r="S44" s="715">
        <f t="shared" si="12"/>
        <v>100</v>
      </c>
      <c r="T44" s="714" t="s">
        <v>17</v>
      </c>
      <c r="U44" s="715">
        <f t="shared" si="13"/>
        <v>100</v>
      </c>
      <c r="V44" s="714" t="s">
        <v>17</v>
      </c>
      <c r="W44" s="715">
        <f t="shared" si="14"/>
        <v>100</v>
      </c>
      <c r="X44" s="1541"/>
      <c r="Y44" s="3285"/>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283"/>
      <c r="Q45" s="1529">
        <f t="shared" si="11"/>
        <v>111</v>
      </c>
      <c r="R45" s="710" t="s">
        <v>17</v>
      </c>
      <c r="S45" s="711">
        <f t="shared" si="12"/>
        <v>100</v>
      </c>
      <c r="T45" s="710" t="s">
        <v>17</v>
      </c>
      <c r="U45" s="711">
        <f t="shared" si="13"/>
        <v>100</v>
      </c>
      <c r="V45" s="710" t="s">
        <v>17</v>
      </c>
      <c r="W45" s="711">
        <f t="shared" si="14"/>
        <v>100</v>
      </c>
      <c r="X45" s="712"/>
      <c r="Y45" s="3285"/>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283"/>
      <c r="Q46" s="1538">
        <f t="shared" si="11"/>
        <v>111</v>
      </c>
      <c r="R46" s="714" t="s">
        <v>17</v>
      </c>
      <c r="S46" s="715">
        <f t="shared" si="12"/>
        <v>100</v>
      </c>
      <c r="T46" s="714" t="s">
        <v>17</v>
      </c>
      <c r="U46" s="715">
        <f t="shared" si="13"/>
        <v>100</v>
      </c>
      <c r="V46" s="714" t="s">
        <v>17</v>
      </c>
      <c r="W46" s="715">
        <f t="shared" si="14"/>
        <v>100</v>
      </c>
      <c r="X46" s="1541"/>
      <c r="Y46" s="3285"/>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284"/>
      <c r="Q47" s="1538">
        <f t="shared" si="11"/>
        <v>111</v>
      </c>
      <c r="R47" s="714" t="s">
        <v>17</v>
      </c>
      <c r="S47" s="715">
        <f t="shared" si="12"/>
        <v>100</v>
      </c>
      <c r="T47" s="714" t="s">
        <v>17</v>
      </c>
      <c r="U47" s="715">
        <f t="shared" si="13"/>
        <v>100</v>
      </c>
      <c r="V47" s="714" t="s">
        <v>17</v>
      </c>
      <c r="W47" s="715">
        <f t="shared" si="14"/>
        <v>100</v>
      </c>
      <c r="X47" s="1541"/>
      <c r="Y47" s="3286"/>
      <c r="Z47" s="1542">
        <f t="shared" si="15"/>
        <v>111</v>
      </c>
      <c r="AA47" s="1539">
        <f t="shared" si="3"/>
        <v>1</v>
      </c>
      <c r="AB47" s="1539">
        <f t="shared" si="4"/>
        <v>1</v>
      </c>
      <c r="AC47" s="2150">
        <f t="shared" si="5"/>
        <v>1</v>
      </c>
    </row>
    <row r="48" spans="1:29" ht="15">
      <c r="A48" s="438" t="s">
        <v>2398</v>
      </c>
      <c r="B48" s="439"/>
      <c r="C48" s="1316" t="s">
        <v>1</v>
      </c>
      <c r="D48" s="1317"/>
      <c r="E48" s="1318"/>
      <c r="F48" s="1319"/>
      <c r="G48" s="1320"/>
      <c r="H48" s="1321"/>
      <c r="I48" s="1318"/>
      <c r="J48" s="444"/>
      <c r="K48" s="723"/>
      <c r="L48" s="2955"/>
      <c r="M48" s="2947"/>
      <c r="N48" s="2947"/>
      <c r="O48" s="2947"/>
      <c r="P48" s="3289" t="str">
        <f>A48</f>
        <v>成交单价（元/平方米）</v>
      </c>
      <c r="Q48" s="3278"/>
      <c r="R48" s="3279">
        <f>E48</f>
        <v>0</v>
      </c>
      <c r="S48" s="3279"/>
      <c r="T48" s="3279">
        <f>G48</f>
        <v>0</v>
      </c>
      <c r="U48" s="3279"/>
      <c r="V48" s="3279">
        <f>I48</f>
        <v>0</v>
      </c>
      <c r="W48" s="3279"/>
      <c r="X48" s="405"/>
      <c r="Y48" s="721"/>
      <c r="Z48" s="405"/>
      <c r="AA48" s="405"/>
      <c r="AB48" s="405"/>
      <c r="AC48" s="586"/>
    </row>
    <row r="49" spans="1:29" ht="15.75" thickBot="1">
      <c r="A49" s="445" t="s">
        <v>2490</v>
      </c>
      <c r="B49" s="446"/>
      <c r="C49" s="1322" t="e">
        <f>R50</f>
        <v>#DIV/0!</v>
      </c>
      <c r="D49" s="2540" t="s">
        <v>2881</v>
      </c>
      <c r="E49" s="1323" t="e">
        <f>R49</f>
        <v>#DIV/0!</v>
      </c>
      <c r="F49" s="2541"/>
      <c r="G49" s="1322" t="e">
        <f>T49</f>
        <v>#DIV/0!</v>
      </c>
      <c r="H49" s="2541"/>
      <c r="I49" s="1323" t="e">
        <f>V49</f>
        <v>#DIV/0!</v>
      </c>
      <c r="J49" s="2541"/>
      <c r="K49" s="2543">
        <f>F49+H49+J49</f>
        <v>0</v>
      </c>
      <c r="L49" s="2955"/>
      <c r="M49" s="2947"/>
      <c r="N49" s="2947"/>
      <c r="O49" s="2947"/>
      <c r="P49" s="3289" t="str">
        <f>A49</f>
        <v>比较价值（元/平方米）</v>
      </c>
      <c r="Q49" s="3278"/>
      <c r="R49" s="3279" t="e">
        <f>IF(F1="售价",ROUND(PRODUCT(R48,AA7:AA47),0),ROUND(PRODUCT(R48,AA7:AA47),1))</f>
        <v>#DIV/0!</v>
      </c>
      <c r="S49" s="3279"/>
      <c r="T49" s="3279" t="e">
        <f>IF(F1="售价",ROUND(PRODUCT(T48,AB7:AB47),0),ROUND(PRODUCT(T48,AB7:AB47),1))</f>
        <v>#DIV/0!</v>
      </c>
      <c r="U49" s="3279"/>
      <c r="V49" s="3279" t="e">
        <f>IF(F1="售价",ROUND(PRODUCT(V48,AC7:AC47),0),ROUND(PRODUCT(V48,AC7:AC47),1))</f>
        <v>#DIV/0!</v>
      </c>
      <c r="W49" s="327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5"/>
      <c r="M50" s="2947"/>
      <c r="N50" s="2947"/>
      <c r="O50" s="2947"/>
      <c r="P50" s="3321" t="str">
        <f>A50</f>
        <v>估价对象XX用房的比较价值（楼面单价，元/平方米）</v>
      </c>
      <c r="Q50" s="3322"/>
      <c r="R50" s="3323" t="e">
        <f>IF(F1="售价",ROUND(IF(D49="简单平均",AVERAGE(R49:V49),R49*F49+T49*H49+V49*J49),0),ROUND(IF(D49="简单平均",AVERAGE(R49:V49),R49*F49+T49*H49+V49*J49),1))</f>
        <v>#DIV/0!</v>
      </c>
      <c r="S50" s="3323"/>
      <c r="T50" s="3323"/>
      <c r="U50" s="3323"/>
      <c r="V50" s="3323"/>
      <c r="W50" s="3323"/>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2495</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2369</v>
      </c>
      <c r="B59" s="463"/>
      <c r="C59" s="1346" t="str">
        <f>YEAR(C7)&amp;"-"&amp;MONTH(C7)</f>
        <v>2022-1</v>
      </c>
      <c r="D59" s="1347">
        <f>EDATE(C59,-1)</f>
        <v>44531</v>
      </c>
      <c r="E59" s="1347">
        <f>EDATE(D59,-1)</f>
        <v>44501</v>
      </c>
      <c r="F59" s="1347">
        <f t="shared" ref="F59:O59" si="16">EDATE(E59,-1)</f>
        <v>44470</v>
      </c>
      <c r="G59" s="1347">
        <f t="shared" si="16"/>
        <v>44440</v>
      </c>
      <c r="H59" s="1347">
        <f t="shared" si="16"/>
        <v>44409</v>
      </c>
      <c r="I59" s="1347">
        <f t="shared" si="16"/>
        <v>44378</v>
      </c>
      <c r="J59" s="1347">
        <f t="shared" si="16"/>
        <v>44348</v>
      </c>
      <c r="K59" s="1347">
        <f t="shared" si="16"/>
        <v>44317</v>
      </c>
      <c r="L59" s="1347">
        <f t="shared" si="16"/>
        <v>44287</v>
      </c>
      <c r="M59" s="1347">
        <f t="shared" si="16"/>
        <v>44256</v>
      </c>
      <c r="N59" s="1347">
        <f t="shared" si="16"/>
        <v>44228</v>
      </c>
      <c r="O59" s="1347">
        <f t="shared" si="16"/>
        <v>44197</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2406</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2371</v>
      </c>
      <c r="B62" s="467"/>
      <c r="C62" s="479" t="s">
        <v>2473</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2409</v>
      </c>
      <c r="B64" s="485" t="s">
        <v>2375</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2380</v>
      </c>
      <c r="B77" s="485" t="s">
        <v>2518</v>
      </c>
      <c r="C77" s="530" t="s">
        <v>2418</v>
      </c>
      <c r="D77" s="530" t="s">
        <v>2419</v>
      </c>
      <c r="E77" s="530" t="s">
        <v>2420</v>
      </c>
      <c r="F77" s="530" t="s">
        <v>2421</v>
      </c>
      <c r="G77" s="530" t="s">
        <v>2422</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2423</v>
      </c>
      <c r="C79" s="535" t="s">
        <v>2418</v>
      </c>
      <c r="D79" s="535" t="s">
        <v>2419</v>
      </c>
      <c r="E79" s="535" t="s">
        <v>2420</v>
      </c>
      <c r="F79" s="535" t="s">
        <v>2421</v>
      </c>
      <c r="G79" s="535" t="s">
        <v>2422</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2424</v>
      </c>
      <c r="C81" s="535" t="s">
        <v>2418</v>
      </c>
      <c r="D81" s="535" t="s">
        <v>2419</v>
      </c>
      <c r="E81" s="535" t="s">
        <v>2420</v>
      </c>
      <c r="F81" s="535" t="s">
        <v>2421</v>
      </c>
      <c r="G81" s="535" t="s">
        <v>2422</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2510</v>
      </c>
      <c r="C83" s="616" t="s">
        <v>2496</v>
      </c>
      <c r="D83" s="616" t="s">
        <v>2497</v>
      </c>
      <c r="E83" s="616" t="s">
        <v>2498</v>
      </c>
      <c r="F83" s="616" t="s">
        <v>2499</v>
      </c>
      <c r="G83" s="616" t="s">
        <v>2500</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2519</v>
      </c>
      <c r="C85" s="535" t="s">
        <v>2418</v>
      </c>
      <c r="D85" s="535" t="s">
        <v>2419</v>
      </c>
      <c r="E85" s="535" t="s">
        <v>2420</v>
      </c>
      <c r="F85" s="535" t="s">
        <v>2421</v>
      </c>
      <c r="G85" s="535" t="s">
        <v>2422</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2520</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2384</v>
      </c>
      <c r="B101" s="485" t="s">
        <v>2433</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2435</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2437</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2521</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2438</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2439</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2522</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2505</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2441</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1576</v>
      </c>
    </row>
    <row r="2" spans="1:1">
      <c r="A2" s="1665"/>
    </row>
    <row r="3" spans="1:1" ht="18">
      <c r="A3" s="1666" t="str">
        <f>项目基本情况!B5&amp;"："</f>
        <v>：</v>
      </c>
    </row>
    <row r="4" spans="1:1" ht="18">
      <c r="A4" s="1667" t="str">
        <f>"受贵公司委托，我公司对"&amp;项目基本情况!S1&amp;"进行了预评估。"</f>
        <v>受贵公司委托，我公司对进行了预评估。</v>
      </c>
    </row>
    <row r="5" spans="1:1" ht="18.75">
      <c r="A5" s="1668" t="s">
        <v>1577</v>
      </c>
    </row>
    <row r="6" spans="1:1" ht="18.75">
      <c r="A6" s="1669" t="s">
        <v>1578</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估价对象为房地产，为所有。根据《国有土地使用证》[]，估价对象（分摊）出让国有建设用地使用权面积为62231.63平方米，建筑面积为77547平方米。</v>
      </c>
    </row>
    <row r="8" spans="1:1" ht="57.75">
      <c r="A8" s="1670" t="s">
        <v>1579</v>
      </c>
    </row>
    <row r="9" spans="1:1" ht="18.75">
      <c r="A9" s="1669" t="s">
        <v>1580</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估价对象为房地产,属开发建设的，该项目尚在开发建设中。根据《国有土地使用证》[]，估价对象（分摊）出让国有建设用地使用权面积为62231.63平方米，规划建筑面积为77547平方米。</v>
      </c>
    </row>
    <row r="11" spans="1:1" ht="76.5">
      <c r="A11" s="1670" t="s">
        <v>1581</v>
      </c>
    </row>
    <row r="12" spans="1:1" ht="18.75">
      <c r="A12" s="1668" t="s">
        <v>1582</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1583</v>
      </c>
    </row>
    <row r="15" spans="1:1" ht="18">
      <c r="A15" s="1673" t="str">
        <f>TEXT(项目基本情况!D3,"yyyy年m月d日;;")&amp;IF(项目基本情况!D3=项目基本情况!B3,"（评估专业人员实地查勘之日）","")</f>
        <v>2022年1月1日</v>
      </c>
    </row>
    <row r="16" spans="1:1" ht="18.75">
      <c r="A16" s="1672" t="s">
        <v>1584</v>
      </c>
    </row>
    <row r="17" spans="1:1" ht="75">
      <c r="A17" s="1667" t="s">
        <v>1585</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1574</v>
      </c>
    </row>
    <row r="24" spans="1:1" ht="18">
      <c r="A24" s="1674" t="str">
        <f>"本次评估采用的主估价方法为"&amp;结果表!K4&amp;"和"&amp;结果表!L4&amp;"。"</f>
        <v>本次评估采用的主估价方法为成本法和基准地价系数修正法。</v>
      </c>
    </row>
    <row r="25" spans="1:1" ht="18">
      <c r="A25" s="1674"/>
    </row>
    <row r="26" spans="1:1" ht="18.75">
      <c r="A26" s="1675" t="s">
        <v>1575</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77547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1044"/>
      <c r="M4" s="1045"/>
      <c r="N4" s="1045"/>
      <c r="O4" s="1045"/>
      <c r="P4" s="3297" t="s">
        <v>2472</v>
      </c>
      <c r="Q4" s="3298"/>
      <c r="R4" s="3303" t="s">
        <v>2468</v>
      </c>
      <c r="S4" s="3304"/>
      <c r="T4" s="3303" t="s">
        <v>2469</v>
      </c>
      <c r="U4" s="3304"/>
      <c r="V4" s="3309" t="s">
        <v>2470</v>
      </c>
      <c r="W4" s="3309"/>
      <c r="X4" s="1541"/>
      <c r="Y4" s="3303" t="s">
        <v>2472</v>
      </c>
      <c r="Z4" s="3304"/>
      <c r="AA4" s="3290" t="s">
        <v>2468</v>
      </c>
      <c r="AB4" s="3291" t="s">
        <v>2469</v>
      </c>
      <c r="AC4" s="3290" t="s">
        <v>2470</v>
      </c>
    </row>
    <row r="5" spans="1:29" ht="15">
      <c r="A5" s="364"/>
      <c r="B5" s="365"/>
      <c r="C5" s="3312" t="s">
        <v>2363</v>
      </c>
      <c r="D5" s="3313"/>
      <c r="E5" s="3319" t="s">
        <v>2364</v>
      </c>
      <c r="F5" s="3320"/>
      <c r="G5" s="3312" t="s">
        <v>2365</v>
      </c>
      <c r="H5" s="3313"/>
      <c r="I5" s="3312" t="s">
        <v>2366</v>
      </c>
      <c r="J5" s="3313"/>
      <c r="K5" s="567"/>
      <c r="L5" s="1044"/>
      <c r="M5" s="1045"/>
      <c r="N5" s="1045"/>
      <c r="O5" s="1045"/>
      <c r="P5" s="3299"/>
      <c r="Q5" s="3300"/>
      <c r="R5" s="3305"/>
      <c r="S5" s="3306"/>
      <c r="T5" s="3305"/>
      <c r="U5" s="3306"/>
      <c r="V5" s="3309"/>
      <c r="W5" s="3309"/>
      <c r="X5" s="1541"/>
      <c r="Y5" s="3305"/>
      <c r="Z5" s="3306"/>
      <c r="AA5" s="3291"/>
      <c r="AB5" s="3291"/>
      <c r="AC5" s="3291"/>
    </row>
    <row r="6" spans="1:29" ht="15.75" thickBot="1">
      <c r="A6" s="366"/>
      <c r="B6" s="367"/>
      <c r="C6" s="3310" t="s">
        <v>2367</v>
      </c>
      <c r="D6" s="3311"/>
      <c r="E6" s="3317" t="s">
        <v>2367</v>
      </c>
      <c r="F6" s="3318"/>
      <c r="G6" s="3310" t="s">
        <v>2367</v>
      </c>
      <c r="H6" s="3311"/>
      <c r="I6" s="3310" t="s">
        <v>2367</v>
      </c>
      <c r="J6" s="3311"/>
      <c r="K6" s="567" t="s">
        <v>2368</v>
      </c>
      <c r="L6" s="1044"/>
      <c r="M6" s="1045"/>
      <c r="N6" s="1045"/>
      <c r="O6" s="1045"/>
      <c r="P6" s="3301"/>
      <c r="Q6" s="3302"/>
      <c r="R6" s="3305"/>
      <c r="S6" s="3306"/>
      <c r="T6" s="3307"/>
      <c r="U6" s="3308"/>
      <c r="V6" s="3309"/>
      <c r="W6" s="3309"/>
      <c r="X6" s="1541"/>
      <c r="Y6" s="3307"/>
      <c r="Z6" s="3308"/>
      <c r="AA6" s="3292"/>
      <c r="AB6" s="3292"/>
      <c r="AC6" s="3292"/>
    </row>
    <row r="7" spans="1:29" s="113" customFormat="1" ht="15.75" thickBot="1">
      <c r="A7" s="368" t="s">
        <v>2369</v>
      </c>
      <c r="B7" s="369"/>
      <c r="C7" s="370">
        <f>'数据-取费表'!B2</f>
        <v>44562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8"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8"/>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8"/>
      <c r="Q11" s="1529" t="str">
        <f t="shared" si="6"/>
        <v>容积率</v>
      </c>
      <c r="R11" s="710" t="s">
        <v>17</v>
      </c>
      <c r="S11" s="711" t="e">
        <f t="shared" si="0"/>
        <v>#N/A</v>
      </c>
      <c r="T11" s="710" t="s">
        <v>17</v>
      </c>
      <c r="U11" s="711" t="e">
        <f t="shared" si="1"/>
        <v>#N/A</v>
      </c>
      <c r="V11" s="710" t="s">
        <v>17</v>
      </c>
      <c r="W11" s="711" t="e">
        <f t="shared" si="2"/>
        <v>#N/A</v>
      </c>
      <c r="X11" s="712"/>
      <c r="Y11" s="3148"/>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78"/>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78"/>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78"/>
      <c r="Q14" s="1529">
        <f t="shared" si="6"/>
        <v>111</v>
      </c>
      <c r="R14" s="710" t="s">
        <v>17</v>
      </c>
      <c r="S14" s="711">
        <f t="shared" si="0"/>
        <v>100</v>
      </c>
      <c r="T14" s="710" t="s">
        <v>17</v>
      </c>
      <c r="U14" s="711">
        <f t="shared" si="1"/>
        <v>100</v>
      </c>
      <c r="V14" s="710" t="s">
        <v>17</v>
      </c>
      <c r="W14" s="711">
        <f t="shared" si="2"/>
        <v>100</v>
      </c>
      <c r="X14" s="712"/>
      <c r="Y14" s="3148"/>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0" t="s">
        <v>2381</v>
      </c>
      <c r="Q15" s="1538" t="str">
        <f t="shared" si="6"/>
        <v>产业集聚程度</v>
      </c>
      <c r="R15" s="714" t="s">
        <v>17</v>
      </c>
      <c r="S15" s="715">
        <f t="shared" si="0"/>
        <v>100</v>
      </c>
      <c r="T15" s="714" t="s">
        <v>17</v>
      </c>
      <c r="U15" s="715">
        <f t="shared" si="1"/>
        <v>100</v>
      </c>
      <c r="V15" s="714" t="s">
        <v>17</v>
      </c>
      <c r="W15" s="715">
        <f t="shared" si="2"/>
        <v>100</v>
      </c>
      <c r="X15" s="1541"/>
      <c r="Y15" s="3280"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81"/>
      <c r="Q16" s="1538"/>
      <c r="R16" s="714"/>
      <c r="S16" s="715"/>
      <c r="T16" s="714"/>
      <c r="U16" s="715"/>
      <c r="V16" s="714"/>
      <c r="W16" s="715"/>
      <c r="X16" s="1541"/>
      <c r="Y16" s="3281"/>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81"/>
      <c r="Q18" s="1538"/>
      <c r="R18" s="714"/>
      <c r="S18" s="715"/>
      <c r="T18" s="714"/>
      <c r="U18" s="715"/>
      <c r="V18" s="714"/>
      <c r="W18" s="715"/>
      <c r="X18" s="1541"/>
      <c r="Y18" s="3281"/>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1"/>
      <c r="Q19" s="1538" t="str">
        <f>B19</f>
        <v>公共配套设施</v>
      </c>
      <c r="R19" s="714" t="s">
        <v>17</v>
      </c>
      <c r="S19" s="715">
        <f>F19</f>
        <v>100</v>
      </c>
      <c r="T19" s="714" t="s">
        <v>17</v>
      </c>
      <c r="U19" s="715">
        <f>H19</f>
        <v>100</v>
      </c>
      <c r="V19" s="714" t="s">
        <v>17</v>
      </c>
      <c r="W19" s="715">
        <f>J19</f>
        <v>100</v>
      </c>
      <c r="X19" s="1541"/>
      <c r="Y19" s="3281"/>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81"/>
      <c r="Q20" s="1538"/>
      <c r="R20" s="714"/>
      <c r="S20" s="715"/>
      <c r="T20" s="714"/>
      <c r="U20" s="715"/>
      <c r="V20" s="714"/>
      <c r="W20" s="715"/>
      <c r="X20" s="1541"/>
      <c r="Y20" s="3281"/>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1"/>
      <c r="Q21" s="1538" t="str">
        <f>B21</f>
        <v>基础设施水平</v>
      </c>
      <c r="R21" s="714" t="s">
        <v>17</v>
      </c>
      <c r="S21" s="715">
        <f>F21</f>
        <v>100</v>
      </c>
      <c r="T21" s="714" t="s">
        <v>17</v>
      </c>
      <c r="U21" s="715">
        <f>H21</f>
        <v>100</v>
      </c>
      <c r="V21" s="714" t="s">
        <v>17</v>
      </c>
      <c r="W21" s="715">
        <f>J21</f>
        <v>100</v>
      </c>
      <c r="X21" s="1541"/>
      <c r="Y21" s="3281"/>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81"/>
      <c r="Q22" s="1538"/>
      <c r="R22" s="714"/>
      <c r="S22" s="715"/>
      <c r="T22" s="714"/>
      <c r="U22" s="715"/>
      <c r="V22" s="714"/>
      <c r="W22" s="715"/>
      <c r="X22" s="1541"/>
      <c r="Y22" s="3281"/>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1"/>
      <c r="Q23" s="1538" t="str">
        <f>B23</f>
        <v>环境质量</v>
      </c>
      <c r="R23" s="714" t="s">
        <v>17</v>
      </c>
      <c r="S23" s="715">
        <f>F23</f>
        <v>100</v>
      </c>
      <c r="T23" s="714" t="s">
        <v>17</v>
      </c>
      <c r="U23" s="715">
        <f>H23</f>
        <v>100</v>
      </c>
      <c r="V23" s="714" t="s">
        <v>17</v>
      </c>
      <c r="W23" s="715">
        <f>J23</f>
        <v>100</v>
      </c>
      <c r="X23" s="1541"/>
      <c r="Y23" s="3281"/>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81"/>
      <c r="Q24" s="1538"/>
      <c r="R24" s="714"/>
      <c r="S24" s="715"/>
      <c r="T24" s="714"/>
      <c r="U24" s="715"/>
      <c r="V24" s="714"/>
      <c r="W24" s="715"/>
      <c r="X24" s="1541"/>
      <c r="Y24" s="3281"/>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1"/>
      <c r="Q25" s="1538">
        <f>B25</f>
        <v>111</v>
      </c>
      <c r="R25" s="714" t="s">
        <v>17</v>
      </c>
      <c r="S25" s="715">
        <f>F25</f>
        <v>100</v>
      </c>
      <c r="T25" s="714" t="s">
        <v>17</v>
      </c>
      <c r="U25" s="715">
        <f>H25</f>
        <v>100</v>
      </c>
      <c r="V25" s="714" t="s">
        <v>17</v>
      </c>
      <c r="W25" s="715">
        <f>J25</f>
        <v>100</v>
      </c>
      <c r="X25" s="1541"/>
      <c r="Y25" s="3281"/>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1"/>
      <c r="Q26" s="1538">
        <f t="shared" ref="Q26:Q40" si="11">B26</f>
        <v>111</v>
      </c>
      <c r="R26" s="714" t="s">
        <v>17</v>
      </c>
      <c r="S26" s="715">
        <f>F26</f>
        <v>100</v>
      </c>
      <c r="T26" s="714" t="s">
        <v>17</v>
      </c>
      <c r="U26" s="715">
        <f>H26</f>
        <v>100</v>
      </c>
      <c r="V26" s="714" t="s">
        <v>17</v>
      </c>
      <c r="W26" s="715">
        <f>J26</f>
        <v>100</v>
      </c>
      <c r="X26" s="1541"/>
      <c r="Y26" s="3281"/>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1"/>
      <c r="Q27" s="1529">
        <f t="shared" si="11"/>
        <v>111</v>
      </c>
      <c r="R27" s="710" t="s">
        <v>17</v>
      </c>
      <c r="S27" s="711">
        <f>F27</f>
        <v>100</v>
      </c>
      <c r="T27" s="710" t="s">
        <v>17</v>
      </c>
      <c r="U27" s="711">
        <f>H27</f>
        <v>100</v>
      </c>
      <c r="V27" s="710" t="s">
        <v>17</v>
      </c>
      <c r="W27" s="711">
        <f>J27</f>
        <v>100</v>
      </c>
      <c r="X27" s="712"/>
      <c r="Y27" s="3281"/>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1"/>
      <c r="Q28" s="1538">
        <f t="shared" si="11"/>
        <v>111</v>
      </c>
      <c r="R28" s="714" t="s">
        <v>17</v>
      </c>
      <c r="S28" s="715">
        <f t="shared" ref="S28:S40" si="12">F28</f>
        <v>100</v>
      </c>
      <c r="T28" s="714" t="s">
        <v>17</v>
      </c>
      <c r="U28" s="715">
        <f t="shared" ref="U28:U40" si="13">H28</f>
        <v>100</v>
      </c>
      <c r="V28" s="714" t="s">
        <v>17</v>
      </c>
      <c r="W28" s="715">
        <f t="shared" ref="W28:W40" si="14">J28</f>
        <v>100</v>
      </c>
      <c r="X28" s="1541"/>
      <c r="Y28" s="3281"/>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6" t="s">
        <v>2386</v>
      </c>
      <c r="Q29" s="1538" t="str">
        <f t="shared" si="11"/>
        <v>建筑类型</v>
      </c>
      <c r="R29" s="714" t="s">
        <v>17</v>
      </c>
      <c r="S29" s="715">
        <f t="shared" si="12"/>
        <v>100</v>
      </c>
      <c r="T29" s="714" t="s">
        <v>17</v>
      </c>
      <c r="U29" s="715">
        <f t="shared" si="13"/>
        <v>100</v>
      </c>
      <c r="V29" s="714" t="s">
        <v>17</v>
      </c>
      <c r="W29" s="715">
        <f t="shared" si="14"/>
        <v>100</v>
      </c>
      <c r="X29" s="1541"/>
      <c r="Y29" s="3285"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5"/>
      <c r="Q30" s="716" t="str">
        <f t="shared" si="11"/>
        <v>项目建筑规模</v>
      </c>
      <c r="R30" s="717" t="s">
        <v>17</v>
      </c>
      <c r="S30" s="718" t="e">
        <f t="shared" si="12"/>
        <v>#N/A</v>
      </c>
      <c r="T30" s="717" t="s">
        <v>17</v>
      </c>
      <c r="U30" s="718" t="e">
        <f t="shared" si="13"/>
        <v>#N/A</v>
      </c>
      <c r="V30" s="717" t="s">
        <v>17</v>
      </c>
      <c r="W30" s="718" t="e">
        <f t="shared" si="14"/>
        <v>#N/A</v>
      </c>
      <c r="X30" s="719"/>
      <c r="Y30" s="3285"/>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5"/>
      <c r="Q31" s="1538" t="str">
        <f t="shared" si="11"/>
        <v>建筑结构</v>
      </c>
      <c r="R31" s="714" t="s">
        <v>17</v>
      </c>
      <c r="S31" s="715">
        <f t="shared" si="12"/>
        <v>100</v>
      </c>
      <c r="T31" s="714" t="s">
        <v>17</v>
      </c>
      <c r="U31" s="715">
        <f t="shared" si="13"/>
        <v>100</v>
      </c>
      <c r="V31" s="714" t="s">
        <v>17</v>
      </c>
      <c r="W31" s="715">
        <f t="shared" si="14"/>
        <v>100</v>
      </c>
      <c r="X31" s="1541"/>
      <c r="Y31" s="3285"/>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5"/>
      <c r="Q32" s="1538" t="str">
        <f t="shared" si="11"/>
        <v>公共部分装修</v>
      </c>
      <c r="R32" s="714" t="s">
        <v>17</v>
      </c>
      <c r="S32" s="715">
        <f t="shared" si="12"/>
        <v>100</v>
      </c>
      <c r="T32" s="714" t="s">
        <v>17</v>
      </c>
      <c r="U32" s="715">
        <f t="shared" si="13"/>
        <v>100</v>
      </c>
      <c r="V32" s="714" t="s">
        <v>17</v>
      </c>
      <c r="W32" s="715">
        <f t="shared" si="14"/>
        <v>100</v>
      </c>
      <c r="X32" s="1541"/>
      <c r="Y32" s="3285"/>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5"/>
      <c r="Q33" s="1538" t="str">
        <f t="shared" si="11"/>
        <v>成新度</v>
      </c>
      <c r="R33" s="714" t="s">
        <v>17</v>
      </c>
      <c r="S33" s="715" t="e">
        <f t="shared" si="12"/>
        <v>#N/A</v>
      </c>
      <c r="T33" s="714" t="s">
        <v>17</v>
      </c>
      <c r="U33" s="715" t="e">
        <f t="shared" si="13"/>
        <v>#N/A</v>
      </c>
      <c r="V33" s="714" t="s">
        <v>17</v>
      </c>
      <c r="W33" s="715" t="e">
        <f t="shared" si="14"/>
        <v>#N/A</v>
      </c>
      <c r="X33" s="1541"/>
      <c r="Y33" s="3285"/>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5"/>
      <c r="Q34" s="1529" t="str">
        <f t="shared" si="11"/>
        <v>物业管理</v>
      </c>
      <c r="R34" s="710" t="s">
        <v>17</v>
      </c>
      <c r="S34" s="711">
        <f t="shared" si="12"/>
        <v>100</v>
      </c>
      <c r="T34" s="710" t="s">
        <v>17</v>
      </c>
      <c r="U34" s="711">
        <f t="shared" si="13"/>
        <v>100</v>
      </c>
      <c r="V34" s="710" t="s">
        <v>17</v>
      </c>
      <c r="W34" s="711">
        <f t="shared" si="14"/>
        <v>100</v>
      </c>
      <c r="X34" s="712"/>
      <c r="Y34" s="328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5" t="s">
        <v>2386</v>
      </c>
      <c r="Q35" s="1538" t="str">
        <f t="shared" si="11"/>
        <v>市政基础设施</v>
      </c>
      <c r="R35" s="714" t="s">
        <v>17</v>
      </c>
      <c r="S35" s="715">
        <f t="shared" si="12"/>
        <v>100</v>
      </c>
      <c r="T35" s="714" t="s">
        <v>17</v>
      </c>
      <c r="U35" s="715">
        <f t="shared" si="13"/>
        <v>100</v>
      </c>
      <c r="V35" s="714" t="s">
        <v>17</v>
      </c>
      <c r="W35" s="715">
        <f t="shared" si="14"/>
        <v>100</v>
      </c>
      <c r="X35" s="1541"/>
      <c r="Y35" s="3285"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5"/>
      <c r="Q36" s="1538" t="str">
        <f t="shared" si="11"/>
        <v>内部装修</v>
      </c>
      <c r="R36" s="714" t="s">
        <v>17</v>
      </c>
      <c r="S36" s="715">
        <f t="shared" si="12"/>
        <v>100</v>
      </c>
      <c r="T36" s="714" t="s">
        <v>17</v>
      </c>
      <c r="U36" s="715">
        <f t="shared" si="13"/>
        <v>100</v>
      </c>
      <c r="V36" s="714" t="s">
        <v>17</v>
      </c>
      <c r="W36" s="715">
        <f t="shared" si="14"/>
        <v>100</v>
      </c>
      <c r="X36" s="1541"/>
      <c r="Y36" s="3285"/>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5"/>
      <c r="Q37" s="1538" t="str">
        <f t="shared" si="11"/>
        <v>内部装修状况</v>
      </c>
      <c r="R37" s="714" t="s">
        <v>17</v>
      </c>
      <c r="S37" s="715">
        <f t="shared" si="12"/>
        <v>100</v>
      </c>
      <c r="T37" s="714" t="s">
        <v>17</v>
      </c>
      <c r="U37" s="715">
        <f t="shared" si="13"/>
        <v>100</v>
      </c>
      <c r="V37" s="714" t="s">
        <v>17</v>
      </c>
      <c r="W37" s="715">
        <f t="shared" si="14"/>
        <v>100</v>
      </c>
      <c r="X37" s="1541"/>
      <c r="Y37" s="3285"/>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5"/>
      <c r="Q38" s="716">
        <f t="shared" si="11"/>
        <v>111</v>
      </c>
      <c r="R38" s="717" t="s">
        <v>17</v>
      </c>
      <c r="S38" s="718">
        <f t="shared" si="12"/>
        <v>100</v>
      </c>
      <c r="T38" s="717" t="s">
        <v>17</v>
      </c>
      <c r="U38" s="718">
        <f t="shared" si="13"/>
        <v>100</v>
      </c>
      <c r="V38" s="717" t="s">
        <v>17</v>
      </c>
      <c r="W38" s="718">
        <f t="shared" si="14"/>
        <v>100</v>
      </c>
      <c r="X38" s="719"/>
      <c r="Y38" s="3285"/>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5"/>
      <c r="Q39" s="1538">
        <f t="shared" si="11"/>
        <v>111</v>
      </c>
      <c r="R39" s="714" t="s">
        <v>17</v>
      </c>
      <c r="S39" s="715">
        <f t="shared" si="12"/>
        <v>100</v>
      </c>
      <c r="T39" s="714" t="s">
        <v>17</v>
      </c>
      <c r="U39" s="715">
        <f t="shared" si="13"/>
        <v>100</v>
      </c>
      <c r="V39" s="714" t="s">
        <v>17</v>
      </c>
      <c r="W39" s="715">
        <f t="shared" si="14"/>
        <v>100</v>
      </c>
      <c r="X39" s="1541"/>
      <c r="Y39" s="3285"/>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6"/>
      <c r="Q40" s="1538">
        <f t="shared" si="11"/>
        <v>111</v>
      </c>
      <c r="R40" s="714" t="s">
        <v>17</v>
      </c>
      <c r="S40" s="715">
        <f t="shared" si="12"/>
        <v>100</v>
      </c>
      <c r="T40" s="714" t="s">
        <v>17</v>
      </c>
      <c r="U40" s="715">
        <f t="shared" si="13"/>
        <v>100</v>
      </c>
      <c r="V40" s="714" t="s">
        <v>17</v>
      </c>
      <c r="W40" s="715">
        <f t="shared" si="14"/>
        <v>100</v>
      </c>
      <c r="X40" s="1541"/>
      <c r="Y40" s="3286"/>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278" t="str">
        <f>A41</f>
        <v>成交单价（元/平方米）</v>
      </c>
      <c r="Q41" s="3278"/>
      <c r="R41" s="3279">
        <f>E41</f>
        <v>0</v>
      </c>
      <c r="S41" s="3279"/>
      <c r="T41" s="3279">
        <f>G41</f>
        <v>0</v>
      </c>
      <c r="U41" s="3279"/>
      <c r="V41" s="3279">
        <f>I41</f>
        <v>0</v>
      </c>
      <c r="W41" s="3279"/>
      <c r="X41" s="699"/>
      <c r="Y41" s="721"/>
      <c r="Z41" s="699"/>
      <c r="AA41" s="699"/>
      <c r="AB41" s="699"/>
      <c r="AC41" s="699"/>
    </row>
    <row r="42" spans="1:29" ht="15.75" thickBot="1">
      <c r="A42" s="445" t="s">
        <v>2490</v>
      </c>
      <c r="B42" s="446"/>
      <c r="C42" s="1322" t="e">
        <f>R43</f>
        <v>#DIV/0!</v>
      </c>
      <c r="D42" s="2540" t="s">
        <v>2881</v>
      </c>
      <c r="E42" s="1323" t="e">
        <f>R42</f>
        <v>#DIV/0!</v>
      </c>
      <c r="F42" s="2541"/>
      <c r="G42" s="1322" t="e">
        <f>T42</f>
        <v>#DIV/0!</v>
      </c>
      <c r="H42" s="2541"/>
      <c r="I42" s="1323" t="e">
        <f>V42</f>
        <v>#DIV/0!</v>
      </c>
      <c r="J42" s="2541"/>
      <c r="K42" s="2543">
        <f>F42+H42+J42</f>
        <v>0</v>
      </c>
      <c r="L42" s="1057"/>
      <c r="M42" s="1058"/>
      <c r="N42" s="1045"/>
      <c r="O42" s="1058"/>
      <c r="P42" s="3278" t="str">
        <f>A42</f>
        <v>比较价值（元/平方米）</v>
      </c>
      <c r="Q42" s="3278"/>
      <c r="R42" s="3279" t="e">
        <f>IF(F1="售价",ROUND(PRODUCT(R41,AA7:AA40),0),ROUND(PRODUCT(R41,AA7:AA40),1))</f>
        <v>#DIV/0!</v>
      </c>
      <c r="S42" s="3279"/>
      <c r="T42" s="3279" t="e">
        <f>IF(F1="售价",ROUND(PRODUCT(T41,AB7:AB40),0),ROUND(PRODUCT(T41,AB7:AB40),1))</f>
        <v>#DIV/0!</v>
      </c>
      <c r="U42" s="3279"/>
      <c r="V42" s="3279" t="e">
        <f>IF(F1="售价",ROUND(PRODUCT(V41,AC7:AC40),0),ROUND(PRODUCT(V41,AC7:AC40),1))</f>
        <v>#DIV/0!</v>
      </c>
      <c r="W42" s="327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75" t="str">
        <f>A43</f>
        <v>估价对象XX用房的比较价值（楼面单价，元/平方米）</v>
      </c>
      <c r="Q43" s="3276"/>
      <c r="R43" s="3277" t="e">
        <f>IF(F1="售价",ROUND(IF(D42="简单平均",AVERAGE(R42:V42),R42*F42+T42*H42+V42*J42),0),ROUND(IF(D42="简单平均",AVERAGE(R42:V42),R42*F42+T42*H42+V42*J42),1))</f>
        <v>#DIV/0!</v>
      </c>
      <c r="S43" s="3277"/>
      <c r="T43" s="3277"/>
      <c r="U43" s="3277"/>
      <c r="V43" s="3277"/>
      <c r="W43" s="3277"/>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2022-1</v>
      </c>
      <c r="D52" s="1347">
        <f>EDATE(C52,-1)</f>
        <v>44531</v>
      </c>
      <c r="E52" s="1347">
        <f t="shared" ref="E52:O52" si="16">EDATE(D52,-1)</f>
        <v>44501</v>
      </c>
      <c r="F52" s="1347">
        <f t="shared" si="16"/>
        <v>44470</v>
      </c>
      <c r="G52" s="1347">
        <f t="shared" si="16"/>
        <v>44440</v>
      </c>
      <c r="H52" s="1347">
        <f t="shared" si="16"/>
        <v>44409</v>
      </c>
      <c r="I52" s="1347">
        <f t="shared" si="16"/>
        <v>44378</v>
      </c>
      <c r="J52" s="1347">
        <f t="shared" si="16"/>
        <v>44348</v>
      </c>
      <c r="K52" s="1347">
        <f t="shared" si="16"/>
        <v>44317</v>
      </c>
      <c r="L52" s="1347">
        <f t="shared" si="16"/>
        <v>44287</v>
      </c>
      <c r="M52" s="1347">
        <f t="shared" si="16"/>
        <v>44256</v>
      </c>
      <c r="N52" s="1347">
        <f t="shared" si="16"/>
        <v>44228</v>
      </c>
      <c r="O52" s="1347">
        <f t="shared" si="16"/>
        <v>44197</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1"/>
      <c r="O54" s="3002"/>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6"/>
      <c r="M4" s="2947"/>
      <c r="N4" s="2947"/>
      <c r="O4" s="2947"/>
      <c r="P4" s="3297" t="s">
        <v>2472</v>
      </c>
      <c r="Q4" s="3298"/>
      <c r="R4" s="3303" t="s">
        <v>2468</v>
      </c>
      <c r="S4" s="3304"/>
      <c r="T4" s="3303" t="s">
        <v>2469</v>
      </c>
      <c r="U4" s="3304"/>
      <c r="V4" s="3309" t="s">
        <v>2470</v>
      </c>
      <c r="W4" s="3309"/>
      <c r="X4" s="1541"/>
      <c r="Y4" s="3303" t="s">
        <v>2472</v>
      </c>
      <c r="Z4" s="3304"/>
      <c r="AA4" s="3290" t="s">
        <v>2468</v>
      </c>
      <c r="AB4" s="3291" t="s">
        <v>2469</v>
      </c>
      <c r="AC4" s="3290" t="s">
        <v>2470</v>
      </c>
    </row>
    <row r="5" spans="1:29" ht="15">
      <c r="A5" s="364"/>
      <c r="B5" s="365"/>
      <c r="C5" s="3312" t="s">
        <v>2363</v>
      </c>
      <c r="D5" s="3313"/>
      <c r="E5" s="3319" t="s">
        <v>2364</v>
      </c>
      <c r="F5" s="3320"/>
      <c r="G5" s="3312" t="s">
        <v>2365</v>
      </c>
      <c r="H5" s="3313"/>
      <c r="I5" s="3312" t="s">
        <v>2366</v>
      </c>
      <c r="J5" s="3313"/>
      <c r="K5" s="567"/>
      <c r="L5" s="2946"/>
      <c r="M5" s="2947"/>
      <c r="N5" s="2947"/>
      <c r="O5" s="2947"/>
      <c r="P5" s="3299"/>
      <c r="Q5" s="3300"/>
      <c r="R5" s="3305"/>
      <c r="S5" s="3306"/>
      <c r="T5" s="3305"/>
      <c r="U5" s="3306"/>
      <c r="V5" s="3309"/>
      <c r="W5" s="3309"/>
      <c r="X5" s="1541"/>
      <c r="Y5" s="3305"/>
      <c r="Z5" s="3306"/>
      <c r="AA5" s="3291"/>
      <c r="AB5" s="3291"/>
      <c r="AC5" s="3291"/>
    </row>
    <row r="6" spans="1:29" ht="15.75" thickBot="1">
      <c r="A6" s="366"/>
      <c r="B6" s="367"/>
      <c r="C6" s="3310" t="s">
        <v>2367</v>
      </c>
      <c r="D6" s="3311"/>
      <c r="E6" s="3317" t="s">
        <v>2367</v>
      </c>
      <c r="F6" s="3318"/>
      <c r="G6" s="3310" t="s">
        <v>2367</v>
      </c>
      <c r="H6" s="3311"/>
      <c r="I6" s="3310" t="s">
        <v>2367</v>
      </c>
      <c r="J6" s="3311"/>
      <c r="K6" s="567" t="s">
        <v>2368</v>
      </c>
      <c r="L6" s="2946"/>
      <c r="M6" s="2947"/>
      <c r="N6" s="2947"/>
      <c r="O6" s="2947"/>
      <c r="P6" s="3301"/>
      <c r="Q6" s="3302"/>
      <c r="R6" s="3305"/>
      <c r="S6" s="3306"/>
      <c r="T6" s="3307"/>
      <c r="U6" s="3308"/>
      <c r="V6" s="3309"/>
      <c r="W6" s="3309"/>
      <c r="X6" s="1541"/>
      <c r="Y6" s="3307"/>
      <c r="Z6" s="3308"/>
      <c r="AA6" s="3292"/>
      <c r="AB6" s="3292"/>
      <c r="AC6" s="3292"/>
    </row>
    <row r="7" spans="1:29" s="113" customFormat="1" ht="15.75" thickBot="1">
      <c r="A7" s="368" t="s">
        <v>2369</v>
      </c>
      <c r="B7" s="369"/>
      <c r="C7" s="370">
        <f>'数据-取费表'!B2</f>
        <v>44562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14" t="s">
        <v>2373</v>
      </c>
      <c r="Q8" s="3315"/>
      <c r="R8" s="710" t="s">
        <v>17</v>
      </c>
      <c r="S8" s="711">
        <f t="shared" si="0"/>
        <v>0</v>
      </c>
      <c r="T8" s="710" t="s">
        <v>17</v>
      </c>
      <c r="U8" s="711">
        <f t="shared" si="1"/>
        <v>0</v>
      </c>
      <c r="V8" s="710" t="s">
        <v>17</v>
      </c>
      <c r="W8" s="711">
        <f t="shared" si="2"/>
        <v>0</v>
      </c>
      <c r="X8" s="712"/>
      <c r="Y8" s="3314" t="s">
        <v>2373</v>
      </c>
      <c r="Z8" s="331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278" t="s">
        <v>2376</v>
      </c>
      <c r="Q9" s="1529" t="str">
        <f t="shared" ref="Q9:Q14" si="6">B9</f>
        <v>用途</v>
      </c>
      <c r="R9" s="710" t="s">
        <v>17</v>
      </c>
      <c r="S9" s="711">
        <f t="shared" si="0"/>
        <v>100</v>
      </c>
      <c r="T9" s="710" t="s">
        <v>17</v>
      </c>
      <c r="U9" s="711">
        <f t="shared" si="1"/>
        <v>100</v>
      </c>
      <c r="V9" s="710" t="s">
        <v>17</v>
      </c>
      <c r="W9" s="711">
        <f t="shared" si="2"/>
        <v>100</v>
      </c>
      <c r="X9" s="712"/>
      <c r="Y9" s="314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278"/>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278"/>
      <c r="Q11" s="1529">
        <f t="shared" si="6"/>
        <v>111</v>
      </c>
      <c r="R11" s="710" t="s">
        <v>17</v>
      </c>
      <c r="S11" s="711">
        <f t="shared" si="0"/>
        <v>100</v>
      </c>
      <c r="T11" s="710" t="s">
        <v>17</v>
      </c>
      <c r="U11" s="711">
        <f t="shared" si="1"/>
        <v>100</v>
      </c>
      <c r="V11" s="710" t="s">
        <v>17</v>
      </c>
      <c r="W11" s="711">
        <f t="shared" si="2"/>
        <v>100</v>
      </c>
      <c r="X11" s="712"/>
      <c r="Y11" s="314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278"/>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278"/>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280" t="s">
        <v>2381</v>
      </c>
      <c r="Q14" s="1538" t="str">
        <f t="shared" si="6"/>
        <v>交通便捷度</v>
      </c>
      <c r="R14" s="714" t="s">
        <v>17</v>
      </c>
      <c r="S14" s="715">
        <f t="shared" si="0"/>
        <v>100</v>
      </c>
      <c r="T14" s="714" t="s">
        <v>17</v>
      </c>
      <c r="U14" s="715">
        <f t="shared" si="1"/>
        <v>100</v>
      </c>
      <c r="V14" s="714" t="s">
        <v>17</v>
      </c>
      <c r="W14" s="715">
        <f t="shared" si="2"/>
        <v>100</v>
      </c>
      <c r="X14" s="1541"/>
      <c r="Y14" s="3280"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281"/>
      <c r="Q15" s="1538"/>
      <c r="R15" s="714"/>
      <c r="S15" s="715"/>
      <c r="T15" s="714"/>
      <c r="U15" s="715"/>
      <c r="V15" s="714"/>
      <c r="W15" s="715"/>
      <c r="X15" s="1541"/>
      <c r="Y15" s="3281"/>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281"/>
      <c r="Q17" s="1538"/>
      <c r="R17" s="714"/>
      <c r="S17" s="715"/>
      <c r="T17" s="714"/>
      <c r="U17" s="715"/>
      <c r="V17" s="714"/>
      <c r="W17" s="715"/>
      <c r="X17" s="1541"/>
      <c r="Y17" s="3281"/>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281"/>
      <c r="Q19" s="1538"/>
      <c r="R19" s="714"/>
      <c r="S19" s="715"/>
      <c r="T19" s="714"/>
      <c r="U19" s="715"/>
      <c r="V19" s="714"/>
      <c r="W19" s="715"/>
      <c r="X19" s="1541"/>
      <c r="Y19" s="3281"/>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281"/>
      <c r="Q21" s="1538"/>
      <c r="R21" s="714"/>
      <c r="S21" s="715"/>
      <c r="T21" s="714"/>
      <c r="U21" s="715"/>
      <c r="V21" s="714"/>
      <c r="W21" s="715"/>
      <c r="X21" s="1541"/>
      <c r="Y21" s="3281"/>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281"/>
      <c r="Q24" s="1538">
        <f t="shared" ref="Q24:Q36"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336"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85"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285"/>
      <c r="Q27" s="716" t="str">
        <f t="shared" si="11"/>
        <v>项目停车位配比</v>
      </c>
      <c r="R27" s="717" t="s">
        <v>17</v>
      </c>
      <c r="S27" s="718">
        <f t="shared" si="12"/>
        <v>100</v>
      </c>
      <c r="T27" s="717" t="s">
        <v>17</v>
      </c>
      <c r="U27" s="718">
        <f t="shared" si="13"/>
        <v>100</v>
      </c>
      <c r="V27" s="717" t="s">
        <v>17</v>
      </c>
      <c r="W27" s="718">
        <f t="shared" si="14"/>
        <v>100</v>
      </c>
      <c r="X27" s="719"/>
      <c r="Y27" s="3285"/>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285"/>
      <c r="Q28" s="1538" t="str">
        <f t="shared" si="11"/>
        <v>公共部分装修</v>
      </c>
      <c r="R28" s="714" t="s">
        <v>17</v>
      </c>
      <c r="S28" s="715">
        <f t="shared" si="12"/>
        <v>100</v>
      </c>
      <c r="T28" s="714" t="s">
        <v>17</v>
      </c>
      <c r="U28" s="715">
        <f t="shared" si="13"/>
        <v>100</v>
      </c>
      <c r="V28" s="714" t="s">
        <v>17</v>
      </c>
      <c r="W28" s="715">
        <f t="shared" si="14"/>
        <v>100</v>
      </c>
      <c r="X28" s="1541"/>
      <c r="Y28" s="3285"/>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285"/>
      <c r="Q29" s="1538" t="str">
        <f t="shared" si="11"/>
        <v>成新率</v>
      </c>
      <c r="R29" s="714" t="s">
        <v>17</v>
      </c>
      <c r="S29" s="715" t="e">
        <f t="shared" si="12"/>
        <v>#N/A</v>
      </c>
      <c r="T29" s="714" t="s">
        <v>17</v>
      </c>
      <c r="U29" s="715" t="e">
        <f t="shared" si="13"/>
        <v>#N/A</v>
      </c>
      <c r="V29" s="714" t="s">
        <v>17</v>
      </c>
      <c r="W29" s="715" t="e">
        <f t="shared" si="14"/>
        <v>#N/A</v>
      </c>
      <c r="X29" s="1541"/>
      <c r="Y29" s="3285"/>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285"/>
      <c r="Q30" s="1538" t="str">
        <f t="shared" si="11"/>
        <v>物业等级</v>
      </c>
      <c r="R30" s="714" t="s">
        <v>17</v>
      </c>
      <c r="S30" s="715">
        <f t="shared" si="12"/>
        <v>100</v>
      </c>
      <c r="T30" s="714" t="s">
        <v>17</v>
      </c>
      <c r="U30" s="715">
        <f t="shared" si="13"/>
        <v>100</v>
      </c>
      <c r="V30" s="714" t="s">
        <v>17</v>
      </c>
      <c r="W30" s="715">
        <f t="shared" si="14"/>
        <v>100</v>
      </c>
      <c r="X30" s="1541"/>
      <c r="Y30" s="3285"/>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285"/>
      <c r="Q31" s="1529" t="str">
        <f t="shared" si="11"/>
        <v>停车位面积</v>
      </c>
      <c r="R31" s="710" t="s">
        <v>17</v>
      </c>
      <c r="S31" s="711" t="e">
        <f t="shared" si="12"/>
        <v>#N/A</v>
      </c>
      <c r="T31" s="710" t="s">
        <v>17</v>
      </c>
      <c r="U31" s="711" t="e">
        <f t="shared" si="13"/>
        <v>#N/A</v>
      </c>
      <c r="V31" s="710" t="s">
        <v>17</v>
      </c>
      <c r="W31" s="711" t="e">
        <f t="shared" si="14"/>
        <v>#N/A</v>
      </c>
      <c r="X31" s="712"/>
      <c r="Y31" s="328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285" t="s">
        <v>2386</v>
      </c>
      <c r="Q32" s="1538" t="str">
        <f t="shared" si="11"/>
        <v>车位类型</v>
      </c>
      <c r="R32" s="714" t="s">
        <v>17</v>
      </c>
      <c r="S32" s="715">
        <f t="shared" si="12"/>
        <v>100</v>
      </c>
      <c r="T32" s="714" t="s">
        <v>17</v>
      </c>
      <c r="U32" s="715">
        <f t="shared" si="13"/>
        <v>100</v>
      </c>
      <c r="V32" s="714" t="s">
        <v>17</v>
      </c>
      <c r="W32" s="715">
        <f t="shared" si="14"/>
        <v>100</v>
      </c>
      <c r="X32" s="1541"/>
      <c r="Y32" s="3285"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285"/>
      <c r="Q33" s="1538" t="str">
        <f t="shared" si="11"/>
        <v>是否直接入户</v>
      </c>
      <c r="R33" s="714" t="s">
        <v>17</v>
      </c>
      <c r="S33" s="715">
        <f t="shared" si="12"/>
        <v>100</v>
      </c>
      <c r="T33" s="714" t="s">
        <v>17</v>
      </c>
      <c r="U33" s="715">
        <f t="shared" si="13"/>
        <v>100</v>
      </c>
      <c r="V33" s="714" t="s">
        <v>17</v>
      </c>
      <c r="W33" s="715">
        <f t="shared" si="14"/>
        <v>100</v>
      </c>
      <c r="X33" s="1541"/>
      <c r="Y33" s="3285"/>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285"/>
      <c r="Q35" s="716">
        <f t="shared" si="11"/>
        <v>111</v>
      </c>
      <c r="R35" s="717" t="s">
        <v>17</v>
      </c>
      <c r="S35" s="718">
        <f t="shared" si="12"/>
        <v>100</v>
      </c>
      <c r="T35" s="717" t="s">
        <v>17</v>
      </c>
      <c r="U35" s="718">
        <f t="shared" si="13"/>
        <v>100</v>
      </c>
      <c r="V35" s="717" t="s">
        <v>17</v>
      </c>
      <c r="W35" s="718">
        <f t="shared" si="14"/>
        <v>100</v>
      </c>
      <c r="X35" s="719"/>
      <c r="Y35" s="3285"/>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285"/>
      <c r="Q36" s="1538">
        <f t="shared" si="11"/>
        <v>111</v>
      </c>
      <c r="R36" s="714" t="s">
        <v>17</v>
      </c>
      <c r="S36" s="715">
        <f t="shared" si="12"/>
        <v>100</v>
      </c>
      <c r="T36" s="714" t="s">
        <v>17</v>
      </c>
      <c r="U36" s="715">
        <f t="shared" si="13"/>
        <v>100</v>
      </c>
      <c r="V36" s="714" t="s">
        <v>17</v>
      </c>
      <c r="W36" s="715">
        <f t="shared" si="14"/>
        <v>100</v>
      </c>
      <c r="X36" s="1541"/>
      <c r="Y36" s="3285"/>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5"/>
      <c r="M37" s="2956"/>
      <c r="N37" s="2947"/>
      <c r="O37" s="2956"/>
      <c r="P37" s="3278" t="str">
        <f>A37</f>
        <v>成交单价</v>
      </c>
      <c r="Q37" s="3278"/>
      <c r="R37" s="3279">
        <f>E37</f>
        <v>0</v>
      </c>
      <c r="S37" s="3279"/>
      <c r="T37" s="3279">
        <f>G37</f>
        <v>0</v>
      </c>
      <c r="U37" s="3279"/>
      <c r="V37" s="3279">
        <f>I37</f>
        <v>0</v>
      </c>
      <c r="W37" s="3279"/>
      <c r="X37" s="699"/>
      <c r="Y37" s="721"/>
      <c r="Z37" s="699"/>
      <c r="AA37" s="699"/>
      <c r="AB37" s="699"/>
      <c r="AC37" s="699"/>
    </row>
    <row r="38" spans="1:29" ht="15.75" thickBot="1">
      <c r="A38" s="445" t="s">
        <v>2543</v>
      </c>
      <c r="B38" s="446" t="str">
        <f>B37</f>
        <v>元/车位</v>
      </c>
      <c r="C38" s="1322" t="e">
        <f>R39</f>
        <v>#DIV/0!</v>
      </c>
      <c r="D38" s="2540" t="s">
        <v>2881</v>
      </c>
      <c r="E38" s="1323" t="e">
        <f>R38</f>
        <v>#DIV/0!</v>
      </c>
      <c r="F38" s="2541"/>
      <c r="G38" s="1322" t="e">
        <f>T38</f>
        <v>#DIV/0!</v>
      </c>
      <c r="H38" s="2541"/>
      <c r="I38" s="1323" t="e">
        <f>V38</f>
        <v>#DIV/0!</v>
      </c>
      <c r="J38" s="2541"/>
      <c r="K38" s="2543">
        <f>F38+H38+J38</f>
        <v>0</v>
      </c>
      <c r="L38" s="2955"/>
      <c r="M38" s="2956"/>
      <c r="N38" s="2956"/>
      <c r="O38" s="2956"/>
      <c r="P38" s="3278" t="str">
        <f>A38</f>
        <v>比较价值（元/平方米）</v>
      </c>
      <c r="Q38" s="3278"/>
      <c r="R38" s="3279" t="e">
        <f>IF(F1="售价",ROUND(PRODUCT(R37,AA7:AA36),0),ROUND(PRODUCT(R37,AA7:AA36),1))</f>
        <v>#DIV/0!</v>
      </c>
      <c r="S38" s="3279"/>
      <c r="T38" s="3279" t="e">
        <f>IF(F1="售价",ROUND(PRODUCT(T37,AB7:AB36),0),ROUND(PRODUCT(T37,AB7:AB36),1))</f>
        <v>#DIV/0!</v>
      </c>
      <c r="U38" s="3279"/>
      <c r="V38" s="3279" t="e">
        <f>IF(F1="售价",ROUND(PRODUCT(V37,AC7:AC36),0),ROUND(PRODUCT(V37,AC7:AC36),1))</f>
        <v>#DIV/0!</v>
      </c>
      <c r="W38" s="327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5"/>
      <c r="M39" s="2956"/>
      <c r="N39" s="2956"/>
      <c r="O39" s="2956"/>
      <c r="P39" s="3275" t="str">
        <f>A39</f>
        <v>估价对象XX用房的比较价值（楼面单价，元/平方米）</v>
      </c>
      <c r="Q39" s="3276"/>
      <c r="R39" s="3337" t="e">
        <f>IF(F1="售价",ROUND(IF(D38="简单平均",AVERAGE(R38:W38),R38*F38+T38*H38+V38*J38),0),ROUND(IF(D38="简单平均",AVERAGE(R38:V38),R38*F38+T38*H38+V38*J38),1))</f>
        <v>#DIV/0!</v>
      </c>
      <c r="S39" s="3337"/>
      <c r="T39" s="3337"/>
      <c r="U39" s="3337"/>
      <c r="V39" s="3337"/>
      <c r="W39" s="3337"/>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2548</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2549</v>
      </c>
      <c r="B48" s="463"/>
      <c r="C48" s="1346" t="str">
        <f>YEAR(C7)&amp;"-"&amp;MONTH(C7)</f>
        <v>2022-1</v>
      </c>
      <c r="D48" s="1347">
        <f>EDATE(C48,-1)</f>
        <v>44531</v>
      </c>
      <c r="E48" s="1347">
        <f t="shared" ref="E48:O48" si="16">EDATE(D48,-1)</f>
        <v>44501</v>
      </c>
      <c r="F48" s="1347">
        <f t="shared" si="16"/>
        <v>44470</v>
      </c>
      <c r="G48" s="1347">
        <f t="shared" si="16"/>
        <v>44440</v>
      </c>
      <c r="H48" s="1347">
        <f t="shared" si="16"/>
        <v>44409</v>
      </c>
      <c r="I48" s="1347">
        <f t="shared" si="16"/>
        <v>44378</v>
      </c>
      <c r="J48" s="1347">
        <f t="shared" si="16"/>
        <v>44348</v>
      </c>
      <c r="K48" s="1347">
        <f t="shared" si="16"/>
        <v>44317</v>
      </c>
      <c r="L48" s="1347">
        <f t="shared" si="16"/>
        <v>44287</v>
      </c>
      <c r="M48" s="1347">
        <f t="shared" si="16"/>
        <v>44256</v>
      </c>
      <c r="N48" s="1347">
        <f t="shared" si="16"/>
        <v>44228</v>
      </c>
      <c r="O48" s="1347">
        <f t="shared" si="16"/>
        <v>44197</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2406</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2371</v>
      </c>
      <c r="B51" s="467"/>
      <c r="C51" s="479" t="s">
        <v>2473</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2409</v>
      </c>
      <c r="B53" s="485" t="s">
        <v>2375</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2424</v>
      </c>
      <c r="C65" s="535" t="s">
        <v>2418</v>
      </c>
      <c r="D65" s="535" t="s">
        <v>2419</v>
      </c>
      <c r="E65" s="535" t="s">
        <v>2420</v>
      </c>
      <c r="F65" s="535" t="s">
        <v>2421</v>
      </c>
      <c r="G65" s="535" t="s">
        <v>2422</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2510</v>
      </c>
      <c r="C67" s="616" t="s">
        <v>2496</v>
      </c>
      <c r="D67" s="616" t="s">
        <v>2497</v>
      </c>
      <c r="E67" s="616" t="s">
        <v>2498</v>
      </c>
      <c r="F67" s="616" t="s">
        <v>2499</v>
      </c>
      <c r="G67" s="616" t="s">
        <v>2500</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2430</v>
      </c>
      <c r="C69" s="535" t="s">
        <v>2418</v>
      </c>
      <c r="D69" s="535" t="s">
        <v>2419</v>
      </c>
      <c r="E69" s="535" t="s">
        <v>2420</v>
      </c>
      <c r="F69" s="535" t="s">
        <v>2421</v>
      </c>
      <c r="G69" s="535" t="s">
        <v>2422</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2550</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2384</v>
      </c>
      <c r="B79" s="485" t="s">
        <v>2551</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2552</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2437</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2554</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2556</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2557</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6"/>
      <c r="M4" s="2947"/>
      <c r="N4" s="2947"/>
      <c r="O4" s="2947"/>
      <c r="P4" s="3297" t="s">
        <v>2472</v>
      </c>
      <c r="Q4" s="3298"/>
      <c r="R4" s="3303" t="s">
        <v>2468</v>
      </c>
      <c r="S4" s="3304"/>
      <c r="T4" s="3303" t="s">
        <v>2469</v>
      </c>
      <c r="U4" s="3304"/>
      <c r="V4" s="3309" t="s">
        <v>2470</v>
      </c>
      <c r="W4" s="3309"/>
      <c r="X4" s="1541"/>
      <c r="Y4" s="3303" t="s">
        <v>2472</v>
      </c>
      <c r="Z4" s="3304"/>
      <c r="AA4" s="3290" t="s">
        <v>2468</v>
      </c>
      <c r="AB4" s="3291" t="s">
        <v>2469</v>
      </c>
      <c r="AC4" s="3290" t="s">
        <v>2470</v>
      </c>
    </row>
    <row r="5" spans="1:29" ht="15">
      <c r="A5" s="364"/>
      <c r="B5" s="365"/>
      <c r="C5" s="3312" t="s">
        <v>2363</v>
      </c>
      <c r="D5" s="3313"/>
      <c r="E5" s="3319" t="s">
        <v>2364</v>
      </c>
      <c r="F5" s="3320"/>
      <c r="G5" s="3312" t="s">
        <v>2365</v>
      </c>
      <c r="H5" s="3313"/>
      <c r="I5" s="3312" t="s">
        <v>2366</v>
      </c>
      <c r="J5" s="3313"/>
      <c r="K5" s="567"/>
      <c r="L5" s="2946"/>
      <c r="M5" s="2947"/>
      <c r="N5" s="2947"/>
      <c r="O5" s="2947"/>
      <c r="P5" s="3299"/>
      <c r="Q5" s="3300"/>
      <c r="R5" s="3305"/>
      <c r="S5" s="3306"/>
      <c r="T5" s="3305"/>
      <c r="U5" s="3306"/>
      <c r="V5" s="3309"/>
      <c r="W5" s="3309"/>
      <c r="X5" s="1541"/>
      <c r="Y5" s="3305"/>
      <c r="Z5" s="3306"/>
      <c r="AA5" s="3291"/>
      <c r="AB5" s="3291"/>
      <c r="AC5" s="3291"/>
    </row>
    <row r="6" spans="1:29" ht="15.75" thickBot="1">
      <c r="A6" s="366"/>
      <c r="B6" s="367"/>
      <c r="C6" s="3310" t="s">
        <v>2367</v>
      </c>
      <c r="D6" s="3311"/>
      <c r="E6" s="3317" t="s">
        <v>2367</v>
      </c>
      <c r="F6" s="3318"/>
      <c r="G6" s="3310" t="s">
        <v>2367</v>
      </c>
      <c r="H6" s="3311"/>
      <c r="I6" s="3310" t="s">
        <v>2367</v>
      </c>
      <c r="J6" s="3311"/>
      <c r="K6" s="567" t="s">
        <v>2368</v>
      </c>
      <c r="L6" s="2946"/>
      <c r="M6" s="2947"/>
      <c r="N6" s="2947"/>
      <c r="O6" s="2947"/>
      <c r="P6" s="3301"/>
      <c r="Q6" s="3302"/>
      <c r="R6" s="3305"/>
      <c r="S6" s="3306"/>
      <c r="T6" s="3307"/>
      <c r="U6" s="3308"/>
      <c r="V6" s="3309"/>
      <c r="W6" s="3309"/>
      <c r="X6" s="1541"/>
      <c r="Y6" s="3307"/>
      <c r="Z6" s="3308"/>
      <c r="AA6" s="3292"/>
      <c r="AB6" s="3292"/>
      <c r="AC6" s="3292"/>
    </row>
    <row r="7" spans="1:29" s="113" customFormat="1" ht="15.75" thickBot="1">
      <c r="A7" s="368" t="s">
        <v>2369</v>
      </c>
      <c r="B7" s="369"/>
      <c r="C7" s="370">
        <f>'数据-取费表'!B2</f>
        <v>44562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14" t="s">
        <v>2370</v>
      </c>
      <c r="Q7" s="3316"/>
      <c r="R7" s="710" t="s">
        <v>17</v>
      </c>
      <c r="S7" s="711">
        <f t="shared" ref="S7:S14" si="0">F7</f>
        <v>0</v>
      </c>
      <c r="T7" s="710" t="s">
        <v>17</v>
      </c>
      <c r="U7" s="711">
        <f t="shared" ref="U7:U14" si="1">H7</f>
        <v>0</v>
      </c>
      <c r="V7" s="710" t="s">
        <v>17</v>
      </c>
      <c r="W7" s="711">
        <f t="shared" ref="W7:W14" si="2">J7</f>
        <v>0</v>
      </c>
      <c r="X7" s="712"/>
      <c r="Y7" s="3314" t="s">
        <v>2370</v>
      </c>
      <c r="Z7" s="331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14" t="s">
        <v>2373</v>
      </c>
      <c r="Q8" s="3315"/>
      <c r="R8" s="710" t="s">
        <v>17</v>
      </c>
      <c r="S8" s="711">
        <f t="shared" si="0"/>
        <v>0</v>
      </c>
      <c r="T8" s="710" t="s">
        <v>17</v>
      </c>
      <c r="U8" s="711">
        <f t="shared" si="1"/>
        <v>0</v>
      </c>
      <c r="V8" s="710" t="s">
        <v>17</v>
      </c>
      <c r="W8" s="711">
        <f t="shared" si="2"/>
        <v>0</v>
      </c>
      <c r="X8" s="712"/>
      <c r="Y8" s="3314" t="s">
        <v>2373</v>
      </c>
      <c r="Z8" s="331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278" t="s">
        <v>2376</v>
      </c>
      <c r="Q9" s="1529" t="str">
        <f t="shared" ref="Q9:Q14" si="6">B9</f>
        <v>用途</v>
      </c>
      <c r="R9" s="710" t="s">
        <v>17</v>
      </c>
      <c r="S9" s="711">
        <f t="shared" si="0"/>
        <v>100</v>
      </c>
      <c r="T9" s="710" t="s">
        <v>17</v>
      </c>
      <c r="U9" s="711">
        <f t="shared" si="1"/>
        <v>100</v>
      </c>
      <c r="V9" s="710" t="s">
        <v>17</v>
      </c>
      <c r="W9" s="711">
        <f t="shared" si="2"/>
        <v>100</v>
      </c>
      <c r="X9" s="712"/>
      <c r="Y9" s="314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278"/>
      <c r="Q10" s="1529" t="str">
        <f t="shared" si="6"/>
        <v>土地使用年限（年）</v>
      </c>
      <c r="R10" s="710" t="s">
        <v>17</v>
      </c>
      <c r="S10" s="711">
        <f t="shared" si="0"/>
        <v>100</v>
      </c>
      <c r="T10" s="710" t="s">
        <v>17</v>
      </c>
      <c r="U10" s="711">
        <f t="shared" si="1"/>
        <v>100</v>
      </c>
      <c r="V10" s="710" t="s">
        <v>17</v>
      </c>
      <c r="W10" s="711">
        <f t="shared" si="2"/>
        <v>100</v>
      </c>
      <c r="X10" s="712"/>
      <c r="Y10" s="3148"/>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278"/>
      <c r="Q11" s="1529">
        <f t="shared" si="6"/>
        <v>111</v>
      </c>
      <c r="R11" s="710" t="s">
        <v>17</v>
      </c>
      <c r="S11" s="711">
        <f t="shared" si="0"/>
        <v>100</v>
      </c>
      <c r="T11" s="710" t="s">
        <v>17</v>
      </c>
      <c r="U11" s="711">
        <f t="shared" si="1"/>
        <v>100</v>
      </c>
      <c r="V11" s="710" t="s">
        <v>17</v>
      </c>
      <c r="W11" s="711">
        <f t="shared" si="2"/>
        <v>100</v>
      </c>
      <c r="X11" s="712"/>
      <c r="Y11" s="3148"/>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278"/>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278"/>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280" t="s">
        <v>2381</v>
      </c>
      <c r="Q14" s="1538" t="str">
        <f t="shared" si="6"/>
        <v>交通便捷度</v>
      </c>
      <c r="R14" s="714" t="s">
        <v>17</v>
      </c>
      <c r="S14" s="715">
        <f t="shared" si="0"/>
        <v>100</v>
      </c>
      <c r="T14" s="714" t="s">
        <v>17</v>
      </c>
      <c r="U14" s="715">
        <f t="shared" si="1"/>
        <v>100</v>
      </c>
      <c r="V14" s="714" t="s">
        <v>17</v>
      </c>
      <c r="W14" s="715">
        <f t="shared" si="2"/>
        <v>100</v>
      </c>
      <c r="X14" s="1541"/>
      <c r="Y14" s="3280"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281"/>
      <c r="Q15" s="1538"/>
      <c r="R15" s="714"/>
      <c r="S15" s="715"/>
      <c r="T15" s="714"/>
      <c r="U15" s="715"/>
      <c r="V15" s="714"/>
      <c r="W15" s="715"/>
      <c r="X15" s="1541"/>
      <c r="Y15" s="3281"/>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281"/>
      <c r="Q16" s="1538" t="str">
        <f>B16</f>
        <v>公共配套设施</v>
      </c>
      <c r="R16" s="714" t="s">
        <v>17</v>
      </c>
      <c r="S16" s="715">
        <f>F16</f>
        <v>100</v>
      </c>
      <c r="T16" s="714" t="s">
        <v>17</v>
      </c>
      <c r="U16" s="715">
        <f>H16</f>
        <v>100</v>
      </c>
      <c r="V16" s="714" t="s">
        <v>17</v>
      </c>
      <c r="W16" s="715">
        <f>J16</f>
        <v>100</v>
      </c>
      <c r="X16" s="1541"/>
      <c r="Y16" s="3281"/>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281"/>
      <c r="Q17" s="1538"/>
      <c r="R17" s="714"/>
      <c r="S17" s="715"/>
      <c r="T17" s="714"/>
      <c r="U17" s="715"/>
      <c r="V17" s="714"/>
      <c r="W17" s="715"/>
      <c r="X17" s="1541"/>
      <c r="Y17" s="3281"/>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281"/>
      <c r="Q18" s="1538" t="str">
        <f>B18</f>
        <v>基础设施水平</v>
      </c>
      <c r="R18" s="714" t="s">
        <v>17</v>
      </c>
      <c r="S18" s="715">
        <f>F18</f>
        <v>100</v>
      </c>
      <c r="T18" s="714" t="s">
        <v>17</v>
      </c>
      <c r="U18" s="715">
        <f>H18</f>
        <v>100</v>
      </c>
      <c r="V18" s="714" t="s">
        <v>17</v>
      </c>
      <c r="W18" s="715">
        <f>J18</f>
        <v>100</v>
      </c>
      <c r="X18" s="1541"/>
      <c r="Y18" s="3281"/>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281"/>
      <c r="Q19" s="1538"/>
      <c r="R19" s="714"/>
      <c r="S19" s="715"/>
      <c r="T19" s="714"/>
      <c r="U19" s="715"/>
      <c r="V19" s="714"/>
      <c r="W19" s="715"/>
      <c r="X19" s="1541"/>
      <c r="Y19" s="3281"/>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281"/>
      <c r="Q20" s="1538" t="str">
        <f>B20</f>
        <v>自然及人文环境</v>
      </c>
      <c r="R20" s="714" t="s">
        <v>17</v>
      </c>
      <c r="S20" s="715">
        <f>F20</f>
        <v>100</v>
      </c>
      <c r="T20" s="714" t="s">
        <v>17</v>
      </c>
      <c r="U20" s="715">
        <f>H20</f>
        <v>100</v>
      </c>
      <c r="V20" s="714" t="s">
        <v>17</v>
      </c>
      <c r="W20" s="715">
        <f>J20</f>
        <v>100</v>
      </c>
      <c r="X20" s="1541"/>
      <c r="Y20" s="3281"/>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281"/>
      <c r="Q21" s="1538"/>
      <c r="R21" s="714"/>
      <c r="S21" s="715"/>
      <c r="T21" s="714"/>
      <c r="U21" s="715"/>
      <c r="V21" s="714"/>
      <c r="W21" s="715"/>
      <c r="X21" s="1541"/>
      <c r="Y21" s="3281"/>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281"/>
      <c r="Q22" s="1538" t="str">
        <f>B22</f>
        <v>楼层</v>
      </c>
      <c r="R22" s="714" t="s">
        <v>17</v>
      </c>
      <c r="S22" s="715">
        <f>F22</f>
        <v>100</v>
      </c>
      <c r="T22" s="714" t="s">
        <v>17</v>
      </c>
      <c r="U22" s="715">
        <f>H22</f>
        <v>100</v>
      </c>
      <c r="V22" s="714" t="s">
        <v>17</v>
      </c>
      <c r="W22" s="715">
        <f>J22</f>
        <v>100</v>
      </c>
      <c r="X22" s="1541"/>
      <c r="Y22" s="3281"/>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281"/>
      <c r="Q23" s="1538">
        <f>B23</f>
        <v>111</v>
      </c>
      <c r="R23" s="714" t="s">
        <v>17</v>
      </c>
      <c r="S23" s="715">
        <f>F23</f>
        <v>100</v>
      </c>
      <c r="T23" s="714" t="s">
        <v>17</v>
      </c>
      <c r="U23" s="715">
        <f>H23</f>
        <v>100</v>
      </c>
      <c r="V23" s="714" t="s">
        <v>17</v>
      </c>
      <c r="W23" s="715">
        <f>J23</f>
        <v>100</v>
      </c>
      <c r="X23" s="1541"/>
      <c r="Y23" s="3281"/>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281"/>
      <c r="Q24" s="1538">
        <f t="shared" ref="Q24:Q34" si="11">B24</f>
        <v>111</v>
      </c>
      <c r="R24" s="714" t="s">
        <v>17</v>
      </c>
      <c r="S24" s="715">
        <f>F24</f>
        <v>100</v>
      </c>
      <c r="T24" s="714" t="s">
        <v>17</v>
      </c>
      <c r="U24" s="715">
        <f>H24</f>
        <v>100</v>
      </c>
      <c r="V24" s="714" t="s">
        <v>17</v>
      </c>
      <c r="W24" s="715">
        <f>J24</f>
        <v>100</v>
      </c>
      <c r="X24" s="1541"/>
      <c r="Y24" s="3281"/>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281"/>
      <c r="Q25" s="1529">
        <f t="shared" si="11"/>
        <v>111</v>
      </c>
      <c r="R25" s="710" t="s">
        <v>17</v>
      </c>
      <c r="S25" s="711">
        <f>F25</f>
        <v>100</v>
      </c>
      <c r="T25" s="710" t="s">
        <v>17</v>
      </c>
      <c r="U25" s="711">
        <f>H25</f>
        <v>100</v>
      </c>
      <c r="V25" s="710" t="s">
        <v>17</v>
      </c>
      <c r="W25" s="711">
        <f>J25</f>
        <v>100</v>
      </c>
      <c r="X25" s="712"/>
      <c r="Y25" s="3281"/>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336"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5"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285"/>
      <c r="Q27" s="716" t="str">
        <f t="shared" si="11"/>
        <v>成新率</v>
      </c>
      <c r="R27" s="717" t="s">
        <v>17</v>
      </c>
      <c r="S27" s="718" t="e">
        <f t="shared" si="12"/>
        <v>#N/A</v>
      </c>
      <c r="T27" s="717" t="s">
        <v>17</v>
      </c>
      <c r="U27" s="718" t="e">
        <f t="shared" si="13"/>
        <v>#N/A</v>
      </c>
      <c r="V27" s="717" t="s">
        <v>17</v>
      </c>
      <c r="W27" s="718" t="e">
        <f t="shared" si="14"/>
        <v>#N/A</v>
      </c>
      <c r="X27" s="719"/>
      <c r="Y27" s="3285"/>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285"/>
      <c r="Q28" s="1538" t="str">
        <f t="shared" si="11"/>
        <v>物业等级</v>
      </c>
      <c r="R28" s="714" t="s">
        <v>17</v>
      </c>
      <c r="S28" s="715">
        <f t="shared" si="12"/>
        <v>100</v>
      </c>
      <c r="T28" s="714" t="s">
        <v>17</v>
      </c>
      <c r="U28" s="715">
        <f t="shared" si="13"/>
        <v>100</v>
      </c>
      <c r="V28" s="714" t="s">
        <v>17</v>
      </c>
      <c r="W28" s="715">
        <f t="shared" si="14"/>
        <v>100</v>
      </c>
      <c r="X28" s="1541"/>
      <c r="Y28" s="3285"/>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285"/>
      <c r="Q29" s="1538" t="str">
        <f t="shared" si="11"/>
        <v>有无电梯</v>
      </c>
      <c r="R29" s="714" t="s">
        <v>17</v>
      </c>
      <c r="S29" s="715">
        <f t="shared" si="12"/>
        <v>100</v>
      </c>
      <c r="T29" s="714" t="s">
        <v>17</v>
      </c>
      <c r="U29" s="715">
        <f t="shared" si="13"/>
        <v>100</v>
      </c>
      <c r="V29" s="714" t="s">
        <v>17</v>
      </c>
      <c r="W29" s="715">
        <f t="shared" si="14"/>
        <v>100</v>
      </c>
      <c r="X29" s="1541"/>
      <c r="Y29" s="3285"/>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285"/>
      <c r="Q30" s="1538" t="str">
        <f t="shared" si="11"/>
        <v>建筑面积</v>
      </c>
      <c r="R30" s="714" t="s">
        <v>17</v>
      </c>
      <c r="S30" s="715" t="e">
        <f t="shared" si="12"/>
        <v>#N/A</v>
      </c>
      <c r="T30" s="714" t="s">
        <v>17</v>
      </c>
      <c r="U30" s="715" t="e">
        <f t="shared" si="13"/>
        <v>#N/A</v>
      </c>
      <c r="V30" s="714" t="s">
        <v>17</v>
      </c>
      <c r="W30" s="715" t="e">
        <f t="shared" si="14"/>
        <v>#N/A</v>
      </c>
      <c r="X30" s="1541"/>
      <c r="Y30" s="3285"/>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285"/>
      <c r="Q31" s="1529" t="str">
        <f t="shared" si="11"/>
        <v>是否封闭</v>
      </c>
      <c r="R31" s="710" t="s">
        <v>17</v>
      </c>
      <c r="S31" s="711">
        <f t="shared" si="12"/>
        <v>100</v>
      </c>
      <c r="T31" s="710" t="s">
        <v>17</v>
      </c>
      <c r="U31" s="711">
        <f t="shared" si="13"/>
        <v>100</v>
      </c>
      <c r="V31" s="710" t="s">
        <v>17</v>
      </c>
      <c r="W31" s="711">
        <f t="shared" si="14"/>
        <v>100</v>
      </c>
      <c r="X31" s="712"/>
      <c r="Y31" s="3285"/>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285" t="s">
        <v>2386</v>
      </c>
      <c r="Q32" s="1538">
        <f t="shared" si="11"/>
        <v>111</v>
      </c>
      <c r="R32" s="714" t="s">
        <v>17</v>
      </c>
      <c r="S32" s="715">
        <f t="shared" si="12"/>
        <v>100</v>
      </c>
      <c r="T32" s="714" t="s">
        <v>17</v>
      </c>
      <c r="U32" s="715">
        <f t="shared" si="13"/>
        <v>100</v>
      </c>
      <c r="V32" s="714" t="s">
        <v>17</v>
      </c>
      <c r="W32" s="715">
        <f t="shared" si="14"/>
        <v>100</v>
      </c>
      <c r="X32" s="1541"/>
      <c r="Y32" s="3285"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285"/>
      <c r="Q33" s="1538">
        <f t="shared" si="11"/>
        <v>111</v>
      </c>
      <c r="R33" s="714" t="s">
        <v>17</v>
      </c>
      <c r="S33" s="715">
        <f t="shared" si="12"/>
        <v>100</v>
      </c>
      <c r="T33" s="714" t="s">
        <v>17</v>
      </c>
      <c r="U33" s="715">
        <f t="shared" si="13"/>
        <v>100</v>
      </c>
      <c r="V33" s="714" t="s">
        <v>17</v>
      </c>
      <c r="W33" s="715">
        <f t="shared" si="14"/>
        <v>100</v>
      </c>
      <c r="X33" s="1541"/>
      <c r="Y33" s="3285"/>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285"/>
      <c r="Q34" s="1538">
        <f t="shared" si="11"/>
        <v>111</v>
      </c>
      <c r="R34" s="714" t="s">
        <v>17</v>
      </c>
      <c r="S34" s="715">
        <f t="shared" si="12"/>
        <v>100</v>
      </c>
      <c r="T34" s="714" t="s">
        <v>17</v>
      </c>
      <c r="U34" s="715">
        <f t="shared" si="13"/>
        <v>100</v>
      </c>
      <c r="V34" s="714" t="s">
        <v>17</v>
      </c>
      <c r="W34" s="715">
        <f t="shared" si="14"/>
        <v>100</v>
      </c>
      <c r="X34" s="1541"/>
      <c r="Y34" s="3285"/>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5"/>
      <c r="M35" s="2956"/>
      <c r="N35" s="2947"/>
      <c r="O35" s="2956"/>
      <c r="P35" s="3278" t="str">
        <f>A35</f>
        <v>成交单价（元/平方米）</v>
      </c>
      <c r="Q35" s="3278"/>
      <c r="R35" s="3279">
        <f>E35</f>
        <v>0</v>
      </c>
      <c r="S35" s="3279"/>
      <c r="T35" s="3279">
        <f>G35</f>
        <v>0</v>
      </c>
      <c r="U35" s="3279"/>
      <c r="V35" s="3279">
        <f>I35</f>
        <v>0</v>
      </c>
      <c r="W35" s="3279"/>
      <c r="X35" s="699"/>
      <c r="Y35" s="721"/>
      <c r="Z35" s="699"/>
      <c r="AA35" s="699"/>
      <c r="AB35" s="699"/>
      <c r="AC35" s="699"/>
    </row>
    <row r="36" spans="1:30" ht="15.75" thickBot="1">
      <c r="A36" s="445" t="s">
        <v>2490</v>
      </c>
      <c r="B36" s="446"/>
      <c r="C36" s="1322" t="e">
        <f>R37</f>
        <v>#DIV/0!</v>
      </c>
      <c r="D36" s="2540" t="s">
        <v>2881</v>
      </c>
      <c r="E36" s="1323" t="e">
        <f>R36</f>
        <v>#DIV/0!</v>
      </c>
      <c r="F36" s="2541"/>
      <c r="G36" s="1322" t="e">
        <f>T36</f>
        <v>#DIV/0!</v>
      </c>
      <c r="H36" s="2541"/>
      <c r="I36" s="1323" t="e">
        <f>V36</f>
        <v>#DIV/0!</v>
      </c>
      <c r="J36" s="2541"/>
      <c r="K36" s="2543">
        <f>F36+H36+J36</f>
        <v>0</v>
      </c>
      <c r="L36" s="2955"/>
      <c r="M36" s="2956"/>
      <c r="N36" s="2947"/>
      <c r="O36" s="2956"/>
      <c r="P36" s="3278" t="str">
        <f>A36</f>
        <v>比较价值（元/平方米）</v>
      </c>
      <c r="Q36" s="3278"/>
      <c r="R36" s="3279" t="e">
        <f>IF(F1="售价",ROUND(PRODUCT(R35,AA7:AA34),0),ROUND(PRODUCT(R35,AA7:AA34),1))</f>
        <v>#DIV/0!</v>
      </c>
      <c r="S36" s="3279"/>
      <c r="T36" s="3279" t="e">
        <f>IF(F1="售价",ROUND(PRODUCT(T35,AB7:AB34),0),ROUND(PRODUCT(T35,AB7:AB34),1))</f>
        <v>#DIV/0!</v>
      </c>
      <c r="U36" s="3279"/>
      <c r="V36" s="3279" t="e">
        <f>IF(F1="售价",ROUND(PRODUCT(V35,AC7:AC34),0),ROUND(PRODUCT(V35,AC7:AC34),1))</f>
        <v>#DIV/0!</v>
      </c>
      <c r="W36" s="327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5"/>
      <c r="M37" s="2956"/>
      <c r="N37" s="2956"/>
      <c r="O37" s="2956"/>
      <c r="P37" s="3275" t="str">
        <f>A37</f>
        <v>估价对象XX用房的比较价值（楼面单价，元/平方米）</v>
      </c>
      <c r="Q37" s="3276"/>
      <c r="R37" s="3337" t="e">
        <f>IF(F1="售价",ROUND(IF(D36="简单平均",AVERAGE(R36:W36),R36*F36+T36*H36+V36*J36),0),ROUND(IF(D36="简单平均",AVERAGE(R36:V36),R36*F36+T36*H36+V36*J36),1))</f>
        <v>#DIV/0!</v>
      </c>
      <c r="S37" s="3337"/>
      <c r="T37" s="3337"/>
      <c r="U37" s="3337"/>
      <c r="V37" s="3337"/>
      <c r="W37" s="3337"/>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2495</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2369</v>
      </c>
      <c r="B46" s="463"/>
      <c r="C46" s="1346" t="str">
        <f>YEAR(C7)&amp;"-"&amp;MONTH(C7)</f>
        <v>2022-1</v>
      </c>
      <c r="D46" s="1347">
        <f>EDATE(C46,-1)</f>
        <v>44531</v>
      </c>
      <c r="E46" s="1347">
        <f t="shared" ref="E46:O46" si="16">EDATE(D46,-1)</f>
        <v>44501</v>
      </c>
      <c r="F46" s="1347">
        <f t="shared" si="16"/>
        <v>44470</v>
      </c>
      <c r="G46" s="1347">
        <f t="shared" si="16"/>
        <v>44440</v>
      </c>
      <c r="H46" s="1347">
        <f t="shared" si="16"/>
        <v>44409</v>
      </c>
      <c r="I46" s="1347">
        <f t="shared" si="16"/>
        <v>44378</v>
      </c>
      <c r="J46" s="1347">
        <f t="shared" si="16"/>
        <v>44348</v>
      </c>
      <c r="K46" s="1347">
        <f t="shared" si="16"/>
        <v>44317</v>
      </c>
      <c r="L46" s="1347">
        <f t="shared" si="16"/>
        <v>44287</v>
      </c>
      <c r="M46" s="1347">
        <f t="shared" si="16"/>
        <v>44256</v>
      </c>
      <c r="N46" s="1347">
        <f t="shared" si="16"/>
        <v>44228</v>
      </c>
      <c r="O46" s="1347">
        <f t="shared" si="16"/>
        <v>44197</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2406</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2371</v>
      </c>
      <c r="B49" s="467"/>
      <c r="C49" s="479" t="s">
        <v>2473</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2409</v>
      </c>
      <c r="B51" s="485" t="s">
        <v>2375</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2561</v>
      </c>
      <c r="C63" s="535" t="s">
        <v>2418</v>
      </c>
      <c r="D63" s="535" t="s">
        <v>2419</v>
      </c>
      <c r="E63" s="535" t="s">
        <v>2420</v>
      </c>
      <c r="F63" s="535" t="s">
        <v>2421</v>
      </c>
      <c r="G63" s="535" t="s">
        <v>2422</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2510</v>
      </c>
      <c r="C65" s="616" t="s">
        <v>2496</v>
      </c>
      <c r="D65" s="616" t="s">
        <v>2497</v>
      </c>
      <c r="E65" s="616" t="s">
        <v>2498</v>
      </c>
      <c r="F65" s="616" t="s">
        <v>2499</v>
      </c>
      <c r="G65" s="616" t="s">
        <v>2500</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2430</v>
      </c>
      <c r="C67" s="535" t="s">
        <v>2418</v>
      </c>
      <c r="D67" s="535" t="s">
        <v>2419</v>
      </c>
      <c r="E67" s="535" t="s">
        <v>2420</v>
      </c>
      <c r="F67" s="535" t="s">
        <v>2421</v>
      </c>
      <c r="G67" s="535" t="s">
        <v>2422</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2550</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2384</v>
      </c>
      <c r="B77" s="485" t="s">
        <v>2437</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2554</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2562</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2564</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3" zoomScale="60" zoomScaleNormal="60" workbookViewId="0">
      <selection activeCell="M31" sqref="M3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311638</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40187</v>
      </c>
      <c r="C3" s="209" t="s">
        <v>2567</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2466</v>
      </c>
      <c r="B4" s="362"/>
      <c r="C4" s="3293" t="s">
        <v>2467</v>
      </c>
      <c r="D4" s="3294"/>
      <c r="E4" s="3295" t="s">
        <v>2468</v>
      </c>
      <c r="F4" s="3296"/>
      <c r="G4" s="3293" t="s">
        <v>2469</v>
      </c>
      <c r="H4" s="3294"/>
      <c r="I4" s="3293" t="s">
        <v>2470</v>
      </c>
      <c r="J4" s="3294"/>
      <c r="K4" s="567" t="s">
        <v>2471</v>
      </c>
      <c r="L4" s="2946"/>
      <c r="M4" s="2947"/>
      <c r="N4" s="2947"/>
      <c r="O4" s="2947"/>
      <c r="P4" s="3297" t="s">
        <v>2472</v>
      </c>
      <c r="Q4" s="3298"/>
      <c r="R4" s="3303" t="s">
        <v>2468</v>
      </c>
      <c r="S4" s="3304"/>
      <c r="T4" s="3303" t="s">
        <v>2469</v>
      </c>
      <c r="U4" s="3304"/>
      <c r="V4" s="3309" t="s">
        <v>2470</v>
      </c>
      <c r="W4" s="3309"/>
      <c r="X4" s="1541"/>
      <c r="Y4" s="3303" t="s">
        <v>2472</v>
      </c>
      <c r="Z4" s="3304"/>
      <c r="AA4" s="3290" t="s">
        <v>2468</v>
      </c>
      <c r="AB4" s="3291" t="s">
        <v>2469</v>
      </c>
      <c r="AC4" s="3290" t="s">
        <v>2470</v>
      </c>
    </row>
    <row r="5" spans="1:30" ht="15">
      <c r="A5" s="364"/>
      <c r="B5" s="365"/>
      <c r="C5" s="3312" t="s">
        <v>2363</v>
      </c>
      <c r="D5" s="3313"/>
      <c r="E5" s="3319" t="str">
        <f>土地案例!$A$4</f>
        <v>北京经济技术开发区河西区X46R1、X46R2地块R2二类居住用地、A334托幼用地国有建设用地</v>
      </c>
      <c r="F5" s="3320"/>
      <c r="G5" s="3312" t="str">
        <f>土地案例!$A$6</f>
        <v>北京市大兴区西红门镇B1-05-(3)地块R2二类居住用地</v>
      </c>
      <c r="H5" s="3313"/>
      <c r="I5" s="3312" t="str">
        <f>土地案例!$A$9</f>
        <v>北京市大兴区旧宫镇YZ00-0801-0018、0019、0024、0025、0026地块二类居住用地、基础教育用地</v>
      </c>
      <c r="J5" s="3313"/>
      <c r="K5" s="567"/>
      <c r="L5" s="2946"/>
      <c r="M5" s="2947"/>
      <c r="N5" s="2947"/>
      <c r="O5" s="2947"/>
      <c r="P5" s="3299"/>
      <c r="Q5" s="3300"/>
      <c r="R5" s="3305"/>
      <c r="S5" s="3306"/>
      <c r="T5" s="3305"/>
      <c r="U5" s="3306"/>
      <c r="V5" s="3309"/>
      <c r="W5" s="3309"/>
      <c r="X5" s="1541"/>
      <c r="Y5" s="3305"/>
      <c r="Z5" s="3306"/>
      <c r="AA5" s="3291"/>
      <c r="AB5" s="3291"/>
      <c r="AC5" s="3291"/>
    </row>
    <row r="6" spans="1:30" ht="15.75" thickBot="1">
      <c r="A6" s="366"/>
      <c r="B6" s="367"/>
      <c r="C6" s="3310" t="s">
        <v>2367</v>
      </c>
      <c r="D6" s="3311"/>
      <c r="E6" s="3317" t="s">
        <v>2367</v>
      </c>
      <c r="F6" s="3318"/>
      <c r="G6" s="3310" t="s">
        <v>2367</v>
      </c>
      <c r="H6" s="3311"/>
      <c r="I6" s="3310" t="s">
        <v>2367</v>
      </c>
      <c r="J6" s="3311"/>
      <c r="K6" s="567" t="s">
        <v>2368</v>
      </c>
      <c r="L6" s="2946"/>
      <c r="M6" s="2947"/>
      <c r="N6" s="2947"/>
      <c r="O6" s="2947"/>
      <c r="P6" s="3301"/>
      <c r="Q6" s="3302"/>
      <c r="R6" s="3305"/>
      <c r="S6" s="3306"/>
      <c r="T6" s="3307"/>
      <c r="U6" s="3308"/>
      <c r="V6" s="3309"/>
      <c r="W6" s="3309"/>
      <c r="X6" s="1541"/>
      <c r="Y6" s="3307"/>
      <c r="Z6" s="3308"/>
      <c r="AA6" s="3292"/>
      <c r="AB6" s="3292"/>
      <c r="AC6" s="3292"/>
    </row>
    <row r="7" spans="1:30" s="113" customFormat="1" ht="15.75" thickBot="1">
      <c r="A7" s="368" t="s">
        <v>2369</v>
      </c>
      <c r="B7" s="369"/>
      <c r="C7" s="370">
        <f>'数据-取费表'!B2</f>
        <v>44562</v>
      </c>
      <c r="D7" s="371">
        <v>100</v>
      </c>
      <c r="E7" s="372" t="str">
        <f>土地案例!$AA$4</f>
        <v>2020-08-03</v>
      </c>
      <c r="F7" s="373">
        <f>SUMIF(70:70,YEAR(E7)&amp;"-"&amp;INT((MONTH(E7)+2)/3),71:71)</f>
        <v>97</v>
      </c>
      <c r="G7" s="2162" t="str">
        <f>土地案例!$AA$6</f>
        <v>2020-04-29</v>
      </c>
      <c r="H7" s="371">
        <f>SUMIF(70:70,YEAR(G7)&amp;"-"&amp;INT((MONTH(G7)+2)/3),71:71)</f>
        <v>96.5</v>
      </c>
      <c r="I7" s="2162" t="str">
        <f>土地案例!$AA$9</f>
        <v>2020-02-18</v>
      </c>
      <c r="J7" s="371">
        <f>SUMIF(70:70,YEAR(I7)&amp;"-"&amp;INT((MONTH(I7)+2)/3),71:71)</f>
        <v>96</v>
      </c>
      <c r="K7" s="568"/>
      <c r="L7" s="2948"/>
      <c r="M7" s="2949"/>
      <c r="N7" s="2949"/>
      <c r="O7" s="2949"/>
      <c r="P7" s="3314" t="s">
        <v>2370</v>
      </c>
      <c r="Q7" s="3316"/>
      <c r="R7" s="710" t="s">
        <v>17</v>
      </c>
      <c r="S7" s="711">
        <f t="shared" ref="S7:S15" si="0">F7</f>
        <v>97</v>
      </c>
      <c r="T7" s="710" t="s">
        <v>17</v>
      </c>
      <c r="U7" s="711">
        <f t="shared" ref="U7:U15" si="1">H7</f>
        <v>96.5</v>
      </c>
      <c r="V7" s="710" t="s">
        <v>17</v>
      </c>
      <c r="W7" s="711">
        <f t="shared" ref="W7:W15" si="2">J7</f>
        <v>96</v>
      </c>
      <c r="X7" s="712"/>
      <c r="Y7" s="3314" t="s">
        <v>2370</v>
      </c>
      <c r="Z7" s="3315"/>
      <c r="AA7" s="713">
        <f>D7/F7</f>
        <v>1.0309278350515463</v>
      </c>
      <c r="AB7" s="713">
        <f>D7/H7</f>
        <v>1.0362694300518134</v>
      </c>
      <c r="AC7" s="713">
        <f>D7/J7</f>
        <v>1.0416666666666667</v>
      </c>
    </row>
    <row r="8" spans="1:30" s="113" customFormat="1" ht="15.75" thickBot="1">
      <c r="A8" s="368" t="s">
        <v>2371</v>
      </c>
      <c r="B8" s="369"/>
      <c r="C8" s="374" t="s">
        <v>2372</v>
      </c>
      <c r="D8" s="371">
        <v>100</v>
      </c>
      <c r="E8" s="374" t="s">
        <v>2372</v>
      </c>
      <c r="F8" s="373">
        <f>SUMIF(73:73,E8,74:74)-SUMIF(73:73,C8,74:74)+100</f>
        <v>100</v>
      </c>
      <c r="G8" s="374" t="s">
        <v>2372</v>
      </c>
      <c r="H8" s="371">
        <f>SUMIF(73:73,G8,74:74)-SUMIF(73:73,C8,74:74)+100</f>
        <v>100</v>
      </c>
      <c r="I8" s="374" t="s">
        <v>2372</v>
      </c>
      <c r="J8" s="371">
        <f>SUMIF(73:73,I8,74:74)-SUMIF(73:73,C8,74:74)+100</f>
        <v>100</v>
      </c>
      <c r="K8" s="568"/>
      <c r="L8" s="2948"/>
      <c r="M8" s="2949"/>
      <c r="N8" s="2949"/>
      <c r="O8" s="2949"/>
      <c r="P8" s="3314" t="s">
        <v>2373</v>
      </c>
      <c r="Q8" s="3315"/>
      <c r="R8" s="710" t="s">
        <v>17</v>
      </c>
      <c r="S8" s="711">
        <f t="shared" si="0"/>
        <v>100</v>
      </c>
      <c r="T8" s="710" t="s">
        <v>17</v>
      </c>
      <c r="U8" s="711">
        <f t="shared" si="1"/>
        <v>100</v>
      </c>
      <c r="V8" s="710" t="s">
        <v>17</v>
      </c>
      <c r="W8" s="711">
        <f t="shared" si="2"/>
        <v>100</v>
      </c>
      <c r="X8" s="712"/>
      <c r="Y8" s="3314" t="s">
        <v>2373</v>
      </c>
      <c r="Z8" s="3315"/>
      <c r="AA8" s="713">
        <f t="shared" ref="AA8:AA45" si="3">D8/F8</f>
        <v>1</v>
      </c>
      <c r="AB8" s="713">
        <f t="shared" ref="AB8:AB45" si="4">D8/H8</f>
        <v>1</v>
      </c>
      <c r="AC8" s="713">
        <f t="shared" ref="AC8:AC45" si="5">D8/J8</f>
        <v>1</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278"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101</v>
      </c>
      <c r="G10" s="422"/>
      <c r="H10" s="132">
        <f>ROUND(100/'数据-取费表'!G16,0)</f>
        <v>101</v>
      </c>
      <c r="I10" s="422"/>
      <c r="J10" s="132">
        <f>ROUND(100/'数据-取费表'!G16,0)</f>
        <v>101</v>
      </c>
      <c r="K10" s="628"/>
      <c r="L10" s="2950"/>
      <c r="M10" s="2951"/>
      <c r="N10" s="2951"/>
      <c r="O10" s="3004"/>
      <c r="P10" s="3278"/>
      <c r="Q10" s="1529" t="str">
        <f t="shared" si="6"/>
        <v>土地使用年限（年）</v>
      </c>
      <c r="R10" s="710" t="s">
        <v>17</v>
      </c>
      <c r="S10" s="711">
        <f t="shared" si="0"/>
        <v>101</v>
      </c>
      <c r="T10" s="710" t="s">
        <v>17</v>
      </c>
      <c r="U10" s="711">
        <f t="shared" si="1"/>
        <v>101</v>
      </c>
      <c r="V10" s="710" t="s">
        <v>17</v>
      </c>
      <c r="W10" s="711">
        <f t="shared" si="2"/>
        <v>101</v>
      </c>
      <c r="X10" s="712"/>
      <c r="Y10" s="3148"/>
      <c r="Z10" s="55" t="str">
        <f t="shared" si="7"/>
        <v>土地使用年限（年）</v>
      </c>
      <c r="AA10" s="713">
        <f t="shared" si="3"/>
        <v>0.99009900990099009</v>
      </c>
      <c r="AB10" s="713">
        <f t="shared" si="4"/>
        <v>0.99009900990099009</v>
      </c>
      <c r="AC10" s="713">
        <f t="shared" si="5"/>
        <v>0.99009900990099009</v>
      </c>
    </row>
    <row r="11" spans="1:30" ht="15">
      <c r="A11" s="387"/>
      <c r="B11" s="381" t="s">
        <v>2379</v>
      </c>
      <c r="C11" s="388">
        <v>2.2000000000000002</v>
      </c>
      <c r="D11" s="132">
        <v>100</v>
      </c>
      <c r="E11" s="388">
        <v>2.5</v>
      </c>
      <c r="F11" s="132">
        <f>LOOKUP(E11,80:80,81:81)-LOOKUP(C11,80:80,81:81)+100</f>
        <v>100</v>
      </c>
      <c r="G11" s="389">
        <v>2.1</v>
      </c>
      <c r="H11" s="132">
        <f>LOOKUP(G11,80:80,81:81)-LOOKUP(C11,80:80,81:81)+100</f>
        <v>100</v>
      </c>
      <c r="I11" s="388">
        <v>2.5</v>
      </c>
      <c r="J11" s="132">
        <f>LOOKUP(I11,80:80,81:81)-LOOKUP(C11,80:80,81:81)+100</f>
        <v>100</v>
      </c>
      <c r="K11" s="629"/>
      <c r="L11" s="2952"/>
      <c r="M11" s="2947"/>
      <c r="N11" s="2947"/>
      <c r="O11" s="3005"/>
      <c r="P11" s="3278"/>
      <c r="Q11" s="1529" t="str">
        <f t="shared" si="6"/>
        <v>容积率</v>
      </c>
      <c r="R11" s="710" t="s">
        <v>17</v>
      </c>
      <c r="S11" s="711">
        <f t="shared" si="0"/>
        <v>100</v>
      </c>
      <c r="T11" s="710" t="s">
        <v>17</v>
      </c>
      <c r="U11" s="711">
        <f t="shared" si="1"/>
        <v>100</v>
      </c>
      <c r="V11" s="710" t="s">
        <v>17</v>
      </c>
      <c r="W11" s="711">
        <f t="shared" si="2"/>
        <v>100</v>
      </c>
      <c r="X11" s="712"/>
      <c r="Y11" s="3148"/>
      <c r="Z11" s="55" t="str">
        <f t="shared" si="7"/>
        <v>容积率</v>
      </c>
      <c r="AA11" s="713">
        <f t="shared" si="3"/>
        <v>1</v>
      </c>
      <c r="AB11" s="713">
        <f t="shared" si="4"/>
        <v>1</v>
      </c>
      <c r="AC11" s="713">
        <f t="shared" si="5"/>
        <v>1</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278"/>
      <c r="Q12" s="1529" t="str">
        <f t="shared" si="6"/>
        <v>配建</v>
      </c>
      <c r="R12" s="710" t="s">
        <v>17</v>
      </c>
      <c r="S12" s="711">
        <f t="shared" si="0"/>
        <v>100</v>
      </c>
      <c r="T12" s="710" t="s">
        <v>17</v>
      </c>
      <c r="U12" s="711">
        <f t="shared" si="1"/>
        <v>100</v>
      </c>
      <c r="V12" s="710" t="s">
        <v>17</v>
      </c>
      <c r="W12" s="711">
        <f t="shared" si="2"/>
        <v>100</v>
      </c>
      <c r="X12" s="712"/>
      <c r="Y12" s="3148"/>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278"/>
      <c r="Q13" s="1529">
        <f t="shared" si="6"/>
        <v>111</v>
      </c>
      <c r="R13" s="710" t="s">
        <v>17</v>
      </c>
      <c r="S13" s="711">
        <f t="shared" si="0"/>
        <v>100</v>
      </c>
      <c r="T13" s="710" t="s">
        <v>17</v>
      </c>
      <c r="U13" s="711">
        <f t="shared" si="1"/>
        <v>100</v>
      </c>
      <c r="V13" s="710" t="s">
        <v>17</v>
      </c>
      <c r="W13" s="711">
        <f t="shared" si="2"/>
        <v>100</v>
      </c>
      <c r="X13" s="712"/>
      <c r="Y13" s="3148"/>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278"/>
      <c r="Q14" s="1529">
        <f t="shared" si="6"/>
        <v>111</v>
      </c>
      <c r="R14" s="710" t="s">
        <v>17</v>
      </c>
      <c r="S14" s="711">
        <f t="shared" si="0"/>
        <v>100</v>
      </c>
      <c r="T14" s="710" t="s">
        <v>17</v>
      </c>
      <c r="U14" s="711">
        <f t="shared" si="1"/>
        <v>100</v>
      </c>
      <c r="V14" s="710" t="s">
        <v>17</v>
      </c>
      <c r="W14" s="711">
        <f t="shared" si="2"/>
        <v>100</v>
      </c>
      <c r="X14" s="712"/>
      <c r="Y14" s="3148"/>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280" t="s">
        <v>2381</v>
      </c>
      <c r="Q15" s="1538" t="str">
        <f t="shared" si="6"/>
        <v>居住社区成熟度</v>
      </c>
      <c r="R15" s="714" t="s">
        <v>17</v>
      </c>
      <c r="S15" s="715">
        <f t="shared" si="0"/>
        <v>100</v>
      </c>
      <c r="T15" s="714" t="s">
        <v>17</v>
      </c>
      <c r="U15" s="715">
        <f t="shared" si="1"/>
        <v>100</v>
      </c>
      <c r="V15" s="714" t="s">
        <v>17</v>
      </c>
      <c r="W15" s="715">
        <f t="shared" si="2"/>
        <v>100</v>
      </c>
      <c r="X15" s="1541"/>
      <c r="Y15" s="3280"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281"/>
      <c r="Q17" s="1538" t="str">
        <f>B17</f>
        <v>商业繁华度</v>
      </c>
      <c r="R17" s="714" t="s">
        <v>17</v>
      </c>
      <c r="S17" s="715">
        <f>F17</f>
        <v>100</v>
      </c>
      <c r="T17" s="714" t="s">
        <v>17</v>
      </c>
      <c r="U17" s="715">
        <f>H17</f>
        <v>100</v>
      </c>
      <c r="V17" s="714" t="s">
        <v>17</v>
      </c>
      <c r="W17" s="715">
        <f>J17</f>
        <v>100</v>
      </c>
      <c r="X17" s="1541"/>
      <c r="Y17" s="3281"/>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281"/>
      <c r="Q19" s="1538" t="str">
        <f>B19</f>
        <v>办公集聚程度</v>
      </c>
      <c r="R19" s="714" t="s">
        <v>17</v>
      </c>
      <c r="S19" s="715">
        <f>F19</f>
        <v>100</v>
      </c>
      <c r="T19" s="714" t="s">
        <v>17</v>
      </c>
      <c r="U19" s="715">
        <f>H19</f>
        <v>100</v>
      </c>
      <c r="V19" s="714" t="s">
        <v>17</v>
      </c>
      <c r="W19" s="715">
        <f>J19</f>
        <v>100</v>
      </c>
      <c r="X19" s="1541"/>
      <c r="Y19" s="3281"/>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281"/>
      <c r="Q20" s="1538"/>
      <c r="R20" s="714"/>
      <c r="S20" s="715"/>
      <c r="T20" s="714"/>
      <c r="U20" s="715"/>
      <c r="V20" s="714"/>
      <c r="W20" s="715"/>
      <c r="X20" s="1541"/>
      <c r="Y20" s="3281"/>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281"/>
      <c r="Q21" s="1538" t="str">
        <f>B21</f>
        <v>交通便捷度</v>
      </c>
      <c r="R21" s="714" t="s">
        <v>17</v>
      </c>
      <c r="S21" s="715">
        <f>F21</f>
        <v>100</v>
      </c>
      <c r="T21" s="714" t="s">
        <v>17</v>
      </c>
      <c r="U21" s="715">
        <f>H21</f>
        <v>100</v>
      </c>
      <c r="V21" s="714" t="s">
        <v>17</v>
      </c>
      <c r="W21" s="715">
        <f>J21</f>
        <v>100</v>
      </c>
      <c r="X21" s="1541"/>
      <c r="Y21" s="3281"/>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281"/>
      <c r="Q23" s="1538" t="str">
        <f t="shared" ref="Q23:Q37" si="8">B23</f>
        <v>区域土地利用方向</v>
      </c>
      <c r="R23" s="714" t="s">
        <v>17</v>
      </c>
      <c r="S23" s="715">
        <f>F23</f>
        <v>100</v>
      </c>
      <c r="T23" s="714" t="s">
        <v>17</v>
      </c>
      <c r="U23" s="715">
        <f>H23</f>
        <v>100</v>
      </c>
      <c r="V23" s="714" t="s">
        <v>17</v>
      </c>
      <c r="W23" s="715">
        <f>J23</f>
        <v>100</v>
      </c>
      <c r="X23" s="1541"/>
      <c r="Y23" s="3281"/>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281"/>
      <c r="Q24" s="1538"/>
      <c r="R24" s="714"/>
      <c r="S24" s="715"/>
      <c r="T24" s="714"/>
      <c r="U24" s="715"/>
      <c r="V24" s="714"/>
      <c r="W24" s="715"/>
      <c r="X24" s="1541"/>
      <c r="Y24" s="3281"/>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281"/>
      <c r="Q25" s="1538" t="str">
        <f t="shared" si="8"/>
        <v>自然及人文环境状况</v>
      </c>
      <c r="R25" s="714" t="s">
        <v>17</v>
      </c>
      <c r="S25" s="715">
        <f>F25</f>
        <v>100</v>
      </c>
      <c r="T25" s="714" t="s">
        <v>17</v>
      </c>
      <c r="U25" s="715">
        <f>H25</f>
        <v>100</v>
      </c>
      <c r="V25" s="714" t="s">
        <v>17</v>
      </c>
      <c r="W25" s="715">
        <f>J25</f>
        <v>100</v>
      </c>
      <c r="X25" s="1541"/>
      <c r="Y25" s="3281"/>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281"/>
      <c r="Q26" s="1538"/>
      <c r="R26" s="714"/>
      <c r="S26" s="715"/>
      <c r="T26" s="714"/>
      <c r="U26" s="715"/>
      <c r="V26" s="714"/>
      <c r="W26" s="715"/>
      <c r="X26" s="1541"/>
      <c r="Y26" s="3281"/>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281"/>
      <c r="Q27" s="1529" t="str">
        <f t="shared" si="8"/>
        <v>公共配套设施</v>
      </c>
      <c r="R27" s="710" t="s">
        <v>17</v>
      </c>
      <c r="S27" s="711">
        <f>F27</f>
        <v>100</v>
      </c>
      <c r="T27" s="710" t="s">
        <v>17</v>
      </c>
      <c r="U27" s="711">
        <f>H27</f>
        <v>100</v>
      </c>
      <c r="V27" s="710" t="s">
        <v>17</v>
      </c>
      <c r="W27" s="711">
        <f>J27</f>
        <v>100</v>
      </c>
      <c r="X27" s="712"/>
      <c r="Y27" s="3281"/>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281"/>
      <c r="Q28" s="1529"/>
      <c r="R28" s="710"/>
      <c r="S28" s="711"/>
      <c r="T28" s="710"/>
      <c r="U28" s="711"/>
      <c r="V28" s="710"/>
      <c r="W28" s="711"/>
      <c r="X28" s="712"/>
      <c r="Y28" s="3281"/>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281"/>
      <c r="Q29" s="1529" t="str">
        <f t="shared" ref="Q29" si="9">B29</f>
        <v>基础设施水平</v>
      </c>
      <c r="R29" s="710" t="s">
        <v>17</v>
      </c>
      <c r="S29" s="711">
        <f>F29</f>
        <v>100</v>
      </c>
      <c r="T29" s="710" t="s">
        <v>17</v>
      </c>
      <c r="U29" s="711">
        <f>H29</f>
        <v>100</v>
      </c>
      <c r="V29" s="710" t="s">
        <v>17</v>
      </c>
      <c r="W29" s="711">
        <f>J29</f>
        <v>100</v>
      </c>
      <c r="X29" s="712"/>
      <c r="Y29" s="3281"/>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281"/>
      <c r="Q30" s="1529"/>
      <c r="R30" s="710"/>
      <c r="S30" s="711"/>
      <c r="T30" s="710"/>
      <c r="U30" s="711"/>
      <c r="V30" s="710"/>
      <c r="W30" s="711"/>
      <c r="X30" s="712"/>
      <c r="Y30" s="3281"/>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281"/>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81"/>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281"/>
      <c r="Q32" s="1538" t="str">
        <f t="shared" si="8"/>
        <v>毗邻道路的类型与等级</v>
      </c>
      <c r="R32" s="714" t="s">
        <v>17</v>
      </c>
      <c r="S32" s="715">
        <f t="shared" si="10"/>
        <v>100</v>
      </c>
      <c r="T32" s="714" t="s">
        <v>17</v>
      </c>
      <c r="U32" s="715">
        <f t="shared" si="11"/>
        <v>100</v>
      </c>
      <c r="V32" s="714" t="s">
        <v>17</v>
      </c>
      <c r="W32" s="715">
        <f t="shared" si="12"/>
        <v>100</v>
      </c>
      <c r="X32" s="1541"/>
      <c r="Y32" s="3281"/>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281"/>
      <c r="Q33" s="1538"/>
      <c r="R33" s="714"/>
      <c r="S33" s="715"/>
      <c r="T33" s="714"/>
      <c r="U33" s="715"/>
      <c r="V33" s="714"/>
      <c r="W33" s="715"/>
      <c r="X33" s="1541"/>
      <c r="Y33" s="3281"/>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281"/>
      <c r="Q34" s="1538" t="str">
        <f t="shared" si="8"/>
        <v>土地级别</v>
      </c>
      <c r="R34" s="714" t="s">
        <v>17</v>
      </c>
      <c r="S34" s="715">
        <f t="shared" si="10"/>
        <v>100</v>
      </c>
      <c r="T34" s="714" t="s">
        <v>17</v>
      </c>
      <c r="U34" s="715">
        <f t="shared" si="11"/>
        <v>100</v>
      </c>
      <c r="V34" s="714" t="s">
        <v>17</v>
      </c>
      <c r="W34" s="715">
        <f t="shared" si="12"/>
        <v>100</v>
      </c>
      <c r="X34" s="1541"/>
      <c r="Y34" s="3281"/>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281"/>
      <c r="Q35" s="1538">
        <f t="shared" si="8"/>
        <v>111</v>
      </c>
      <c r="R35" s="714" t="s">
        <v>17</v>
      </c>
      <c r="S35" s="715">
        <f t="shared" si="10"/>
        <v>100</v>
      </c>
      <c r="T35" s="714" t="s">
        <v>17</v>
      </c>
      <c r="U35" s="715">
        <f t="shared" si="11"/>
        <v>100</v>
      </c>
      <c r="V35" s="714" t="s">
        <v>17</v>
      </c>
      <c r="W35" s="715">
        <f t="shared" si="12"/>
        <v>100</v>
      </c>
      <c r="X35" s="1541"/>
      <c r="Y35" s="3281"/>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336" t="s">
        <v>2386</v>
      </c>
      <c r="Q36" s="1538">
        <f t="shared" si="8"/>
        <v>111</v>
      </c>
      <c r="R36" s="714" t="s">
        <v>17</v>
      </c>
      <c r="S36" s="715">
        <f t="shared" si="10"/>
        <v>100</v>
      </c>
      <c r="T36" s="714" t="s">
        <v>17</v>
      </c>
      <c r="U36" s="715">
        <f t="shared" si="11"/>
        <v>100</v>
      </c>
      <c r="V36" s="714" t="s">
        <v>17</v>
      </c>
      <c r="W36" s="715">
        <f t="shared" si="12"/>
        <v>100</v>
      </c>
      <c r="X36" s="1541"/>
      <c r="Y36" s="3285"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285"/>
      <c r="Q37" s="1538">
        <f t="shared" si="8"/>
        <v>111</v>
      </c>
      <c r="R37" s="717" t="s">
        <v>17</v>
      </c>
      <c r="S37" s="718">
        <f t="shared" si="10"/>
        <v>100</v>
      </c>
      <c r="T37" s="717" t="s">
        <v>17</v>
      </c>
      <c r="U37" s="718">
        <f t="shared" si="11"/>
        <v>100</v>
      </c>
      <c r="V37" s="717" t="s">
        <v>17</v>
      </c>
      <c r="W37" s="718">
        <f t="shared" si="12"/>
        <v>100</v>
      </c>
      <c r="X37" s="719"/>
      <c r="Y37" s="3285"/>
      <c r="Z37" s="720">
        <f t="shared" si="13"/>
        <v>111</v>
      </c>
      <c r="AA37" s="1539">
        <f t="shared" si="3"/>
        <v>1</v>
      </c>
      <c r="AB37" s="1539">
        <f t="shared" si="4"/>
        <v>1</v>
      </c>
      <c r="AC37" s="1539">
        <f t="shared" si="5"/>
        <v>1</v>
      </c>
    </row>
    <row r="38" spans="1:29" ht="15">
      <c r="A38" s="431" t="s">
        <v>2384</v>
      </c>
      <c r="B38" s="415" t="s">
        <v>2572</v>
      </c>
      <c r="C38" s="635">
        <f>'数据-基础表'!A3</f>
        <v>147284.36000000002</v>
      </c>
      <c r="D38" s="426">
        <v>100</v>
      </c>
      <c r="E38" s="635">
        <f>土地案例!$J$4</f>
        <v>85128.1</v>
      </c>
      <c r="F38" s="426">
        <f>LOOKUP(E38,117:117,118:118)-LOOKUP(C38,117:117,118:118)+100</f>
        <v>98</v>
      </c>
      <c r="G38" s="635">
        <f>土地案例!$J$6</f>
        <v>45081.99</v>
      </c>
      <c r="H38" s="426">
        <f>LOOKUP(G38,117:117,118:118)-LOOKUP(C38,117:117,118:118)+100</f>
        <v>96</v>
      </c>
      <c r="I38" s="487">
        <f>土地案例!$J$9</f>
        <v>78681.47</v>
      </c>
      <c r="J38" s="426">
        <f>LOOKUP(I38,117:117,118:118)-LOOKUP(C38,117:117,118:118)+100</f>
        <v>98</v>
      </c>
      <c r="K38" s="570"/>
      <c r="L38" s="2953"/>
      <c r="M38" s="2947"/>
      <c r="N38" s="2947"/>
      <c r="O38" s="3005"/>
      <c r="P38" s="3285"/>
      <c r="Q38" s="1538" t="str">
        <f>B38</f>
        <v>宗地面积</v>
      </c>
      <c r="R38" s="714" t="s">
        <v>17</v>
      </c>
      <c r="S38" s="715">
        <f t="shared" si="10"/>
        <v>98</v>
      </c>
      <c r="T38" s="714" t="s">
        <v>17</v>
      </c>
      <c r="U38" s="715">
        <f t="shared" si="11"/>
        <v>96</v>
      </c>
      <c r="V38" s="714" t="s">
        <v>17</v>
      </c>
      <c r="W38" s="715">
        <f t="shared" si="12"/>
        <v>98</v>
      </c>
      <c r="X38" s="1541"/>
      <c r="Y38" s="3285"/>
      <c r="Z38" s="1542" t="str">
        <f t="shared" si="13"/>
        <v>宗地面积</v>
      </c>
      <c r="AA38" s="1539">
        <f t="shared" si="3"/>
        <v>1.0204081632653061</v>
      </c>
      <c r="AB38" s="1539">
        <f t="shared" si="4"/>
        <v>1.0416666666666667</v>
      </c>
      <c r="AC38" s="1539">
        <f t="shared" si="5"/>
        <v>1.0204081632653061</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285"/>
      <c r="Q39" s="1538" t="str">
        <f t="shared" ref="Q39:Q45" si="14">B39</f>
        <v>宗地形状</v>
      </c>
      <c r="R39" s="714" t="s">
        <v>17</v>
      </c>
      <c r="S39" s="715">
        <f t="shared" si="10"/>
        <v>100</v>
      </c>
      <c r="T39" s="714" t="s">
        <v>17</v>
      </c>
      <c r="U39" s="715">
        <f t="shared" si="11"/>
        <v>100</v>
      </c>
      <c r="V39" s="714" t="s">
        <v>17</v>
      </c>
      <c r="W39" s="715">
        <f t="shared" si="12"/>
        <v>100</v>
      </c>
      <c r="X39" s="1541"/>
      <c r="Y39" s="3285"/>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285"/>
      <c r="Q40" s="1538" t="str">
        <f t="shared" si="14"/>
        <v>临街宽度及深度</v>
      </c>
      <c r="R40" s="714" t="s">
        <v>17</v>
      </c>
      <c r="S40" s="715">
        <f t="shared" si="10"/>
        <v>100</v>
      </c>
      <c r="T40" s="714" t="s">
        <v>17</v>
      </c>
      <c r="U40" s="715">
        <f t="shared" si="11"/>
        <v>100</v>
      </c>
      <c r="V40" s="714" t="s">
        <v>17</v>
      </c>
      <c r="W40" s="715">
        <f t="shared" si="12"/>
        <v>100</v>
      </c>
      <c r="X40" s="1541"/>
      <c r="Y40" s="3285"/>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285"/>
      <c r="Q41" s="1538" t="str">
        <f t="shared" si="14"/>
        <v>宗地开发程度</v>
      </c>
      <c r="R41" s="710" t="s">
        <v>17</v>
      </c>
      <c r="S41" s="711">
        <f t="shared" si="10"/>
        <v>100</v>
      </c>
      <c r="T41" s="710" t="s">
        <v>17</v>
      </c>
      <c r="U41" s="711">
        <f t="shared" si="11"/>
        <v>100</v>
      </c>
      <c r="V41" s="710" t="s">
        <v>17</v>
      </c>
      <c r="W41" s="711">
        <f t="shared" si="12"/>
        <v>100</v>
      </c>
      <c r="X41" s="712"/>
      <c r="Y41" s="3285"/>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285" t="s">
        <v>2386</v>
      </c>
      <c r="Q42" s="1538" t="str">
        <f t="shared" si="14"/>
        <v>工程地质条件</v>
      </c>
      <c r="R42" s="714" t="s">
        <v>17</v>
      </c>
      <c r="S42" s="715">
        <f t="shared" si="10"/>
        <v>100</v>
      </c>
      <c r="T42" s="714" t="s">
        <v>17</v>
      </c>
      <c r="U42" s="715">
        <f t="shared" si="11"/>
        <v>100</v>
      </c>
      <c r="V42" s="714" t="s">
        <v>17</v>
      </c>
      <c r="W42" s="715">
        <f t="shared" si="12"/>
        <v>100</v>
      </c>
      <c r="X42" s="1541"/>
      <c r="Y42" s="3285"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285"/>
      <c r="Q43" s="1538">
        <f t="shared" si="14"/>
        <v>111</v>
      </c>
      <c r="R43" s="714" t="s">
        <v>17</v>
      </c>
      <c r="S43" s="715">
        <f t="shared" si="10"/>
        <v>100</v>
      </c>
      <c r="T43" s="714" t="s">
        <v>17</v>
      </c>
      <c r="U43" s="715">
        <f t="shared" si="11"/>
        <v>100</v>
      </c>
      <c r="V43" s="714" t="s">
        <v>17</v>
      </c>
      <c r="W43" s="715">
        <f t="shared" si="12"/>
        <v>100</v>
      </c>
      <c r="X43" s="1541"/>
      <c r="Y43" s="3285"/>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285"/>
      <c r="Q44" s="1538">
        <f t="shared" si="14"/>
        <v>111</v>
      </c>
      <c r="R44" s="714" t="s">
        <v>17</v>
      </c>
      <c r="S44" s="715">
        <f t="shared" si="10"/>
        <v>100</v>
      </c>
      <c r="T44" s="714" t="s">
        <v>17</v>
      </c>
      <c r="U44" s="715">
        <f t="shared" si="11"/>
        <v>100</v>
      </c>
      <c r="V44" s="714" t="s">
        <v>17</v>
      </c>
      <c r="W44" s="715">
        <f t="shared" si="12"/>
        <v>100</v>
      </c>
      <c r="X44" s="1541"/>
      <c r="Y44" s="3285"/>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285"/>
      <c r="Q45" s="1538">
        <f t="shared" si="14"/>
        <v>111</v>
      </c>
      <c r="R45" s="717" t="s">
        <v>17</v>
      </c>
      <c r="S45" s="718">
        <f t="shared" si="10"/>
        <v>100</v>
      </c>
      <c r="T45" s="717" t="s">
        <v>17</v>
      </c>
      <c r="U45" s="718">
        <f t="shared" si="11"/>
        <v>100</v>
      </c>
      <c r="V45" s="717" t="s">
        <v>17</v>
      </c>
      <c r="W45" s="718">
        <f t="shared" si="12"/>
        <v>100</v>
      </c>
      <c r="X45" s="719"/>
      <c r="Y45" s="3285"/>
      <c r="Z45" s="720">
        <f t="shared" si="13"/>
        <v>111</v>
      </c>
      <c r="AA45" s="1539">
        <f t="shared" si="3"/>
        <v>1</v>
      </c>
      <c r="AB45" s="1539">
        <f t="shared" si="4"/>
        <v>1</v>
      </c>
      <c r="AC45" s="1539">
        <f t="shared" si="5"/>
        <v>1</v>
      </c>
    </row>
    <row r="46" spans="1:29" ht="15">
      <c r="A46" s="438" t="s">
        <v>2541</v>
      </c>
      <c r="B46" s="2170" t="s">
        <v>2577</v>
      </c>
      <c r="C46" s="638" t="s">
        <v>1</v>
      </c>
      <c r="D46" s="440"/>
      <c r="E46" s="441">
        <f>土地案例!$AL$4</f>
        <v>39211.050000000003</v>
      </c>
      <c r="F46" s="442"/>
      <c r="G46" s="443">
        <f>土地案例!$AL$6</f>
        <v>39504.81</v>
      </c>
      <c r="H46" s="444"/>
      <c r="I46" s="441">
        <f>土地案例!$AL$9</f>
        <v>35631.910000000003</v>
      </c>
      <c r="J46" s="444"/>
      <c r="K46" s="723"/>
      <c r="L46" s="2955"/>
      <c r="M46" s="2956"/>
      <c r="N46" s="2947"/>
      <c r="O46" s="2956"/>
      <c r="P46" s="3278" t="str">
        <f>A46</f>
        <v>成交单价</v>
      </c>
      <c r="Q46" s="3278"/>
      <c r="R46" s="3309">
        <f>E46</f>
        <v>39211.050000000003</v>
      </c>
      <c r="S46" s="3309"/>
      <c r="T46" s="3309">
        <f>G46</f>
        <v>39504.81</v>
      </c>
      <c r="U46" s="3309"/>
      <c r="V46" s="3309">
        <f>I46</f>
        <v>35631.910000000003</v>
      </c>
      <c r="W46" s="3309"/>
      <c r="X46" s="699"/>
      <c r="Y46" s="721"/>
      <c r="Z46" s="699"/>
      <c r="AA46" s="699"/>
      <c r="AB46" s="699"/>
      <c r="AC46" s="699"/>
    </row>
    <row r="47" spans="1:29" ht="15.75" thickBot="1">
      <c r="A47" s="445" t="s">
        <v>2490</v>
      </c>
      <c r="B47" s="639"/>
      <c r="C47" s="448">
        <f>R48</f>
        <v>40187</v>
      </c>
      <c r="D47" s="2540" t="s">
        <v>2881</v>
      </c>
      <c r="E47" s="448">
        <f>R47</f>
        <v>40840</v>
      </c>
      <c r="F47" s="2541"/>
      <c r="G47" s="447">
        <f>T47</f>
        <v>42221</v>
      </c>
      <c r="H47" s="2541"/>
      <c r="I47" s="448">
        <f>V47</f>
        <v>37499</v>
      </c>
      <c r="J47" s="2541"/>
      <c r="K47" s="2543">
        <f>F47+H47+J47</f>
        <v>0</v>
      </c>
      <c r="L47" s="2955"/>
      <c r="M47" s="2956"/>
      <c r="N47" s="2956"/>
      <c r="O47" s="2956"/>
      <c r="P47" s="3278" t="str">
        <f>A47</f>
        <v>比较价值（元/平方米）</v>
      </c>
      <c r="Q47" s="3278"/>
      <c r="R47" s="3338">
        <f>ROUND(PRODUCT(R46,AA7:AA45),0)</f>
        <v>40840</v>
      </c>
      <c r="S47" s="3338"/>
      <c r="T47" s="3338">
        <f>ROUND(PRODUCT(T46,AB7:AB45),0)</f>
        <v>42221</v>
      </c>
      <c r="U47" s="3338"/>
      <c r="V47" s="3338">
        <f>ROUND(PRODUCT(V46,AC7:AC45),0)</f>
        <v>37499</v>
      </c>
      <c r="W47" s="3338"/>
      <c r="X47" s="699"/>
      <c r="Y47" s="699"/>
      <c r="Z47" s="699"/>
      <c r="AA47" s="699"/>
      <c r="AB47" s="699"/>
      <c r="AC47" s="699"/>
    </row>
    <row r="48" spans="1:29" ht="15.75" thickBot="1">
      <c r="A48" s="449" t="s">
        <v>2578</v>
      </c>
      <c r="B48" s="450"/>
      <c r="C48" s="451">
        <f>R48</f>
        <v>40187</v>
      </c>
      <c r="D48" s="451"/>
      <c r="E48" s="451"/>
      <c r="F48" s="451"/>
      <c r="G48" s="451"/>
      <c r="H48" s="451"/>
      <c r="I48" s="451"/>
      <c r="J48" s="451"/>
      <c r="K48" s="724"/>
      <c r="L48" s="2955"/>
      <c r="M48" s="2956"/>
      <c r="N48" s="2956"/>
      <c r="O48" s="2956"/>
      <c r="P48" s="3275" t="str">
        <f>A48</f>
        <v>估价对象XX用房的比较价值（楼面单价，元/平方米）</v>
      </c>
      <c r="Q48" s="3276"/>
      <c r="R48" s="3339">
        <f>ROUND(IF(D47="简单平均",AVERAGE(R47:W47),R47*F47+T47*H47+V47*J47),0)</f>
        <v>40187</v>
      </c>
      <c r="S48" s="3339"/>
      <c r="T48" s="3339"/>
      <c r="U48" s="3339"/>
      <c r="V48" s="3339"/>
      <c r="W48" s="3339"/>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2492</v>
      </c>
      <c r="D51" s="455"/>
      <c r="E51" s="456">
        <f>IF(E46&lt;E47,E47/E46-1,E46/E47-1)</f>
        <v>4.1543136437305117E-2</v>
      </c>
      <c r="F51" s="457" t="str">
        <f>IF(OR(E51&gt;=0.3,E51&lt;=-0.3),"超过30%","")</f>
        <v/>
      </c>
      <c r="G51" s="456">
        <f>IF(G46&lt;G47,G47/G46-1,G46/G47-1)</f>
        <v>6.8755931239765644E-2</v>
      </c>
      <c r="H51" s="457" t="str">
        <f>IF(OR(G51&gt;=0.3,G51&lt;=-0.3),"超过30%","")</f>
        <v/>
      </c>
      <c r="I51" s="456">
        <f>IF(I46&lt;I47,I47/I46-1,I46/I47-1)</f>
        <v>5.2399380218461467E-2</v>
      </c>
      <c r="J51" s="457" t="str">
        <f>IF(OR(I51&gt;=0.3,I51&lt;=-0.3),"超过30%","")</f>
        <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2493</v>
      </c>
      <c r="D52" s="458"/>
      <c r="E52" s="456">
        <f>IF(E47&lt;G47,G47/E47-1,E47/G47-1)</f>
        <v>3.3814887365328117E-2</v>
      </c>
      <c r="F52" s="457" t="str">
        <f>IF(OR(E52&gt;=0.2,E52&lt;=-0.2),"超过20%","")</f>
        <v/>
      </c>
      <c r="G52" s="456">
        <f>IF(G47&lt;I47,I47/G47-1,G47/I47-1)</f>
        <v>0.12592335795621223</v>
      </c>
      <c r="H52" s="457" t="str">
        <f>IF(OR(G52&gt;=0.2,G52&lt;=-0.2),"超过20%","")</f>
        <v/>
      </c>
      <c r="I52" s="456">
        <f>IF(I47&lt;E47,E47/I47-1,I47/E47-1)</f>
        <v>8.9095709218912411E-2</v>
      </c>
      <c r="J52" s="457" t="str">
        <f>IF(OR(I52&gt;=0.2,I52&lt;=-0.2),"超过20%","")</f>
        <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2494</v>
      </c>
      <c r="D53" s="458"/>
      <c r="E53" s="456">
        <f>IF(E46&lt;G46,G46/E46-1,E46/G46-1)</f>
        <v>7.4917657140014526E-3</v>
      </c>
      <c r="F53" s="457" t="str">
        <f>IF(OR(E53&gt;=0.3,E53&lt;=-0.3),"超过30%","")</f>
        <v/>
      </c>
      <c r="G53" s="456">
        <f>IF(G46&lt;I46,I46/G46-1,G46/I46-1)</f>
        <v>0.10869190004128315</v>
      </c>
      <c r="H53" s="457" t="str">
        <f>IF(OR(G53&gt;=0.3,G53&lt;=-0.3),"超过30%","")</f>
        <v/>
      </c>
      <c r="I53" s="456">
        <f>IF(I46&lt;E46,E46/I46-1,I46/E46-1)</f>
        <v>0.1004476044085203</v>
      </c>
      <c r="J53" s="457" t="str">
        <f>IF(OR(I53&gt;=0.3,I53&lt;=-0.3),"超过30%","")</f>
        <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2579</v>
      </c>
      <c r="B55" s="641" t="s">
        <v>2580</v>
      </c>
      <c r="C55" s="2171" t="s">
        <v>2581</v>
      </c>
      <c r="D55" s="2172" t="s">
        <v>2582</v>
      </c>
      <c r="E55" s="642" t="s">
        <v>2583</v>
      </c>
      <c r="F55" s="1021" t="s">
        <v>2584</v>
      </c>
      <c r="G55" s="3293" t="s">
        <v>2585</v>
      </c>
      <c r="H55" s="3340"/>
      <c r="I55" s="140" t="s">
        <v>2586</v>
      </c>
      <c r="J55" s="2173">
        <f>项目基本情况!F35</f>
        <v>0</v>
      </c>
      <c r="K55" s="2174" t="s">
        <v>2587</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2588</v>
      </c>
      <c r="B56" s="645">
        <f>C48</f>
        <v>40187</v>
      </c>
      <c r="C56" s="646">
        <v>1</v>
      </c>
      <c r="D56" s="1075">
        <v>1</v>
      </c>
      <c r="E56" s="646">
        <f>'数据-汇总表'!E8+'数据-汇总表'!E9</f>
        <v>77547</v>
      </c>
      <c r="F56" s="1017">
        <f t="shared" ref="F56:F65" si="15">ROUND(B56*E56/10000,0)</f>
        <v>311638</v>
      </c>
      <c r="G56" s="3289"/>
      <c r="H56" s="3278"/>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2589</v>
      </c>
      <c r="B57" s="224">
        <f>ROUND($C$48*C57*D57,0)</f>
        <v>0</v>
      </c>
      <c r="C57" s="176">
        <f t="shared" ref="C57:C65" si="16">IF($C$55="北京市系数",I57,J57)</f>
        <v>0</v>
      </c>
      <c r="D57" s="1076">
        <v>0.25</v>
      </c>
      <c r="E57" s="650"/>
      <c r="F57" s="1017">
        <f t="shared" si="15"/>
        <v>0</v>
      </c>
      <c r="G57" s="3341" t="s">
        <v>2590</v>
      </c>
      <c r="H57" s="1018">
        <f>项目基本情况!B37</f>
        <v>0</v>
      </c>
      <c r="I57" s="1022">
        <f>SUMIF(修正!A45:A56,H57,修正!B45:B56)</f>
        <v>0</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2591</v>
      </c>
      <c r="B58" s="224">
        <f t="shared" ref="B58:B65" si="17">ROUND($C$48*C58*D58,0)</f>
        <v>0</v>
      </c>
      <c r="C58" s="176">
        <f t="shared" si="16"/>
        <v>0</v>
      </c>
      <c r="D58" s="1076">
        <v>0.25</v>
      </c>
      <c r="E58" s="650"/>
      <c r="F58" s="1017">
        <f t="shared" si="15"/>
        <v>0</v>
      </c>
      <c r="G58" s="3341"/>
      <c r="H58" s="1018">
        <f>项目基本情况!B37</f>
        <v>0</v>
      </c>
      <c r="I58" s="1022">
        <f>SUMIF(修正!A45:A56,H58,修正!C45:C56)</f>
        <v>0</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2592</v>
      </c>
      <c r="B59" s="224">
        <f t="shared" si="17"/>
        <v>0</v>
      </c>
      <c r="C59" s="176">
        <f t="shared" si="16"/>
        <v>0</v>
      </c>
      <c r="D59" s="1076">
        <v>0.25</v>
      </c>
      <c r="E59" s="650"/>
      <c r="F59" s="1017">
        <f t="shared" si="15"/>
        <v>0</v>
      </c>
      <c r="G59" s="3341"/>
      <c r="H59" s="1018">
        <f>项目基本情况!B37</f>
        <v>0</v>
      </c>
      <c r="I59" s="1022">
        <f>SUMIF(修正!A45:A56,H59,修正!D45:D56)</f>
        <v>0</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2593</v>
      </c>
      <c r="B60" s="224">
        <f t="shared" si="17"/>
        <v>0</v>
      </c>
      <c r="C60" s="176">
        <f t="shared" si="16"/>
        <v>0</v>
      </c>
      <c r="D60" s="1076">
        <v>0.25</v>
      </c>
      <c r="E60" s="650"/>
      <c r="F60" s="1017">
        <f t="shared" si="15"/>
        <v>0</v>
      </c>
      <c r="G60" s="3341"/>
      <c r="H60" s="1018">
        <f>项目基本情况!B37</f>
        <v>0</v>
      </c>
      <c r="I60" s="1022">
        <f>SUMIF(修正!A45:A56,H60,修正!E45:E56)</f>
        <v>0</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2594</v>
      </c>
      <c r="B61" s="224">
        <f t="shared" si="17"/>
        <v>0</v>
      </c>
      <c r="C61" s="176">
        <f t="shared" si="16"/>
        <v>0</v>
      </c>
      <c r="D61" s="1076">
        <v>0.25</v>
      </c>
      <c r="E61" s="223">
        <f>'数据-汇总表'!E11</f>
        <v>0</v>
      </c>
      <c r="F61" s="1017">
        <f t="shared" si="15"/>
        <v>0</v>
      </c>
      <c r="G61" s="2175" t="s">
        <v>2595</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2596</v>
      </c>
      <c r="B62" s="224">
        <f t="shared" si="17"/>
        <v>0</v>
      </c>
      <c r="C62" s="176">
        <f t="shared" si="16"/>
        <v>0</v>
      </c>
      <c r="D62" s="1076">
        <v>0.25</v>
      </c>
      <c r="E62" s="223">
        <f>'数据-汇总表'!E12</f>
        <v>0</v>
      </c>
      <c r="F62" s="1017">
        <f t="shared" si="15"/>
        <v>0</v>
      </c>
      <c r="G62" s="1023" t="s">
        <v>2597</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2598</v>
      </c>
      <c r="B63" s="224">
        <f t="shared" si="17"/>
        <v>0</v>
      </c>
      <c r="C63" s="176">
        <f t="shared" si="16"/>
        <v>0</v>
      </c>
      <c r="D63" s="1076">
        <v>0.25</v>
      </c>
      <c r="E63" s="223">
        <f>'数据-汇总表'!E13</f>
        <v>0</v>
      </c>
      <c r="F63" s="1017">
        <f t="shared" si="15"/>
        <v>0</v>
      </c>
      <c r="G63" s="1023" t="s">
        <v>2599</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2600</v>
      </c>
      <c r="B64" s="224">
        <f t="shared" si="17"/>
        <v>0</v>
      </c>
      <c r="C64" s="176">
        <f t="shared" si="16"/>
        <v>0</v>
      </c>
      <c r="D64" s="1076">
        <v>0.25</v>
      </c>
      <c r="E64" s="223">
        <f>'数据-汇总表'!E14</f>
        <v>0</v>
      </c>
      <c r="F64" s="1017">
        <f t="shared" si="15"/>
        <v>0</v>
      </c>
      <c r="G64" s="2175" t="s">
        <v>2590</v>
      </c>
      <c r="H64" s="1018">
        <f>项目基本情况!B37</f>
        <v>0</v>
      </c>
      <c r="I64" s="1022">
        <f>SUMIF(修正!A45:A56,H64,修正!H45:H56)</f>
        <v>0</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2601</v>
      </c>
      <c r="B65" s="224">
        <f t="shared" si="17"/>
        <v>0</v>
      </c>
      <c r="C65" s="176">
        <f t="shared" si="16"/>
        <v>0</v>
      </c>
      <c r="D65" s="1076">
        <v>0.25</v>
      </c>
      <c r="E65" s="223">
        <f>'数据-汇总表'!E15</f>
        <v>0</v>
      </c>
      <c r="F65" s="1017">
        <f t="shared" si="15"/>
        <v>0</v>
      </c>
      <c r="G65" s="2176" t="s">
        <v>2595</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2602</v>
      </c>
      <c r="B66" s="652" t="s">
        <v>28</v>
      </c>
      <c r="C66" s="652" t="s">
        <v>29</v>
      </c>
      <c r="D66" s="652" t="s">
        <v>997</v>
      </c>
      <c r="E66" s="652">
        <f>IF(B46="楼面地价",SUM(E56:E65),'数据-汇总表'!D3)</f>
        <v>77547</v>
      </c>
      <c r="F66" s="653">
        <f>IF(B46="楼面地价",SUM(F56:F65),ROUND(C48*E66/10000,0))</f>
        <v>311638</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2022-1-1</v>
      </c>
      <c r="D68" s="701">
        <f>EDATE(C68,-3)</f>
        <v>44470</v>
      </c>
      <c r="E68" s="701">
        <f>EDATE(D68,-3)</f>
        <v>44378</v>
      </c>
      <c r="F68" s="701">
        <f t="shared" ref="F68:O68" si="18">EDATE(E68,-3)</f>
        <v>44287</v>
      </c>
      <c r="G68" s="701">
        <f t="shared" si="18"/>
        <v>44197</v>
      </c>
      <c r="H68" s="701">
        <f t="shared" si="18"/>
        <v>44105</v>
      </c>
      <c r="I68" s="701">
        <f t="shared" si="18"/>
        <v>44013</v>
      </c>
      <c r="J68" s="701">
        <f t="shared" si="18"/>
        <v>43922</v>
      </c>
      <c r="K68" s="701">
        <f t="shared" si="18"/>
        <v>43831</v>
      </c>
      <c r="L68" s="701">
        <f t="shared" si="18"/>
        <v>43739</v>
      </c>
      <c r="M68" s="701">
        <f t="shared" si="18"/>
        <v>43647</v>
      </c>
      <c r="N68" s="701">
        <f t="shared" si="18"/>
        <v>43556</v>
      </c>
      <c r="O68" s="701">
        <f t="shared" si="18"/>
        <v>43466</v>
      </c>
      <c r="P68" s="2956"/>
      <c r="Q68" s="2956"/>
      <c r="R68" s="2956"/>
      <c r="S68" s="2956"/>
      <c r="T68" s="2956"/>
      <c r="U68" s="2956"/>
      <c r="V68" s="2956"/>
      <c r="W68" s="2956"/>
      <c r="X68" s="2956"/>
      <c r="Y68" s="2956"/>
      <c r="Z68" s="2956"/>
      <c r="AA68" s="2956"/>
      <c r="AB68" s="2956"/>
      <c r="AC68" s="2956"/>
    </row>
    <row r="69" spans="1:29" ht="21.75" thickBot="1">
      <c r="A69" s="703" t="s">
        <v>2495</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2603</v>
      </c>
      <c r="B70" s="1269"/>
      <c r="C70" s="1344" t="str">
        <f>YEAR(C68)&amp;"-"&amp;ROUNDUP(MONTH(C68)/3,0)</f>
        <v>2022-1</v>
      </c>
      <c r="D70" s="1344" t="str">
        <f>YEAR(D68)&amp;"-"&amp;ROUNDUP(MONTH(D68)/3,0)</f>
        <v>2021-4</v>
      </c>
      <c r="E70" s="1344" t="str">
        <f t="shared" ref="E70:O70" si="19">YEAR(E68)&amp;"-"&amp;ROUNDUP(MONTH(E68)/3,0)</f>
        <v>2021-3</v>
      </c>
      <c r="F70" s="1344" t="str">
        <f t="shared" si="19"/>
        <v>2021-2</v>
      </c>
      <c r="G70" s="1344" t="str">
        <f t="shared" si="19"/>
        <v>2021-1</v>
      </c>
      <c r="H70" s="1344" t="str">
        <f t="shared" si="19"/>
        <v>2020-4</v>
      </c>
      <c r="I70" s="1344" t="str">
        <f t="shared" si="19"/>
        <v>2020-3</v>
      </c>
      <c r="J70" s="1344" t="str">
        <f t="shared" si="19"/>
        <v>2020-2</v>
      </c>
      <c r="K70" s="1344" t="str">
        <f t="shared" si="19"/>
        <v>2020-1</v>
      </c>
      <c r="L70" s="1344" t="str">
        <f t="shared" si="19"/>
        <v>2019-4</v>
      </c>
      <c r="M70" s="1344" t="str">
        <f t="shared" si="19"/>
        <v>2019-3</v>
      </c>
      <c r="N70" s="1344" t="str">
        <f t="shared" si="19"/>
        <v>2019-2</v>
      </c>
      <c r="O70" s="1344" t="str">
        <f t="shared" si="19"/>
        <v>2019-1</v>
      </c>
      <c r="P70" s="3007"/>
      <c r="Q70" s="2972"/>
      <c r="R70" s="2972"/>
      <c r="S70" s="2972"/>
      <c r="T70" s="2972"/>
      <c r="U70" s="2972"/>
      <c r="V70" s="2972"/>
      <c r="W70" s="2972"/>
      <c r="X70" s="2972"/>
      <c r="Y70" s="2972"/>
      <c r="Z70" s="2972"/>
      <c r="AA70" s="2972"/>
      <c r="AB70" s="2972"/>
      <c r="AC70" s="2972"/>
    </row>
    <row r="71" spans="1:29" s="113" customFormat="1" ht="30" customHeight="1">
      <c r="A71" s="2178" t="s">
        <v>2604</v>
      </c>
      <c r="B71" s="294" t="str">
        <f>"北京市平均增长率"&amp;TEXT(SUMIF(基准地价修正!N21:N25,A71,基准地价修正!P21:P25),"0.00%")</f>
        <v>北京市平均增长率0.00%</v>
      </c>
      <c r="C71" s="560">
        <v>100</v>
      </c>
      <c r="D71" s="552">
        <f>C71-$C$72</f>
        <v>99.5</v>
      </c>
      <c r="E71" s="552">
        <f t="shared" ref="E71:M71" si="20">D71-$C$72</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2406</v>
      </c>
      <c r="B72" s="473"/>
      <c r="C72" s="474">
        <v>0.5</v>
      </c>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2371</v>
      </c>
      <c r="B73" s="467"/>
      <c r="C73" s="479" t="s">
        <v>2473</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2409</v>
      </c>
      <c r="B75" s="485" t="s">
        <v>2375</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2378</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2379</v>
      </c>
      <c r="C79" s="504" t="str">
        <f>C80&amp;"（含）"&amp;"-"&amp;D80</f>
        <v>0（含）-1</v>
      </c>
      <c r="D79" s="504" t="str">
        <f t="shared" ref="D79:L79" si="21">D80&amp;"（含）"&amp;"-"&amp;E80</f>
        <v>1（含）-2</v>
      </c>
      <c r="E79" s="504" t="str">
        <f t="shared" si="21"/>
        <v>2（含）-3</v>
      </c>
      <c r="F79" s="504" t="str">
        <f t="shared" si="21"/>
        <v>3（含）-4</v>
      </c>
      <c r="G79" s="504" t="str">
        <f t="shared" si="21"/>
        <v>4（含）-</v>
      </c>
      <c r="H79" s="504" t="str">
        <f t="shared" si="21"/>
        <v>（含）-</v>
      </c>
      <c r="I79" s="504" t="str">
        <f t="shared" si="21"/>
        <v>（含）-</v>
      </c>
      <c r="J79" s="504" t="str">
        <f t="shared" si="21"/>
        <v>（含）-</v>
      </c>
      <c r="K79" s="504" t="str">
        <f t="shared" si="21"/>
        <v>（含）-</v>
      </c>
      <c r="L79" s="504" t="str">
        <f t="shared" si="21"/>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v>0</v>
      </c>
      <c r="D80" s="506">
        <v>1</v>
      </c>
      <c r="E80" s="506">
        <v>2</v>
      </c>
      <c r="F80" s="506">
        <v>3</v>
      </c>
      <c r="G80" s="506">
        <v>4</v>
      </c>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2">IF($B$46="单位面积地价",C81+$K11,C81-$K11)</f>
        <v>100</v>
      </c>
      <c r="E81" s="501">
        <f t="shared" si="22"/>
        <v>100</v>
      </c>
      <c r="F81" s="501">
        <f t="shared" si="22"/>
        <v>100</v>
      </c>
      <c r="G81" s="501">
        <f t="shared" si="22"/>
        <v>100</v>
      </c>
      <c r="H81" s="501">
        <f t="shared" si="22"/>
        <v>100</v>
      </c>
      <c r="I81" s="501">
        <f t="shared" si="22"/>
        <v>100</v>
      </c>
      <c r="J81" s="501">
        <f t="shared" si="22"/>
        <v>100</v>
      </c>
      <c r="K81" s="501">
        <f t="shared" si="22"/>
        <v>100</v>
      </c>
      <c r="L81" s="501">
        <f t="shared" si="22"/>
        <v>100</v>
      </c>
      <c r="M81" s="501">
        <f t="shared" si="22"/>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2380</v>
      </c>
      <c r="B88" s="485" t="s">
        <v>2417</v>
      </c>
      <c r="C88" s="530" t="s">
        <v>2418</v>
      </c>
      <c r="D88" s="530" t="s">
        <v>2419</v>
      </c>
      <c r="E88" s="530" t="s">
        <v>2420</v>
      </c>
      <c r="F88" s="530" t="s">
        <v>2421</v>
      </c>
      <c r="G88" s="530" t="s">
        <v>2422</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2605</v>
      </c>
      <c r="C90" s="535" t="s">
        <v>2418</v>
      </c>
      <c r="D90" s="535" t="s">
        <v>2419</v>
      </c>
      <c r="E90" s="535" t="s">
        <v>2420</v>
      </c>
      <c r="F90" s="535" t="s">
        <v>2421</v>
      </c>
      <c r="G90" s="535" t="s">
        <v>2422</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2518</v>
      </c>
      <c r="C92" s="535" t="s">
        <v>2418</v>
      </c>
      <c r="D92" s="535" t="s">
        <v>2419</v>
      </c>
      <c r="E92" s="535" t="s">
        <v>2420</v>
      </c>
      <c r="F92" s="535" t="s">
        <v>2421</v>
      </c>
      <c r="G92" s="535" t="s">
        <v>2422</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2423</v>
      </c>
      <c r="C94" s="535" t="s">
        <v>2418</v>
      </c>
      <c r="D94" s="535" t="s">
        <v>2419</v>
      </c>
      <c r="E94" s="535" t="s">
        <v>2420</v>
      </c>
      <c r="F94" s="535" t="s">
        <v>2421</v>
      </c>
      <c r="G94" s="535" t="s">
        <v>2422</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2512</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2571</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2384</v>
      </c>
      <c r="B116" s="485" t="s">
        <v>2612</v>
      </c>
      <c r="C116" s="486" t="str">
        <f>C117&amp;"(含)"&amp;"-"&amp;D117</f>
        <v>0(含)-50000</v>
      </c>
      <c r="D116" s="486" t="str">
        <f t="shared" ref="D116:M116" si="26">D117&amp;"(含)"&amp;"-"&amp;E117</f>
        <v>50000(含)-100000</v>
      </c>
      <c r="E116" s="486" t="str">
        <f t="shared" si="26"/>
        <v>100000(含)-150000</v>
      </c>
      <c r="F116" s="486" t="str">
        <f t="shared" si="26"/>
        <v>150000(含)-200000</v>
      </c>
      <c r="G116" s="486" t="str">
        <f t="shared" si="26"/>
        <v>200000(含)-250000</v>
      </c>
      <c r="H116" s="486" t="str">
        <f t="shared" si="26"/>
        <v>250000(含)-</v>
      </c>
      <c r="I116" s="486" t="str">
        <f t="shared" si="26"/>
        <v>(含)-</v>
      </c>
      <c r="J116" s="486" t="str">
        <f t="shared" si="26"/>
        <v>(含)-</v>
      </c>
      <c r="K116" s="486" t="str">
        <f t="shared" si="26"/>
        <v>(含)-</v>
      </c>
      <c r="L116" s="486" t="str">
        <f t="shared" si="26"/>
        <v>(含)-</v>
      </c>
      <c r="M116" s="486" t="str">
        <f t="shared" si="26"/>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v>0</v>
      </c>
      <c r="D117" s="552">
        <f>C117+50000</f>
        <v>50000</v>
      </c>
      <c r="E117" s="552">
        <f t="shared" ref="E117:H117" si="27">D117+50000</f>
        <v>100000</v>
      </c>
      <c r="F117" s="552">
        <f t="shared" si="27"/>
        <v>150000</v>
      </c>
      <c r="G117" s="552">
        <f t="shared" si="27"/>
        <v>200000</v>
      </c>
      <c r="H117" s="552">
        <f t="shared" si="27"/>
        <v>250000</v>
      </c>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v>100</v>
      </c>
      <c r="D118" s="548">
        <f>C118+2</f>
        <v>102</v>
      </c>
      <c r="E118" s="548">
        <f t="shared" ref="E118:H118" si="28">D118+2</f>
        <v>104</v>
      </c>
      <c r="F118" s="548">
        <f t="shared" si="28"/>
        <v>106</v>
      </c>
      <c r="G118" s="548">
        <f t="shared" si="28"/>
        <v>108</v>
      </c>
      <c r="H118" s="548">
        <f t="shared" si="28"/>
        <v>110</v>
      </c>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2613</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9">C120-$K39</f>
        <v>100</v>
      </c>
      <c r="E120" s="501">
        <f t="shared" si="29"/>
        <v>100</v>
      </c>
      <c r="F120" s="501">
        <f t="shared" si="29"/>
        <v>100</v>
      </c>
      <c r="G120" s="501">
        <f t="shared" si="29"/>
        <v>100</v>
      </c>
      <c r="H120" s="501">
        <f t="shared" si="29"/>
        <v>100</v>
      </c>
      <c r="I120" s="501">
        <f t="shared" si="29"/>
        <v>100</v>
      </c>
      <c r="J120" s="501">
        <f t="shared" si="29"/>
        <v>100</v>
      </c>
      <c r="K120" s="501">
        <f t="shared" si="29"/>
        <v>100</v>
      </c>
      <c r="L120" s="501">
        <f t="shared" si="29"/>
        <v>100</v>
      </c>
      <c r="M120" s="502">
        <f t="shared" si="29"/>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2614</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30">C122-$K40</f>
        <v>100</v>
      </c>
      <c r="E122" s="501">
        <f t="shared" si="30"/>
        <v>100</v>
      </c>
      <c r="F122" s="501">
        <f t="shared" si="30"/>
        <v>100</v>
      </c>
      <c r="G122" s="501">
        <f t="shared" si="30"/>
        <v>100</v>
      </c>
      <c r="H122" s="501">
        <f t="shared" si="30"/>
        <v>100</v>
      </c>
      <c r="I122" s="501">
        <f t="shared" si="30"/>
        <v>100</v>
      </c>
      <c r="J122" s="501">
        <f t="shared" si="30"/>
        <v>100</v>
      </c>
      <c r="K122" s="501">
        <f t="shared" si="30"/>
        <v>100</v>
      </c>
      <c r="L122" s="501">
        <f t="shared" si="30"/>
        <v>100</v>
      </c>
      <c r="M122" s="502">
        <f t="shared" si="30"/>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2615</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31">D124-$K41</f>
        <v>100</v>
      </c>
      <c r="F124" s="501">
        <f t="shared" si="31"/>
        <v>100</v>
      </c>
      <c r="G124" s="501">
        <f t="shared" si="31"/>
        <v>100</v>
      </c>
      <c r="H124" s="501">
        <f t="shared" si="31"/>
        <v>100</v>
      </c>
      <c r="I124" s="501">
        <f t="shared" si="31"/>
        <v>100</v>
      </c>
      <c r="J124" s="501">
        <f t="shared" si="31"/>
        <v>100</v>
      </c>
      <c r="K124" s="501">
        <f t="shared" si="31"/>
        <v>100</v>
      </c>
      <c r="L124" s="501">
        <f t="shared" si="31"/>
        <v>100</v>
      </c>
      <c r="M124" s="502">
        <f t="shared" si="31"/>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2616</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32">C126-$K42</f>
        <v>100</v>
      </c>
      <c r="E126" s="501">
        <f t="shared" si="32"/>
        <v>100</v>
      </c>
      <c r="F126" s="501">
        <f t="shared" si="32"/>
        <v>100</v>
      </c>
      <c r="G126" s="501">
        <f t="shared" si="32"/>
        <v>100</v>
      </c>
      <c r="H126" s="501">
        <f t="shared" si="32"/>
        <v>100</v>
      </c>
      <c r="I126" s="501">
        <f t="shared" si="32"/>
        <v>100</v>
      </c>
      <c r="J126" s="501">
        <f t="shared" si="32"/>
        <v>100</v>
      </c>
      <c r="K126" s="501">
        <f t="shared" si="32"/>
        <v>100</v>
      </c>
      <c r="L126" s="501">
        <f t="shared" si="32"/>
        <v>100</v>
      </c>
      <c r="M126" s="502">
        <f t="shared" si="32"/>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2466</v>
      </c>
      <c r="B4" s="362"/>
      <c r="C4" s="3293" t="s">
        <v>2467</v>
      </c>
      <c r="D4" s="3294"/>
      <c r="E4" s="3295" t="s">
        <v>2468</v>
      </c>
      <c r="F4" s="3296"/>
      <c r="G4" s="3293" t="s">
        <v>2469</v>
      </c>
      <c r="H4" s="3294"/>
      <c r="I4" s="3293" t="s">
        <v>2470</v>
      </c>
      <c r="J4" s="3294"/>
      <c r="K4" s="567" t="s">
        <v>2471</v>
      </c>
      <c r="L4" s="2946"/>
      <c r="M4" s="2947"/>
      <c r="N4" s="2947"/>
      <c r="O4" s="2947"/>
      <c r="P4" s="3297" t="s">
        <v>2472</v>
      </c>
      <c r="Q4" s="3298"/>
      <c r="R4" s="3303" t="s">
        <v>2468</v>
      </c>
      <c r="S4" s="3304"/>
      <c r="T4" s="3303" t="s">
        <v>2469</v>
      </c>
      <c r="U4" s="3304"/>
      <c r="V4" s="3309" t="s">
        <v>2470</v>
      </c>
      <c r="W4" s="3309"/>
      <c r="X4" s="1541"/>
      <c r="Y4" s="3303" t="s">
        <v>2472</v>
      </c>
      <c r="Z4" s="3304"/>
      <c r="AA4" s="3290" t="s">
        <v>2468</v>
      </c>
      <c r="AB4" s="3291" t="s">
        <v>2469</v>
      </c>
      <c r="AC4" s="3290" t="s">
        <v>2470</v>
      </c>
    </row>
    <row r="5" spans="1:29" ht="15">
      <c r="A5" s="364"/>
      <c r="B5" s="365"/>
      <c r="C5" s="3312" t="s">
        <v>2363</v>
      </c>
      <c r="D5" s="3313"/>
      <c r="E5" s="3319" t="s">
        <v>2364</v>
      </c>
      <c r="F5" s="3320"/>
      <c r="G5" s="3312" t="s">
        <v>2365</v>
      </c>
      <c r="H5" s="3313"/>
      <c r="I5" s="3312" t="s">
        <v>2366</v>
      </c>
      <c r="J5" s="3313"/>
      <c r="K5" s="567"/>
      <c r="L5" s="2946"/>
      <c r="M5" s="2947"/>
      <c r="N5" s="2947"/>
      <c r="O5" s="2947"/>
      <c r="P5" s="3299"/>
      <c r="Q5" s="3300"/>
      <c r="R5" s="3305"/>
      <c r="S5" s="3306"/>
      <c r="T5" s="3305"/>
      <c r="U5" s="3306"/>
      <c r="V5" s="3309"/>
      <c r="W5" s="3309"/>
      <c r="X5" s="1541"/>
      <c r="Y5" s="3305"/>
      <c r="Z5" s="3306"/>
      <c r="AA5" s="3291"/>
      <c r="AB5" s="3291"/>
      <c r="AC5" s="3291"/>
    </row>
    <row r="6" spans="1:29" ht="15.75" thickBot="1">
      <c r="A6" s="366"/>
      <c r="B6" s="367"/>
      <c r="C6" s="3342" t="s">
        <v>2618</v>
      </c>
      <c r="D6" s="3343"/>
      <c r="E6" s="3344" t="s">
        <v>2618</v>
      </c>
      <c r="F6" s="3345"/>
      <c r="G6" s="3342" t="s">
        <v>2618</v>
      </c>
      <c r="H6" s="3343"/>
      <c r="I6" s="3342" t="s">
        <v>2618</v>
      </c>
      <c r="J6" s="3343"/>
      <c r="K6" s="567" t="s">
        <v>2368</v>
      </c>
      <c r="L6" s="2946"/>
      <c r="M6" s="2947"/>
      <c r="N6" s="2947"/>
      <c r="O6" s="2947"/>
      <c r="P6" s="3301"/>
      <c r="Q6" s="3302"/>
      <c r="R6" s="3305"/>
      <c r="S6" s="3306"/>
      <c r="T6" s="3307"/>
      <c r="U6" s="3308"/>
      <c r="V6" s="3309"/>
      <c r="W6" s="3309"/>
      <c r="X6" s="1541"/>
      <c r="Y6" s="3307"/>
      <c r="Z6" s="3308"/>
      <c r="AA6" s="3292"/>
      <c r="AB6" s="3292"/>
      <c r="AC6" s="3292"/>
    </row>
    <row r="7" spans="1:29" s="113" customFormat="1" ht="15.75" thickBot="1">
      <c r="A7" s="368" t="s">
        <v>2369</v>
      </c>
      <c r="B7" s="369"/>
      <c r="C7" s="370">
        <f>'数据-取费表'!B2</f>
        <v>44562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14" t="s">
        <v>2370</v>
      </c>
      <c r="Q7" s="3316"/>
      <c r="R7" s="710" t="s">
        <v>17</v>
      </c>
      <c r="S7" s="711">
        <f t="shared" ref="S7:S15" si="0">F7</f>
        <v>0</v>
      </c>
      <c r="T7" s="710" t="s">
        <v>17</v>
      </c>
      <c r="U7" s="711">
        <f t="shared" ref="U7:U15" si="1">H7</f>
        <v>0</v>
      </c>
      <c r="V7" s="710" t="s">
        <v>17</v>
      </c>
      <c r="W7" s="711">
        <f t="shared" ref="W7:W15" si="2">J7</f>
        <v>0</v>
      </c>
      <c r="X7" s="712"/>
      <c r="Y7" s="3314" t="s">
        <v>2370</v>
      </c>
      <c r="Z7" s="331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14" t="s">
        <v>2373</v>
      </c>
      <c r="Q8" s="3315"/>
      <c r="R8" s="710" t="s">
        <v>17</v>
      </c>
      <c r="S8" s="711">
        <f t="shared" si="0"/>
        <v>0</v>
      </c>
      <c r="T8" s="710" t="s">
        <v>17</v>
      </c>
      <c r="U8" s="711">
        <f t="shared" si="1"/>
        <v>0</v>
      </c>
      <c r="V8" s="710" t="s">
        <v>17</v>
      </c>
      <c r="W8" s="711">
        <f t="shared" si="2"/>
        <v>0</v>
      </c>
      <c r="X8" s="712"/>
      <c r="Y8" s="3314" t="s">
        <v>2373</v>
      </c>
      <c r="Z8" s="3315"/>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278" t="s">
        <v>2376</v>
      </c>
      <c r="Q9" s="1529" t="str">
        <f t="shared" ref="Q9:Q15" si="6">B9</f>
        <v>用途</v>
      </c>
      <c r="R9" s="710" t="s">
        <v>17</v>
      </c>
      <c r="S9" s="711">
        <f t="shared" si="0"/>
        <v>100</v>
      </c>
      <c r="T9" s="710" t="s">
        <v>17</v>
      </c>
      <c r="U9" s="711">
        <f t="shared" si="1"/>
        <v>100</v>
      </c>
      <c r="V9" s="710" t="s">
        <v>17</v>
      </c>
      <c r="W9" s="711">
        <f t="shared" si="2"/>
        <v>100</v>
      </c>
      <c r="X9" s="712"/>
      <c r="Y9" s="314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101</v>
      </c>
      <c r="G10" s="391"/>
      <c r="H10" s="132">
        <f>ROUND(100/'数据-取费表'!G16,0)</f>
        <v>101</v>
      </c>
      <c r="I10" s="391"/>
      <c r="J10" s="132">
        <f>ROUND(100/'数据-取费表'!G16,0)</f>
        <v>101</v>
      </c>
      <c r="K10" s="628"/>
      <c r="L10" s="2950"/>
      <c r="M10" s="2951"/>
      <c r="N10" s="2951"/>
      <c r="O10" s="3004"/>
      <c r="P10" s="3278"/>
      <c r="Q10" s="1529" t="str">
        <f t="shared" si="6"/>
        <v>土地使用年限（年）</v>
      </c>
      <c r="R10" s="710" t="s">
        <v>17</v>
      </c>
      <c r="S10" s="711">
        <f t="shared" si="0"/>
        <v>101</v>
      </c>
      <c r="T10" s="710" t="s">
        <v>17</v>
      </c>
      <c r="U10" s="711">
        <f t="shared" si="1"/>
        <v>101</v>
      </c>
      <c r="V10" s="710" t="s">
        <v>17</v>
      </c>
      <c r="W10" s="711">
        <f t="shared" si="2"/>
        <v>101</v>
      </c>
      <c r="X10" s="712"/>
      <c r="Y10" s="3148"/>
      <c r="Z10" s="55" t="str">
        <f t="shared" si="7"/>
        <v>土地使用年限（年）</v>
      </c>
      <c r="AA10" s="713">
        <f t="shared" si="3"/>
        <v>0.99009900990099009</v>
      </c>
      <c r="AB10" s="713">
        <f t="shared" si="4"/>
        <v>0.99009900990099009</v>
      </c>
      <c r="AC10" s="713">
        <f t="shared" si="5"/>
        <v>0.99009900990099009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278"/>
      <c r="Q11" s="1529" t="str">
        <f t="shared" si="6"/>
        <v>容积率</v>
      </c>
      <c r="R11" s="710" t="s">
        <v>17</v>
      </c>
      <c r="S11" s="711" t="e">
        <f t="shared" si="0"/>
        <v>#N/A</v>
      </c>
      <c r="T11" s="710" t="s">
        <v>17</v>
      </c>
      <c r="U11" s="711" t="e">
        <f t="shared" si="1"/>
        <v>#N/A</v>
      </c>
      <c r="V11" s="710" t="s">
        <v>17</v>
      </c>
      <c r="W11" s="711" t="e">
        <f t="shared" si="2"/>
        <v>#N/A</v>
      </c>
      <c r="X11" s="712"/>
      <c r="Y11" s="3148"/>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278"/>
      <c r="Q12" s="1529">
        <f t="shared" si="6"/>
        <v>111</v>
      </c>
      <c r="R12" s="710" t="s">
        <v>17</v>
      </c>
      <c r="S12" s="711">
        <f t="shared" si="0"/>
        <v>100</v>
      </c>
      <c r="T12" s="710" t="s">
        <v>17</v>
      </c>
      <c r="U12" s="711">
        <f t="shared" si="1"/>
        <v>100</v>
      </c>
      <c r="V12" s="710" t="s">
        <v>17</v>
      </c>
      <c r="W12" s="711">
        <f t="shared" si="2"/>
        <v>100</v>
      </c>
      <c r="X12" s="712"/>
      <c r="Y12" s="3148"/>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278"/>
      <c r="Q13" s="1529">
        <f t="shared" si="6"/>
        <v>111</v>
      </c>
      <c r="R13" s="710" t="s">
        <v>17</v>
      </c>
      <c r="S13" s="711">
        <f t="shared" si="0"/>
        <v>100</v>
      </c>
      <c r="T13" s="710" t="s">
        <v>17</v>
      </c>
      <c r="U13" s="711">
        <f t="shared" si="1"/>
        <v>100</v>
      </c>
      <c r="V13" s="710" t="s">
        <v>17</v>
      </c>
      <c r="W13" s="711">
        <f t="shared" si="2"/>
        <v>100</v>
      </c>
      <c r="X13" s="712"/>
      <c r="Y13" s="3148"/>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278"/>
      <c r="Q14" s="1529">
        <f t="shared" si="6"/>
        <v>111</v>
      </c>
      <c r="R14" s="710" t="s">
        <v>17</v>
      </c>
      <c r="S14" s="711">
        <f t="shared" si="0"/>
        <v>100</v>
      </c>
      <c r="T14" s="710" t="s">
        <v>17</v>
      </c>
      <c r="U14" s="711">
        <f t="shared" si="1"/>
        <v>100</v>
      </c>
      <c r="V14" s="710" t="s">
        <v>17</v>
      </c>
      <c r="W14" s="711">
        <f t="shared" si="2"/>
        <v>100</v>
      </c>
      <c r="X14" s="712"/>
      <c r="Y14" s="3148"/>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280" t="s">
        <v>2381</v>
      </c>
      <c r="Q15" s="1538" t="str">
        <f t="shared" si="6"/>
        <v>产业集聚程度</v>
      </c>
      <c r="R15" s="714" t="s">
        <v>17</v>
      </c>
      <c r="S15" s="715">
        <f t="shared" si="0"/>
        <v>100</v>
      </c>
      <c r="T15" s="714" t="s">
        <v>17</v>
      </c>
      <c r="U15" s="715">
        <f t="shared" si="1"/>
        <v>100</v>
      </c>
      <c r="V15" s="714" t="s">
        <v>17</v>
      </c>
      <c r="W15" s="715">
        <f t="shared" si="2"/>
        <v>100</v>
      </c>
      <c r="X15" s="1541"/>
      <c r="Y15" s="3280"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281"/>
      <c r="Q16" s="1538"/>
      <c r="R16" s="714"/>
      <c r="S16" s="715"/>
      <c r="T16" s="714"/>
      <c r="U16" s="715"/>
      <c r="V16" s="714"/>
      <c r="W16" s="715"/>
      <c r="X16" s="1541"/>
      <c r="Y16" s="3281"/>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281"/>
      <c r="Q17" s="1538" t="str">
        <f>B17</f>
        <v>交通便捷度</v>
      </c>
      <c r="R17" s="714" t="s">
        <v>17</v>
      </c>
      <c r="S17" s="715">
        <f>F17</f>
        <v>100</v>
      </c>
      <c r="T17" s="714" t="s">
        <v>17</v>
      </c>
      <c r="U17" s="715">
        <f>H17</f>
        <v>100</v>
      </c>
      <c r="V17" s="714" t="s">
        <v>17</v>
      </c>
      <c r="W17" s="715">
        <f>J17</f>
        <v>100</v>
      </c>
      <c r="X17" s="1541"/>
      <c r="Y17" s="3281"/>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281"/>
      <c r="Q18" s="1538"/>
      <c r="R18" s="714"/>
      <c r="S18" s="715"/>
      <c r="T18" s="714"/>
      <c r="U18" s="715"/>
      <c r="V18" s="714"/>
      <c r="W18" s="715"/>
      <c r="X18" s="1541"/>
      <c r="Y18" s="3281"/>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281"/>
      <c r="Q19" s="1538" t="str">
        <f t="shared" ref="Q19:Q33" si="8">B19</f>
        <v>区域土地利用方向</v>
      </c>
      <c r="R19" s="714" t="s">
        <v>17</v>
      </c>
      <c r="S19" s="715">
        <f>F19</f>
        <v>100</v>
      </c>
      <c r="T19" s="714" t="s">
        <v>17</v>
      </c>
      <c r="U19" s="715">
        <f>H19</f>
        <v>100</v>
      </c>
      <c r="V19" s="714" t="s">
        <v>17</v>
      </c>
      <c r="W19" s="715">
        <f>J19</f>
        <v>100</v>
      </c>
      <c r="X19" s="1541"/>
      <c r="Y19" s="3281"/>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281"/>
      <c r="Q20" s="1538"/>
      <c r="R20" s="714"/>
      <c r="S20" s="715"/>
      <c r="T20" s="714"/>
      <c r="U20" s="715"/>
      <c r="V20" s="714"/>
      <c r="W20" s="715"/>
      <c r="X20" s="1541"/>
      <c r="Y20" s="3281"/>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281"/>
      <c r="Q21" s="1538" t="str">
        <f t="shared" si="8"/>
        <v>环境状况</v>
      </c>
      <c r="R21" s="714" t="s">
        <v>17</v>
      </c>
      <c r="S21" s="715">
        <f>F21</f>
        <v>100</v>
      </c>
      <c r="T21" s="714" t="s">
        <v>17</v>
      </c>
      <c r="U21" s="715">
        <f>H21</f>
        <v>100</v>
      </c>
      <c r="V21" s="714" t="s">
        <v>17</v>
      </c>
      <c r="W21" s="715">
        <f>J21</f>
        <v>100</v>
      </c>
      <c r="X21" s="1541"/>
      <c r="Y21" s="3281"/>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281"/>
      <c r="Q22" s="1538"/>
      <c r="R22" s="714"/>
      <c r="S22" s="715"/>
      <c r="T22" s="714"/>
      <c r="U22" s="715"/>
      <c r="V22" s="714"/>
      <c r="W22" s="715"/>
      <c r="X22" s="1541"/>
      <c r="Y22" s="3281"/>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281"/>
      <c r="Q23" s="1529" t="str">
        <f t="shared" si="8"/>
        <v>公共配套设施</v>
      </c>
      <c r="R23" s="710" t="s">
        <v>17</v>
      </c>
      <c r="S23" s="711">
        <f>F23</f>
        <v>100</v>
      </c>
      <c r="T23" s="710" t="s">
        <v>17</v>
      </c>
      <c r="U23" s="711">
        <f>H23</f>
        <v>100</v>
      </c>
      <c r="V23" s="710" t="s">
        <v>17</v>
      </c>
      <c r="W23" s="711">
        <f>J23</f>
        <v>100</v>
      </c>
      <c r="X23" s="712"/>
      <c r="Y23" s="3281"/>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281"/>
      <c r="Q24" s="1529"/>
      <c r="R24" s="710"/>
      <c r="S24" s="711"/>
      <c r="T24" s="710"/>
      <c r="U24" s="711"/>
      <c r="V24" s="710"/>
      <c r="W24" s="711"/>
      <c r="X24" s="712"/>
      <c r="Y24" s="3281"/>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281"/>
      <c r="Q25" s="1529" t="str">
        <f t="shared" ref="Q25" si="9">B25</f>
        <v>基础设施水平</v>
      </c>
      <c r="R25" s="710" t="s">
        <v>17</v>
      </c>
      <c r="S25" s="711">
        <f>F25</f>
        <v>100</v>
      </c>
      <c r="T25" s="710" t="s">
        <v>17</v>
      </c>
      <c r="U25" s="711">
        <f>H25</f>
        <v>100</v>
      </c>
      <c r="V25" s="710" t="s">
        <v>17</v>
      </c>
      <c r="W25" s="711">
        <f>J25</f>
        <v>100</v>
      </c>
      <c r="X25" s="712"/>
      <c r="Y25" s="3281"/>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281"/>
      <c r="Q26" s="1529"/>
      <c r="R26" s="710"/>
      <c r="S26" s="711"/>
      <c r="T26" s="710"/>
      <c r="U26" s="711"/>
      <c r="V26" s="710"/>
      <c r="W26" s="711"/>
      <c r="X26" s="712"/>
      <c r="Y26" s="328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281"/>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81"/>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281"/>
      <c r="Q28" s="1538" t="str">
        <f t="shared" si="8"/>
        <v>毗邻道路的类型与等级</v>
      </c>
      <c r="R28" s="714" t="s">
        <v>17</v>
      </c>
      <c r="S28" s="715">
        <f t="shared" si="10"/>
        <v>100</v>
      </c>
      <c r="T28" s="714" t="s">
        <v>17</v>
      </c>
      <c r="U28" s="715">
        <f t="shared" si="11"/>
        <v>100</v>
      </c>
      <c r="V28" s="714" t="s">
        <v>17</v>
      </c>
      <c r="W28" s="715">
        <f t="shared" si="12"/>
        <v>100</v>
      </c>
      <c r="X28" s="1541"/>
      <c r="Y28" s="3281"/>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281"/>
      <c r="Q29" s="1538"/>
      <c r="R29" s="714"/>
      <c r="S29" s="715"/>
      <c r="T29" s="714"/>
      <c r="U29" s="715"/>
      <c r="V29" s="714"/>
      <c r="W29" s="715"/>
      <c r="X29" s="1541"/>
      <c r="Y29" s="3281"/>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281"/>
      <c r="Q30" s="1538" t="str">
        <f t="shared" si="8"/>
        <v>土地级别</v>
      </c>
      <c r="R30" s="714" t="s">
        <v>17</v>
      </c>
      <c r="S30" s="715">
        <f t="shared" si="10"/>
        <v>100</v>
      </c>
      <c r="T30" s="714" t="s">
        <v>17</v>
      </c>
      <c r="U30" s="715">
        <f t="shared" si="11"/>
        <v>100</v>
      </c>
      <c r="V30" s="714" t="s">
        <v>17</v>
      </c>
      <c r="W30" s="715">
        <f t="shared" si="12"/>
        <v>100</v>
      </c>
      <c r="X30" s="1541"/>
      <c r="Y30" s="3281"/>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281"/>
      <c r="Q31" s="1538">
        <f t="shared" si="8"/>
        <v>111</v>
      </c>
      <c r="R31" s="714" t="s">
        <v>17</v>
      </c>
      <c r="S31" s="715">
        <f t="shared" si="10"/>
        <v>100</v>
      </c>
      <c r="T31" s="714" t="s">
        <v>17</v>
      </c>
      <c r="U31" s="715">
        <f t="shared" si="11"/>
        <v>100</v>
      </c>
      <c r="V31" s="714" t="s">
        <v>17</v>
      </c>
      <c r="W31" s="715">
        <f t="shared" si="12"/>
        <v>100</v>
      </c>
      <c r="X31" s="1541"/>
      <c r="Y31" s="3281"/>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336" t="s">
        <v>2386</v>
      </c>
      <c r="Q32" s="1538">
        <f t="shared" si="8"/>
        <v>111</v>
      </c>
      <c r="R32" s="714" t="s">
        <v>17</v>
      </c>
      <c r="S32" s="715">
        <f t="shared" si="10"/>
        <v>100</v>
      </c>
      <c r="T32" s="714" t="s">
        <v>17</v>
      </c>
      <c r="U32" s="715">
        <f t="shared" si="11"/>
        <v>100</v>
      </c>
      <c r="V32" s="714" t="s">
        <v>17</v>
      </c>
      <c r="W32" s="715">
        <f t="shared" si="12"/>
        <v>100</v>
      </c>
      <c r="X32" s="1541"/>
      <c r="Y32" s="3285"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285"/>
      <c r="Q33" s="1538">
        <f t="shared" si="8"/>
        <v>111</v>
      </c>
      <c r="R33" s="717" t="s">
        <v>17</v>
      </c>
      <c r="S33" s="718">
        <f t="shared" si="10"/>
        <v>100</v>
      </c>
      <c r="T33" s="717" t="s">
        <v>17</v>
      </c>
      <c r="U33" s="718">
        <f t="shared" si="11"/>
        <v>100</v>
      </c>
      <c r="V33" s="717" t="s">
        <v>17</v>
      </c>
      <c r="W33" s="718">
        <f t="shared" si="12"/>
        <v>100</v>
      </c>
      <c r="X33" s="719"/>
      <c r="Y33" s="3285"/>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285"/>
      <c r="Q34" s="1538" t="str">
        <f>B34</f>
        <v>宗地面积</v>
      </c>
      <c r="R34" s="714" t="s">
        <v>17</v>
      </c>
      <c r="S34" s="715" t="e">
        <f t="shared" si="10"/>
        <v>#N/A</v>
      </c>
      <c r="T34" s="714" t="s">
        <v>17</v>
      </c>
      <c r="U34" s="715" t="e">
        <f t="shared" si="11"/>
        <v>#N/A</v>
      </c>
      <c r="V34" s="714" t="s">
        <v>17</v>
      </c>
      <c r="W34" s="715" t="e">
        <f t="shared" si="12"/>
        <v>#N/A</v>
      </c>
      <c r="X34" s="1541"/>
      <c r="Y34" s="3285"/>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285"/>
      <c r="Q35" s="1538" t="str">
        <f t="shared" ref="Q35:Q40" si="14">B35</f>
        <v>宗地形状</v>
      </c>
      <c r="R35" s="714" t="s">
        <v>17</v>
      </c>
      <c r="S35" s="715">
        <f t="shared" si="10"/>
        <v>100</v>
      </c>
      <c r="T35" s="714" t="s">
        <v>17</v>
      </c>
      <c r="U35" s="715">
        <f t="shared" si="11"/>
        <v>100</v>
      </c>
      <c r="V35" s="714" t="s">
        <v>17</v>
      </c>
      <c r="W35" s="715">
        <f t="shared" si="12"/>
        <v>100</v>
      </c>
      <c r="X35" s="1541"/>
      <c r="Y35" s="3285"/>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285"/>
      <c r="Q36" s="1538" t="str">
        <f t="shared" si="14"/>
        <v>宗地开发程度</v>
      </c>
      <c r="R36" s="710" t="s">
        <v>17</v>
      </c>
      <c r="S36" s="711">
        <f t="shared" si="10"/>
        <v>100</v>
      </c>
      <c r="T36" s="710" t="s">
        <v>17</v>
      </c>
      <c r="U36" s="711">
        <f t="shared" si="11"/>
        <v>100</v>
      </c>
      <c r="V36" s="710" t="s">
        <v>17</v>
      </c>
      <c r="W36" s="711">
        <f t="shared" si="12"/>
        <v>100</v>
      </c>
      <c r="X36" s="712"/>
      <c r="Y36" s="3285"/>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285" t="s">
        <v>2386</v>
      </c>
      <c r="Q37" s="1538" t="str">
        <f t="shared" si="14"/>
        <v>工程地质条件</v>
      </c>
      <c r="R37" s="714" t="s">
        <v>17</v>
      </c>
      <c r="S37" s="715">
        <f t="shared" si="10"/>
        <v>100</v>
      </c>
      <c r="T37" s="714" t="s">
        <v>17</v>
      </c>
      <c r="U37" s="715">
        <f t="shared" si="11"/>
        <v>100</v>
      </c>
      <c r="V37" s="714" t="s">
        <v>17</v>
      </c>
      <c r="W37" s="715">
        <f t="shared" si="12"/>
        <v>100</v>
      </c>
      <c r="X37" s="1541"/>
      <c r="Y37" s="3285"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285"/>
      <c r="Q38" s="1538">
        <f t="shared" si="14"/>
        <v>111</v>
      </c>
      <c r="R38" s="714" t="s">
        <v>17</v>
      </c>
      <c r="S38" s="715">
        <f t="shared" si="10"/>
        <v>100</v>
      </c>
      <c r="T38" s="714" t="s">
        <v>17</v>
      </c>
      <c r="U38" s="715">
        <f t="shared" si="11"/>
        <v>100</v>
      </c>
      <c r="V38" s="714" t="s">
        <v>17</v>
      </c>
      <c r="W38" s="715">
        <f t="shared" si="12"/>
        <v>100</v>
      </c>
      <c r="X38" s="1541"/>
      <c r="Y38" s="3285"/>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285"/>
      <c r="Q39" s="1538">
        <f t="shared" si="14"/>
        <v>111</v>
      </c>
      <c r="R39" s="714" t="s">
        <v>17</v>
      </c>
      <c r="S39" s="715">
        <f t="shared" si="10"/>
        <v>100</v>
      </c>
      <c r="T39" s="714" t="s">
        <v>17</v>
      </c>
      <c r="U39" s="715">
        <f t="shared" si="11"/>
        <v>100</v>
      </c>
      <c r="V39" s="714" t="s">
        <v>17</v>
      </c>
      <c r="W39" s="715">
        <f t="shared" si="12"/>
        <v>100</v>
      </c>
      <c r="X39" s="1541"/>
      <c r="Y39" s="3285"/>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285"/>
      <c r="Q40" s="1538">
        <f t="shared" si="14"/>
        <v>111</v>
      </c>
      <c r="R40" s="717" t="s">
        <v>17</v>
      </c>
      <c r="S40" s="718">
        <f t="shared" si="10"/>
        <v>100</v>
      </c>
      <c r="T40" s="717" t="s">
        <v>17</v>
      </c>
      <c r="U40" s="718">
        <f t="shared" si="11"/>
        <v>100</v>
      </c>
      <c r="V40" s="717" t="s">
        <v>17</v>
      </c>
      <c r="W40" s="718">
        <f t="shared" si="12"/>
        <v>100</v>
      </c>
      <c r="X40" s="719"/>
      <c r="Y40" s="3285"/>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5"/>
      <c r="M41" s="2947"/>
      <c r="N41" s="2947"/>
      <c r="O41" s="2956"/>
      <c r="P41" s="3278" t="str">
        <f>A41</f>
        <v>成交单价</v>
      </c>
      <c r="Q41" s="3278"/>
      <c r="R41" s="3309">
        <f>E41</f>
        <v>0</v>
      </c>
      <c r="S41" s="3309"/>
      <c r="T41" s="3309">
        <f>G41</f>
        <v>0</v>
      </c>
      <c r="U41" s="3309"/>
      <c r="V41" s="3309">
        <f>I41</f>
        <v>0</v>
      </c>
      <c r="W41" s="3309"/>
      <c r="X41" s="699"/>
      <c r="Y41" s="721"/>
      <c r="Z41" s="699"/>
      <c r="AA41" s="699"/>
      <c r="AB41" s="699"/>
      <c r="AC41" s="699"/>
    </row>
    <row r="42" spans="1:31" ht="15.75" thickBot="1">
      <c r="A42" s="445" t="s">
        <v>2490</v>
      </c>
      <c r="B42" s="639"/>
      <c r="C42" s="448" t="e">
        <f>R43</f>
        <v>#DIV/0!</v>
      </c>
      <c r="D42" s="2540" t="s">
        <v>2881</v>
      </c>
      <c r="E42" s="448" t="e">
        <f>R42</f>
        <v>#DIV/0!</v>
      </c>
      <c r="F42" s="2541"/>
      <c r="G42" s="447" t="e">
        <f>T42</f>
        <v>#DIV/0!</v>
      </c>
      <c r="H42" s="2541"/>
      <c r="I42" s="448" t="e">
        <f>V42</f>
        <v>#DIV/0!</v>
      </c>
      <c r="J42" s="2541"/>
      <c r="K42" s="2543">
        <f>F42+H42+J42</f>
        <v>0</v>
      </c>
      <c r="L42" s="2955"/>
      <c r="M42" s="2947"/>
      <c r="N42" s="2947"/>
      <c r="O42" s="2956"/>
      <c r="P42" s="3278" t="str">
        <f>A42</f>
        <v>比较价值（元/平方米）</v>
      </c>
      <c r="Q42" s="3278"/>
      <c r="R42" s="3338" t="e">
        <f>ROUND(PRODUCT(R41,AA7:AA40),0)</f>
        <v>#DIV/0!</v>
      </c>
      <c r="S42" s="3338"/>
      <c r="T42" s="3338" t="e">
        <f>ROUND(PRODUCT(T41,AB7:AB40),0)</f>
        <v>#DIV/0!</v>
      </c>
      <c r="U42" s="3338"/>
      <c r="V42" s="3338" t="e">
        <f>ROUND(PRODUCT(V41,AC7:AC40),0)</f>
        <v>#DIV/0!</v>
      </c>
      <c r="W42" s="333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5"/>
      <c r="M43" s="2947"/>
      <c r="N43" s="2947"/>
      <c r="O43" s="2956"/>
      <c r="P43" s="3275" t="str">
        <f>A43</f>
        <v>估价对象XX用房的比较价值（楼面单价，元/平方米）</v>
      </c>
      <c r="Q43" s="3276"/>
      <c r="R43" s="3339" t="e">
        <f>ROUND(IF(D42="简单平均",AVERAGE(R42:W42),R42*F42+T42*H42+V42*J42),0)</f>
        <v>#DIV/0!</v>
      </c>
      <c r="S43" s="3339"/>
      <c r="T43" s="3339"/>
      <c r="U43" s="3339"/>
      <c r="V43" s="3339"/>
      <c r="W43" s="3339"/>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2579</v>
      </c>
      <c r="B50" s="641" t="s">
        <v>2580</v>
      </c>
      <c r="C50" s="2171" t="s">
        <v>2581</v>
      </c>
      <c r="D50" s="2172" t="s">
        <v>2582</v>
      </c>
      <c r="E50" s="642" t="s">
        <v>2583</v>
      </c>
      <c r="F50" s="643" t="s">
        <v>2584</v>
      </c>
      <c r="G50" s="3293" t="s">
        <v>2585</v>
      </c>
      <c r="H50" s="3340"/>
      <c r="I50" s="1542" t="s">
        <v>2622</v>
      </c>
      <c r="J50" s="1542">
        <f>项目基本情况!F35</f>
        <v>0</v>
      </c>
      <c r="K50" s="2174" t="s">
        <v>2587</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2588</v>
      </c>
      <c r="B51" s="645" t="e">
        <f>C43</f>
        <v>#DIV/0!</v>
      </c>
      <c r="C51" s="646">
        <v>1</v>
      </c>
      <c r="D51" s="1075">
        <v>1</v>
      </c>
      <c r="E51" s="646">
        <f>'数据-汇总表'!E8+'数据-汇总表'!E9</f>
        <v>77547</v>
      </c>
      <c r="F51" s="647" t="e">
        <f t="shared" ref="F51:F60" si="15">ROUND(B51*E51/10000,0)</f>
        <v>#DIV/0!</v>
      </c>
      <c r="G51" s="3289"/>
      <c r="H51" s="3278"/>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2589</v>
      </c>
      <c r="B52" s="224" t="e">
        <f>ROUND($C$43*C52*D52,0)</f>
        <v>#DIV/0!</v>
      </c>
      <c r="C52" s="176">
        <f t="shared" ref="C52:C60" si="16">IF($C$50="北京市系数",I52,J52)</f>
        <v>0</v>
      </c>
      <c r="D52" s="1076">
        <v>0.25</v>
      </c>
      <c r="E52" s="650"/>
      <c r="F52" s="647" t="e">
        <f t="shared" si="15"/>
        <v>#DIV/0!</v>
      </c>
      <c r="G52" s="3341" t="s">
        <v>2590</v>
      </c>
      <c r="H52" s="1018">
        <f>项目基本情况!B37</f>
        <v>0</v>
      </c>
      <c r="I52" s="879">
        <f>SUMIF(修正!A45:A56,H52,修正!B45:B56)</f>
        <v>0</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2591</v>
      </c>
      <c r="B53" s="224" t="e">
        <f t="shared" ref="B53:B60" si="17">ROUND($C$43*C53*D53,0)</f>
        <v>#DIV/0!</v>
      </c>
      <c r="C53" s="176">
        <f t="shared" si="16"/>
        <v>0</v>
      </c>
      <c r="D53" s="1076">
        <v>0.25</v>
      </c>
      <c r="E53" s="650"/>
      <c r="F53" s="647" t="e">
        <f t="shared" si="15"/>
        <v>#DIV/0!</v>
      </c>
      <c r="G53" s="3341"/>
      <c r="H53" s="1018">
        <f>项目基本情况!B37</f>
        <v>0</v>
      </c>
      <c r="I53" s="879">
        <f>SUMIF(修正!A45:A56,H53,修正!C45:C56)</f>
        <v>0</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2592</v>
      </c>
      <c r="B54" s="224" t="e">
        <f t="shared" si="17"/>
        <v>#DIV/0!</v>
      </c>
      <c r="C54" s="176">
        <f t="shared" si="16"/>
        <v>0</v>
      </c>
      <c r="D54" s="1076">
        <v>0.25</v>
      </c>
      <c r="E54" s="650"/>
      <c r="F54" s="647" t="e">
        <f t="shared" si="15"/>
        <v>#DIV/0!</v>
      </c>
      <c r="G54" s="3341"/>
      <c r="H54" s="1018">
        <f>项目基本情况!B37</f>
        <v>0</v>
      </c>
      <c r="I54" s="879">
        <f>SUMIF(修正!A45:A56,H54,修正!D45:D56)</f>
        <v>0</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2593</v>
      </c>
      <c r="B55" s="224" t="e">
        <f t="shared" si="17"/>
        <v>#DIV/0!</v>
      </c>
      <c r="C55" s="176">
        <f t="shared" si="16"/>
        <v>0</v>
      </c>
      <c r="D55" s="1076">
        <v>0.25</v>
      </c>
      <c r="E55" s="650"/>
      <c r="F55" s="647" t="e">
        <f t="shared" si="15"/>
        <v>#DIV/0!</v>
      </c>
      <c r="G55" s="3341"/>
      <c r="H55" s="1018">
        <f>项目基本情况!B37</f>
        <v>0</v>
      </c>
      <c r="I55" s="879">
        <f>SUMIF(修正!A45:A56,H55,修正!E45:E56)</f>
        <v>0</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2602</v>
      </c>
      <c r="B61" s="652" t="s">
        <v>28</v>
      </c>
      <c r="C61" s="652" t="s">
        <v>29</v>
      </c>
      <c r="D61" s="652" t="s">
        <v>997</v>
      </c>
      <c r="E61" s="652">
        <f>IF(B41="楼面地价",SUM(E51:E60),'数据-汇总表'!D3)</f>
        <v>62231.63</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2022-1-1</v>
      </c>
      <c r="D63" s="701">
        <f>EDATE(C63,-3)</f>
        <v>44470</v>
      </c>
      <c r="E63" s="701">
        <f>EDATE(D63,-3)</f>
        <v>44378</v>
      </c>
      <c r="F63" s="701">
        <f t="shared" ref="F63:O63" si="18">EDATE(E63,-3)</f>
        <v>44287</v>
      </c>
      <c r="G63" s="701">
        <f t="shared" si="18"/>
        <v>44197</v>
      </c>
      <c r="H63" s="701">
        <f t="shared" si="18"/>
        <v>44105</v>
      </c>
      <c r="I63" s="701">
        <f t="shared" si="18"/>
        <v>44013</v>
      </c>
      <c r="J63" s="701">
        <f t="shared" si="18"/>
        <v>43922</v>
      </c>
      <c r="K63" s="701">
        <f t="shared" si="18"/>
        <v>43831</v>
      </c>
      <c r="L63" s="701">
        <f t="shared" si="18"/>
        <v>43739</v>
      </c>
      <c r="M63" s="701">
        <f t="shared" si="18"/>
        <v>43647</v>
      </c>
      <c r="N63" s="701">
        <f t="shared" si="18"/>
        <v>43556</v>
      </c>
      <c r="O63" s="701">
        <f t="shared" si="18"/>
        <v>43466</v>
      </c>
      <c r="P63" s="2956"/>
      <c r="Q63" s="2956"/>
      <c r="R63" s="2956"/>
      <c r="S63" s="2956"/>
      <c r="T63" s="2956"/>
      <c r="U63" s="2956"/>
      <c r="V63" s="2956"/>
      <c r="W63" s="2956"/>
      <c r="X63" s="2956"/>
      <c r="Y63" s="2956"/>
      <c r="Z63" s="2956"/>
      <c r="AA63" s="2956"/>
      <c r="AB63" s="2956"/>
      <c r="AC63" s="2956"/>
      <c r="AD63" s="2956"/>
      <c r="AE63" s="2956"/>
    </row>
    <row r="64" spans="1:31" ht="21.75" thickBot="1">
      <c r="A64" s="703" t="s">
        <v>2495</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2603</v>
      </c>
      <c r="B65" s="1269"/>
      <c r="C65" s="1344" t="str">
        <f>YEAR(C63)&amp;"-"&amp;ROUNDUP(MONTH(C63)/3,0)</f>
        <v>2022-1</v>
      </c>
      <c r="D65" s="1344" t="str">
        <f t="shared" ref="D65:O65" si="19">YEAR(D63)&amp;"-"&amp;ROUNDUP(MONTH(D63)/3,0)</f>
        <v>2021-4</v>
      </c>
      <c r="E65" s="1344" t="str">
        <f t="shared" si="19"/>
        <v>2021-3</v>
      </c>
      <c r="F65" s="1344" t="str">
        <f t="shared" si="19"/>
        <v>2021-2</v>
      </c>
      <c r="G65" s="1344" t="str">
        <f t="shared" si="19"/>
        <v>2021-1</v>
      </c>
      <c r="H65" s="1344" t="str">
        <f t="shared" si="19"/>
        <v>2020-4</v>
      </c>
      <c r="I65" s="1344" t="str">
        <f t="shared" si="19"/>
        <v>2020-3</v>
      </c>
      <c r="J65" s="1344" t="str">
        <f t="shared" si="19"/>
        <v>2020-2</v>
      </c>
      <c r="K65" s="1344" t="str">
        <f t="shared" si="19"/>
        <v>2020-1</v>
      </c>
      <c r="L65" s="1344" t="str">
        <f t="shared" si="19"/>
        <v>2019-4</v>
      </c>
      <c r="M65" s="1344" t="str">
        <f t="shared" si="19"/>
        <v>2019-3</v>
      </c>
      <c r="N65" s="1344" t="str">
        <f t="shared" si="19"/>
        <v>2019-2</v>
      </c>
      <c r="O65" s="1344" t="str">
        <f t="shared" si="19"/>
        <v>2019-1</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2623</v>
      </c>
      <c r="B66" s="294" t="str">
        <f>"北京市平均增长率"&amp;TEXT(基准地价修正!P24,"0.00%")</f>
        <v>北京市平均增长率0.00%</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2406</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2371</v>
      </c>
      <c r="B68" s="467"/>
      <c r="C68" s="479" t="s">
        <v>2473</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2409</v>
      </c>
      <c r="B70" s="485" t="s">
        <v>2375</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2378</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2380</v>
      </c>
      <c r="B83" s="485" t="s">
        <v>2526</v>
      </c>
      <c r="C83" s="530" t="s">
        <v>2418</v>
      </c>
      <c r="D83" s="530" t="s">
        <v>2419</v>
      </c>
      <c r="E83" s="530" t="s">
        <v>2420</v>
      </c>
      <c r="F83" s="530" t="s">
        <v>2421</v>
      </c>
      <c r="G83" s="530" t="s">
        <v>2422</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2423</v>
      </c>
      <c r="C85" s="535" t="s">
        <v>2418</v>
      </c>
      <c r="D85" s="535" t="s">
        <v>2419</v>
      </c>
      <c r="E85" s="535" t="s">
        <v>2420</v>
      </c>
      <c r="F85" s="535" t="s">
        <v>2421</v>
      </c>
      <c r="G85" s="535" t="s">
        <v>2422</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2512</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2571</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2613</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2615</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2616</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C7:Q40"/>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0</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t="e">
        <f>C26</f>
        <v>#DIV/0!</v>
      </c>
      <c r="C2" s="2187" t="s">
        <v>2634</v>
      </c>
      <c r="D2" s="2188" t="s">
        <v>2635</v>
      </c>
      <c r="E2" s="2189"/>
      <c r="F2" s="2188" t="s">
        <v>2636</v>
      </c>
      <c r="G2" s="2190">
        <f>IF(E2="商业",项目基本情况!B37,IF(E2="办公",项目基本情况!C37,IF(E2="住宅",项目基本情况!D37,项目基本情况!E37)))</f>
        <v>0</v>
      </c>
      <c r="H2" s="2188" t="s">
        <v>2637</v>
      </c>
      <c r="I2" s="2190">
        <f>IF(E2="商业",项目基本情况!B38,IF(E2="办公",项目基本情况!C38,IF(E2="住宅",项目基本情况!D38,项目基本情况!E38)))</f>
        <v>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2639</v>
      </c>
      <c r="B3" s="210" t="e">
        <f>ROUND(B2*10000/D1,0)</f>
        <v>#DIV/0!</v>
      </c>
      <c r="C3" s="2187" t="s">
        <v>2640</v>
      </c>
      <c r="D3" s="2188" t="s">
        <v>2641</v>
      </c>
      <c r="E3" s="2193"/>
      <c r="F3" s="2194" t="s">
        <v>2642</v>
      </c>
      <c r="G3" s="855">
        <f>IF(F3="宗地容积率",'数据-汇总表'!I4,IF(F3="估价对象容积率",'数据-汇总表'!I6,'数据-汇总表'!I7))</f>
        <v>0.78</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349"/>
      <c r="B4" s="3350"/>
      <c r="C4" s="3350"/>
      <c r="D4" s="3351"/>
      <c r="E4" s="3351"/>
      <c r="F4" s="3351"/>
      <c r="G4" s="3351"/>
      <c r="H4" s="3351"/>
      <c r="I4" s="3351"/>
      <c r="J4" s="335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t="e">
        <f>ROUND(IF(E2="商业",C6*C7+C16,(IF(E2="住宅",C6*C12+C16,C6+C16))),0)</f>
        <v>#DIV/0!</v>
      </c>
      <c r="D5" s="1525" t="e">
        <f>ROUND(C6+C16,0)</f>
        <v>#DIV/0!</v>
      </c>
      <c r="E5" s="1525"/>
      <c r="F5" s="2197"/>
      <c r="G5" s="2198"/>
      <c r="H5" s="2198"/>
      <c r="I5" s="2198"/>
      <c r="J5" s="2199"/>
      <c r="K5" s="2200"/>
      <c r="L5" s="2192"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v>
      </c>
      <c r="T5" s="1374" t="e">
        <f t="shared" si="0"/>
        <v>#DIV/0!</v>
      </c>
      <c r="U5" s="1375"/>
      <c r="V5" s="1374" t="e">
        <f t="shared" si="1"/>
        <v>#DIV/0!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v>
      </c>
      <c r="T6" s="1374" t="e">
        <f t="shared" si="0"/>
        <v>#DIV/0!</v>
      </c>
      <c r="U6" s="1375"/>
      <c r="V6" s="1374" t="e">
        <f t="shared" si="1"/>
        <v>#DIV/0!</v>
      </c>
      <c r="W6" s="1378"/>
      <c r="X6" s="1378"/>
      <c r="Y6" s="1378"/>
      <c r="Z6" s="1378"/>
      <c r="AA6" s="1378"/>
      <c r="AB6" s="1378"/>
      <c r="AC6" s="2201"/>
      <c r="AD6" s="2202"/>
      <c r="AE6" s="2202"/>
      <c r="AF6" s="2202"/>
      <c r="AG6" s="2202"/>
      <c r="AH6" s="2202"/>
      <c r="AI6" s="2202"/>
      <c r="AJ6" s="2203"/>
    </row>
    <row r="7" spans="1:36" ht="24">
      <c r="A7" s="3353" t="str">
        <f>IF(E2="商业",IF(C8="不临58条商业街","",2),"")</f>
        <v/>
      </c>
      <c r="B7" s="2211" t="s">
        <v>2653</v>
      </c>
      <c r="C7" s="858" t="e">
        <f>IF(C8="不临58条商业街",1,ROUND(1+(1.6*E8+1.2*E9+0.8*E10+0.4*E11)*C9,4))</f>
        <v>#DIV/0!</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v>
      </c>
      <c r="T7" s="1374" t="e">
        <f t="shared" si="0"/>
        <v>#DIV/0!</v>
      </c>
      <c r="U7" s="1375"/>
      <c r="V7" s="1374" t="e">
        <f t="shared" si="1"/>
        <v>#DIV/0!</v>
      </c>
      <c r="W7" s="1544" t="s">
        <v>2656</v>
      </c>
      <c r="X7" s="1376">
        <f>G2</f>
        <v>0</v>
      </c>
      <c r="Y7" s="1376" t="s">
        <v>2657</v>
      </c>
      <c r="Z7" s="1377">
        <f>G3</f>
        <v>0.78</v>
      </c>
      <c r="AA7" s="1378"/>
      <c r="AB7" s="1378"/>
      <c r="AC7" s="1379"/>
      <c r="AD7" s="1380"/>
      <c r="AE7" s="1380"/>
      <c r="AF7" s="1380"/>
      <c r="AG7" s="1380"/>
      <c r="AH7" s="1380"/>
      <c r="AI7" s="1380"/>
      <c r="AJ7" s="1381"/>
    </row>
    <row r="8" spans="1:36" ht="15">
      <c r="A8" s="3354"/>
      <c r="B8" s="175" t="s">
        <v>2658</v>
      </c>
      <c r="C8" s="2216"/>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346" t="s">
        <v>2661</v>
      </c>
      <c r="X8" s="334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54"/>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34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4"/>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34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4"/>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348" t="s">
        <v>2685</v>
      </c>
      <c r="X11" s="1386" t="s">
        <v>2686</v>
      </c>
      <c r="Y11" s="1387">
        <f>$G$3</f>
        <v>0.78</v>
      </c>
      <c r="Z11" s="1387">
        <f t="shared" ref="Z11:AJ11" si="3">$G$3</f>
        <v>0.78</v>
      </c>
      <c r="AA11" s="1387">
        <f t="shared" si="3"/>
        <v>0.78</v>
      </c>
      <c r="AB11" s="1387">
        <f t="shared" si="3"/>
        <v>0.78</v>
      </c>
      <c r="AC11" s="1387">
        <f t="shared" si="3"/>
        <v>0.78</v>
      </c>
      <c r="AD11" s="1387">
        <f t="shared" si="3"/>
        <v>0.78</v>
      </c>
      <c r="AE11" s="1387">
        <f t="shared" si="3"/>
        <v>0.78</v>
      </c>
      <c r="AF11" s="1387">
        <f t="shared" si="3"/>
        <v>0.78</v>
      </c>
      <c r="AG11" s="1387">
        <f t="shared" si="3"/>
        <v>0.78</v>
      </c>
      <c r="AH11" s="1387">
        <f t="shared" si="3"/>
        <v>0.78</v>
      </c>
      <c r="AI11" s="1387">
        <f t="shared" si="3"/>
        <v>0.78</v>
      </c>
      <c r="AJ11" s="1387">
        <f t="shared" si="3"/>
        <v>0.78</v>
      </c>
    </row>
    <row r="12" spans="1:36" ht="25.5" thickBot="1">
      <c r="A12" s="3353"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34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5"/>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t="e">
        <f t="shared" si="0"/>
        <v>#DIV/0!</v>
      </c>
      <c r="U13" s="1375"/>
      <c r="V13" s="1374" t="e">
        <f t="shared" si="1"/>
        <v>#DIV/0!</v>
      </c>
      <c r="W13" s="3348"/>
      <c r="X13" s="1388"/>
      <c r="Y13" s="1385">
        <f>(-0.163*(Y12^2)-0.59*Y12+7617)*(10^(-4))/Y11</f>
        <v>0.97653846153846158</v>
      </c>
      <c r="Z13" s="1385">
        <f t="shared" ref="Z13:AJ13" si="5">(-0.163*(Z12^2)-0.59*Z12+7617)*(10^(-4))/Z11</f>
        <v>0.97653846153846158</v>
      </c>
      <c r="AA13" s="1385">
        <f t="shared" si="5"/>
        <v>0.97653846153846158</v>
      </c>
      <c r="AB13" s="1385">
        <f t="shared" si="5"/>
        <v>0.97653846153846158</v>
      </c>
      <c r="AC13" s="1385">
        <f t="shared" si="5"/>
        <v>0.97653846153846158</v>
      </c>
      <c r="AD13" s="1385">
        <f t="shared" si="5"/>
        <v>0.97653846153846158</v>
      </c>
      <c r="AE13" s="1385">
        <f t="shared" si="5"/>
        <v>0.97653846153846158</v>
      </c>
      <c r="AF13" s="1385">
        <f t="shared" si="5"/>
        <v>0.97653846153846158</v>
      </c>
      <c r="AG13" s="1385">
        <f t="shared" si="5"/>
        <v>0.97653846153846158</v>
      </c>
      <c r="AH13" s="1385">
        <f t="shared" si="5"/>
        <v>0.97653846153846158</v>
      </c>
      <c r="AI13" s="1385">
        <f t="shared" si="5"/>
        <v>0.97653846153846158</v>
      </c>
      <c r="AJ13" s="1385">
        <f t="shared" si="5"/>
        <v>0.97653846153846158</v>
      </c>
    </row>
    <row r="14" spans="1:36" ht="15">
      <c r="A14" s="3355"/>
      <c r="B14" s="2234"/>
      <c r="C14" s="2235"/>
      <c r="D14" s="2236"/>
      <c r="E14" s="2236"/>
      <c r="F14" s="2237"/>
      <c r="G14" s="2238" t="s">
        <v>2698</v>
      </c>
      <c r="H14" s="2239"/>
      <c r="I14" s="2240"/>
      <c r="J14" s="2241"/>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22"/>
      <c r="AE14" s="3022"/>
      <c r="AF14" s="3022"/>
      <c r="AG14" s="3022"/>
      <c r="AH14" s="3022"/>
      <c r="AI14" s="3022"/>
      <c r="AJ14" s="3023"/>
    </row>
    <row r="15" spans="1:36" ht="15.75" thickBot="1">
      <c r="A15" s="3356"/>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t="e">
        <f t="shared" si="0"/>
        <v>#DIV/0!</v>
      </c>
      <c r="U15" s="1375"/>
      <c r="V15" s="1374" t="e">
        <f t="shared" si="1"/>
        <v>#DIV/0!</v>
      </c>
      <c r="W15" s="1378"/>
      <c r="X15" s="1378"/>
      <c r="Y15" s="1378"/>
      <c r="Z15" s="1378"/>
      <c r="AA15" s="1378"/>
      <c r="AB15" s="1378"/>
      <c r="AC15" s="1379"/>
      <c r="AD15" s="3022"/>
      <c r="AE15" s="3022"/>
      <c r="AF15" s="3022"/>
      <c r="AG15" s="3022"/>
      <c r="AH15" s="3022"/>
      <c r="AI15" s="3022"/>
      <c r="AJ15" s="3023"/>
    </row>
    <row r="16" spans="1:36" ht="24.6" customHeight="1">
      <c r="A16" s="3353" t="s">
        <v>2704</v>
      </c>
      <c r="B16" s="2211" t="s">
        <v>2705</v>
      </c>
      <c r="C16" s="2373" t="e">
        <f>ROUND(IF(F17="与级别开发程度一致",0,(G17-E17)/C17),0)</f>
        <v>#DIV/0!</v>
      </c>
      <c r="D16" s="3369" t="s">
        <v>2709</v>
      </c>
      <c r="E16" s="3370"/>
      <c r="F16" s="3369" t="s">
        <v>2706</v>
      </c>
      <c r="G16" s="3370"/>
      <c r="H16" s="2243"/>
      <c r="I16" s="2243"/>
      <c r="J16" s="2377"/>
      <c r="K16" s="2243"/>
      <c r="L16" s="2243"/>
      <c r="M16" s="2243"/>
      <c r="N16" s="2243"/>
      <c r="O16" s="2244"/>
      <c r="P16" s="2185"/>
      <c r="Q16" s="1280"/>
      <c r="R16" s="1374">
        <v>15</v>
      </c>
      <c r="S16" s="1375"/>
      <c r="T16" s="1374" t="e">
        <f t="shared" si="0"/>
        <v>#DIV/0!</v>
      </c>
      <c r="U16" s="1375"/>
      <c r="V16" s="1374" t="e">
        <f t="shared" si="1"/>
        <v>#DIV/0!</v>
      </c>
      <c r="W16" s="1378"/>
      <c r="X16" s="1378"/>
      <c r="Y16" s="1378"/>
      <c r="Z16" s="1378"/>
      <c r="AA16" s="1378"/>
      <c r="AB16" s="1378"/>
      <c r="AC16" s="1379"/>
      <c r="AD16" s="3022"/>
      <c r="AE16" s="3022"/>
      <c r="AF16" s="3022"/>
      <c r="AG16" s="3022"/>
      <c r="AH16" s="3022"/>
      <c r="AI16" s="3022"/>
      <c r="AJ16" s="3023"/>
    </row>
    <row r="17" spans="1:37" ht="13.5" thickBot="1">
      <c r="A17" s="3357"/>
      <c r="B17" s="2384" t="s">
        <v>2708</v>
      </c>
      <c r="C17" s="2385">
        <f>SUMPRODUCT((修正!A2:A5=E2)*(修正!B1:M1=G2)*(修正!B2:M5))</f>
        <v>0</v>
      </c>
      <c r="D17" s="193" t="str">
        <f>IF(OR(G2="八级",G2="九级",G2="十级",G2="十一级",G2="十二级"),"五通一平","七通一平")</f>
        <v>七通一平</v>
      </c>
      <c r="E17" s="2374">
        <f>SUMPRODUCT((修正!B1:M1=G2)*(修正!B15:M15))</f>
        <v>0</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0</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2712</v>
      </c>
      <c r="C19" s="863" t="e">
        <f>ROUND(IF(H19="按公示增长率计算",SUMPRODUCT((地价!A3:A33=YEAR(G19)&amp;"-"&amp;ROUNDUP(MONTH(G19)/3,0))*(地价!X2:AB2=E2)*(地价!X3:AB33)),IF(H19="地价指数",M20/M19,(1+I19)^O19)),4)</f>
        <v>#VALUE!</v>
      </c>
      <c r="D19" s="2253" t="s">
        <v>2713</v>
      </c>
      <c r="E19" s="864">
        <v>41640</v>
      </c>
      <c r="F19" s="2253" t="s">
        <v>2714</v>
      </c>
      <c r="G19" s="865">
        <f>'数据-取费表'!B2</f>
        <v>44562</v>
      </c>
      <c r="H19" s="2254"/>
      <c r="I19" s="866" t="str">
        <f>IF(H19="季度增幅（自定义）",SUMIF(N21:N24,E2,O21:O24),"")</f>
        <v/>
      </c>
      <c r="J19" s="2251"/>
      <c r="K19" s="1287"/>
      <c r="L19" s="2255" t="s">
        <v>2715</v>
      </c>
      <c r="M19" s="1498">
        <f>ROUND(SUMIF(地价!B2:F2,E2,地价!B33:F33),0)</f>
        <v>0</v>
      </c>
      <c r="N19" s="2256" t="s">
        <v>2716</v>
      </c>
      <c r="O19" s="867">
        <f>ROUNDDOWN(DATEDIF(E19,G19,"M")/3,0)</f>
        <v>32</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2717</v>
      </c>
      <c r="C20" s="868" t="e">
        <f>ROUND(POWER(1+G20,J20-I20)*(POWER(1+G20,I20)-1)/(POWER(1+G20,J20)-1),4)</f>
        <v>#DIV/0!</v>
      </c>
      <c r="D20" s="2260" t="s">
        <v>2718</v>
      </c>
      <c r="E20" s="1507">
        <f ca="1">存贷款利率!D4/100</f>
        <v>4.3499999999999997E-2</v>
      </c>
      <c r="F20" s="2260" t="s">
        <v>2710</v>
      </c>
      <c r="G20" s="873">
        <f>SUMIF(M26:P26,E2,M28:P28)</f>
        <v>0</v>
      </c>
      <c r="H20" s="2260" t="s">
        <v>2719</v>
      </c>
      <c r="I20" s="874" t="e">
        <f>SUMIF('数据-取费表'!C6:C15,E2,'数据-取费表'!F6:F15)/COUNTIF('数据-取费表'!C6:C15,E2)</f>
        <v>#DIV/0!</v>
      </c>
      <c r="J20" s="875">
        <f>IF(E2="住宅",70,IF(E2="商业",40,50))</f>
        <v>50</v>
      </c>
      <c r="K20" s="1287"/>
      <c r="L20" s="2261" t="s">
        <v>2720</v>
      </c>
      <c r="M20" s="1499">
        <f>ROUND(SUMPRODUCT((地价!A4:A33=YEAR(G19)&amp;"-"&amp;ROUNDUP(MONTH(G19)/3,0))*(地价!B2:F2=E2)*(地价!B4:F33)),0)</f>
        <v>0</v>
      </c>
      <c r="N20" s="2262" t="s">
        <v>2721</v>
      </c>
      <c r="O20" s="2263" t="s">
        <v>2722</v>
      </c>
      <c r="P20" s="2264" t="s">
        <v>2723</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2724</v>
      </c>
      <c r="C21" s="876">
        <f>IF(B21="容积率修正",IF(G3&lt;=10,D22,J22),C23)</f>
        <v>0</v>
      </c>
      <c r="D21" s="2267"/>
      <c r="E21" s="2267"/>
      <c r="F21" s="2267"/>
      <c r="G21" s="2267"/>
      <c r="H21" s="2267"/>
      <c r="I21" s="2267"/>
      <c r="J21" s="2268"/>
      <c r="K21" s="1287"/>
      <c r="L21" s="3021"/>
      <c r="M21" s="3021"/>
      <c r="N21" s="2269" t="s">
        <v>2725</v>
      </c>
      <c r="O21" s="1335"/>
      <c r="P21" s="1336">
        <f>SUMPRODUCT((地价!A3:A33=YEAR(G19)&amp;"-"&amp;ROUNDUP(MONTH(G19)/3,0))*(地价!AD2:AH2=N21)*(地价!AD3:AH33))</f>
        <v>0</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2726</v>
      </c>
      <c r="B22" s="2270" t="s">
        <v>2727</v>
      </c>
      <c r="C22" s="1538" t="s">
        <v>2728</v>
      </c>
      <c r="D22" s="1538">
        <f>IF(E22=G22,F22,IF(G3&lt;=10,ROUND(F22+(H22-F22)*(G3-E22)/(G22-E22),4),"——"))</f>
        <v>0</v>
      </c>
      <c r="E22" s="855">
        <f>ROUNDDOWN(G3,1)</f>
        <v>0.7</v>
      </c>
      <c r="F22" s="153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0.79999999999999993</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8" t="s">
        <v>155</v>
      </c>
      <c r="J22" s="877" t="str">
        <f>IF(G3&gt;10,D113,"——")</f>
        <v>——</v>
      </c>
      <c r="K22" s="1287"/>
      <c r="L22" s="3021"/>
      <c r="M22" s="3021"/>
      <c r="N22" s="2269" t="s">
        <v>2729</v>
      </c>
      <c r="O22" s="1335"/>
      <c r="P22" s="1336">
        <f>SUMPRODUCT((地价!A3:A33=YEAR(G19)&amp;"-"&amp;ROUNDUP(MONTH(G19)/3,0))*(地价!AD2:AH2=N22)*(地价!AD3:AH33))</f>
        <v>0</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2730</v>
      </c>
      <c r="B23" s="2271" t="s">
        <v>2731</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2732</v>
      </c>
      <c r="O23" s="1335"/>
      <c r="P23" s="1336">
        <f>SUMPRODUCT((地价!A3:A33=YEAR(G19)&amp;"-"&amp;ROUNDUP(MONTH(G19)/3,0))*(地价!AD2:AH2=N23)*(地价!AD3:AH33))</f>
        <v>0</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2733</v>
      </c>
      <c r="C24" s="863">
        <f>SUMIF(A45:A88,E2,B45:B88)</f>
        <v>0</v>
      </c>
      <c r="D24" s="2250"/>
      <c r="E24" s="2277"/>
      <c r="F24" s="2277"/>
      <c r="G24" s="2277"/>
      <c r="H24" s="2277"/>
      <c r="I24" s="2277"/>
      <c r="J24" s="2278"/>
      <c r="K24" s="1287"/>
      <c r="L24" s="3021"/>
      <c r="M24" s="3021"/>
      <c r="N24" s="2279" t="s">
        <v>2734</v>
      </c>
      <c r="O24" s="1337"/>
      <c r="P24" s="1338">
        <f>SUMPRODUCT((地价!A3:A33=YEAR(G19)&amp;"-"&amp;ROUNDUP(MONTH(G19)/3,0))*(地价!AD2:AH2=N24)*(地价!AD3:AH33))</f>
        <v>0</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2735</v>
      </c>
      <c r="C25" s="869"/>
      <c r="D25" s="2214"/>
      <c r="E25" s="2214"/>
      <c r="F25" s="2281"/>
      <c r="G25" s="2214"/>
      <c r="H25" s="2214"/>
      <c r="I25" s="2214"/>
      <c r="J25" s="2215"/>
      <c r="K25" s="1280"/>
      <c r="L25" s="2185"/>
      <c r="M25" s="2185"/>
      <c r="N25" s="3016" t="s">
        <v>2736</v>
      </c>
      <c r="O25" s="3017"/>
      <c r="P25" s="3018">
        <f>SUMPRODUCT((地价!A3:A33=YEAR(G19)&amp;"-"&amp;ROUNDUP(MONTH(G19)/3,0))*(地价!AD2:AH2=N25)*(地价!AD3:AH33))</f>
        <v>0</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2737</v>
      </c>
      <c r="C26" s="2544" t="e">
        <f>IF(B21="容积率修正",E29+SUM(E33:E39),SUM(V2:V16)+SUM(E33:E39))</f>
        <v>#DIV/0!</v>
      </c>
      <c r="D26" s="2283"/>
      <c r="E26" s="2239"/>
      <c r="F26" s="2284"/>
      <c r="G26" s="2239"/>
      <c r="H26" s="2239"/>
      <c r="I26" s="2239"/>
      <c r="J26" s="2285"/>
      <c r="K26" s="1280"/>
      <c r="L26" s="3019" t="s">
        <v>2635</v>
      </c>
      <c r="M26" s="2212" t="s">
        <v>2700</v>
      </c>
      <c r="N26" s="2212" t="s">
        <v>2701</v>
      </c>
      <c r="O26" s="2212" t="s">
        <v>2702</v>
      </c>
      <c r="P26" s="3020"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2738</v>
      </c>
      <c r="C27" s="870" t="e">
        <f>E30+SUM(I33:I39)</f>
        <v>#DIV/0!</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2739</v>
      </c>
      <c r="C28" s="2293" t="s">
        <v>2740</v>
      </c>
      <c r="D28" s="2293" t="s">
        <v>2741</v>
      </c>
      <c r="E28" s="2294" t="s">
        <v>2742</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2743</v>
      </c>
      <c r="C29" s="180" t="e">
        <f>ROUND(C5*C18*C19*C20*C21*C24,0)</f>
        <v>#DIV/0!</v>
      </c>
      <c r="D29" s="2298"/>
      <c r="E29" s="879" t="e">
        <f>ROUND(C29*D29/10000,0)</f>
        <v>#DIV/0!</v>
      </c>
      <c r="F29" s="2299" t="s">
        <v>2744</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2745</v>
      </c>
      <c r="C30" s="193" t="e">
        <f>ROUND(IF(E2="工业",C29*M39,C29*M38),0)</f>
        <v>#DIV/0!</v>
      </c>
      <c r="D30" s="2304"/>
      <c r="E30" s="879" t="e">
        <f>ROUND(C30*D30/10000,0)</f>
        <v>#DIV/0!</v>
      </c>
      <c r="F30" s="2305" t="s">
        <v>2746</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2747</v>
      </c>
      <c r="C31" s="2310" t="s">
        <v>2748</v>
      </c>
      <c r="D31" s="2227"/>
      <c r="E31" s="2310"/>
      <c r="F31" s="2310"/>
      <c r="G31" s="2225" t="s">
        <v>2749</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2740</v>
      </c>
      <c r="D32" s="455" t="s">
        <v>2741</v>
      </c>
      <c r="E32" s="455" t="s">
        <v>2742</v>
      </c>
      <c r="F32" s="348" t="s">
        <v>2750</v>
      </c>
      <c r="G32" s="2313" t="s">
        <v>2740</v>
      </c>
      <c r="H32" s="2313" t="s">
        <v>2741</v>
      </c>
      <c r="I32" s="2313" t="s">
        <v>2742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6"/>
      <c r="B33" s="2314" t="s">
        <v>2751</v>
      </c>
      <c r="C33" s="180" t="e">
        <f>ROUND(D5*C19*C20*C24*F33,0)</f>
        <v>#DIV/0!</v>
      </c>
      <c r="D33" s="2298"/>
      <c r="E33" s="176" t="e">
        <f>ROUND(C33*D33/10000,0)</f>
        <v>#DIV/0!</v>
      </c>
      <c r="F33" s="176">
        <f>SUMIF(修正!A45:A56,G2,修正!B45:B56)</f>
        <v>0</v>
      </c>
      <c r="G33" s="176" t="e">
        <f t="shared" ref="G33" si="6">ROUND(IF(E2="工业",C33*$M$39,C33*$M$38),0)</f>
        <v>#DIV/0!</v>
      </c>
      <c r="H33" s="176">
        <f>D33</f>
        <v>0</v>
      </c>
      <c r="I33" s="176" t="e">
        <f>ROUND(G33*H33/10000,0)</f>
        <v>#DIV/0!</v>
      </c>
      <c r="J33" s="3371" t="s">
        <v>3058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7"/>
      <c r="B34" s="2231" t="s">
        <v>2752</v>
      </c>
      <c r="C34" s="180" t="e">
        <f>ROUND(D5*C19*C20*C24*F34,0)</f>
        <v>#DIV/0!</v>
      </c>
      <c r="D34" s="229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6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7"/>
      <c r="B35" s="2231" t="s">
        <v>2753</v>
      </c>
      <c r="C35" s="180" t="e">
        <f>ROUND(D5*C19*C20*C24*F35,0)</f>
        <v>#DIV/0!</v>
      </c>
      <c r="D35" s="2298"/>
      <c r="E35" s="176" t="e">
        <f t="shared" si="7"/>
        <v>#DIV/0!</v>
      </c>
      <c r="F35" s="176">
        <f>SUMIF(修正!A45:A56,G2,修正!D45:D56)</f>
        <v>0</v>
      </c>
      <c r="G35" s="176" t="e">
        <f>ROUND(IF(E2="工业",C35*$M$39,C35*$M$38),0)</f>
        <v>#DIV/0!</v>
      </c>
      <c r="H35" s="176">
        <f t="shared" si="8"/>
        <v>0</v>
      </c>
      <c r="I35" s="176" t="e">
        <f t="shared" si="9"/>
        <v>#DIV/0!</v>
      </c>
      <c r="J35" s="336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8"/>
      <c r="B36" s="2231" t="s">
        <v>2754</v>
      </c>
      <c r="C36" s="180" t="e">
        <f>ROUND(D5*C19*C20*C24*F36,0)</f>
        <v>#DIV/0!</v>
      </c>
      <c r="D36" s="2298"/>
      <c r="E36" s="176" t="e">
        <f t="shared" si="7"/>
        <v>#DIV/0!</v>
      </c>
      <c r="F36" s="176">
        <f>SUMIF(修正!A45:A56,G2,修正!E45:E56)</f>
        <v>0</v>
      </c>
      <c r="G36" s="176" t="e">
        <f>ROUND(IF(E2="工业",C36*$M$39,C36*$M$38),0)</f>
        <v>#DIV/0!</v>
      </c>
      <c r="H36" s="176">
        <f t="shared" si="8"/>
        <v>0</v>
      </c>
      <c r="I36" s="176" t="e">
        <f t="shared" si="9"/>
        <v>#DIV/0!</v>
      </c>
      <c r="J36" s="3368"/>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2755</v>
      </c>
      <c r="C37" s="176" t="e">
        <f>ROUND(D5*C19*C20*C24*F37,0)</f>
        <v>#DIV/0!</v>
      </c>
      <c r="D37" s="2298"/>
      <c r="E37" s="176" t="e">
        <f t="shared" si="7"/>
        <v>#DIV/0!</v>
      </c>
      <c r="F37" s="180">
        <f>SUMIF(修正!A45:A56,G2,修正!F45:F56)</f>
        <v>0</v>
      </c>
      <c r="G37" s="176" t="e">
        <f>ROUND(IF(E2="工业",C37*$M$39,C37*$M$38),0)</f>
        <v>#DIV/0!</v>
      </c>
      <c r="H37" s="176">
        <f t="shared" si="8"/>
        <v>0</v>
      </c>
      <c r="I37" s="176" t="e">
        <f t="shared" si="9"/>
        <v>#DIV/0!</v>
      </c>
      <c r="J37" s="2315"/>
      <c r="K37" s="1280"/>
      <c r="L37" s="2317" t="s">
        <v>2756</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2757</v>
      </c>
      <c r="C38" s="176" t="e">
        <f>ROUND(D5*C19*C41*C24*F38,0)</f>
        <v>#DIV/0!</v>
      </c>
      <c r="D38" s="2298"/>
      <c r="E38" s="176" t="e">
        <f t="shared" si="7"/>
        <v>#DIV/0!</v>
      </c>
      <c r="F38" s="180">
        <f>SUMIF(修正!A45:A56,G2,修正!G45:G56)</f>
        <v>0</v>
      </c>
      <c r="G38" s="176" t="e">
        <f>ROUND(IF(E2="工业",C38*$M$39,C38*$M$38),0)</f>
        <v>#DIV/0!</v>
      </c>
      <c r="H38" s="176">
        <f t="shared" si="8"/>
        <v>0</v>
      </c>
      <c r="I38" s="176" t="e">
        <f t="shared" si="9"/>
        <v>#DIV/0!</v>
      </c>
      <c r="J38" s="2315"/>
      <c r="K38" s="1280"/>
      <c r="L38" s="1607" t="s">
        <v>2758</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2759</v>
      </c>
      <c r="C39" s="193" t="e">
        <f>ROUND(D5*C19*C41*C24*F39,0)</f>
        <v>#DIV/0!</v>
      </c>
      <c r="D39" s="2304"/>
      <c r="E39" s="193" t="e">
        <f t="shared" si="7"/>
        <v>#DIV/0!</v>
      </c>
      <c r="F39" s="871">
        <f>SUMIF(修正!A45:A56,G2,修正!H45:H56)</f>
        <v>0</v>
      </c>
      <c r="G39" s="193" t="e">
        <f>ROUND(IF(E2="工业",C39*$M$39,C39*$M$38),0)</f>
        <v>#DIV/0!</v>
      </c>
      <c r="H39" s="193">
        <f t="shared" si="8"/>
        <v>0</v>
      </c>
      <c r="I39" s="193" t="e">
        <f t="shared" si="9"/>
        <v>#DIV/0!</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2864</v>
      </c>
      <c r="C41" s="348" t="e">
        <f>ROUND(POWER(1+E41,H41-G41)*(POWER(1+E41,G41)-1)/(POWER(1+E41,H41)-1),4)</f>
        <v>#DIV/0!</v>
      </c>
      <c r="D41" s="176" t="s">
        <v>2710</v>
      </c>
      <c r="E41" s="2371">
        <f>G20</f>
        <v>0</v>
      </c>
      <c r="F41" s="176" t="s">
        <v>2719</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2760</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2761</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2762</v>
      </c>
      <c r="B47" s="1537" t="s">
        <v>2763</v>
      </c>
      <c r="C47" s="1537" t="s">
        <v>2764</v>
      </c>
      <c r="D47" s="1537" t="s">
        <v>2765</v>
      </c>
      <c r="E47" s="758" t="s">
        <v>2766</v>
      </c>
      <c r="F47" s="2332" t="s">
        <v>2767</v>
      </c>
      <c r="G47" s="1537" t="s">
        <v>754</v>
      </c>
      <c r="H47" s="2333" t="s">
        <v>2768</v>
      </c>
      <c r="I47" s="1537" t="s">
        <v>2769</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2770</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1" t="s">
        <v>2771</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2772</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2773</v>
      </c>
      <c r="B51" s="2336" t="s">
        <v>2774</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2775</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2776</v>
      </c>
      <c r="B53" s="2337" t="s">
        <v>2777</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8" t="s">
        <v>2778</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8" t="s">
        <v>2779</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9" t="s">
        <v>2780</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2781</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2762</v>
      </c>
      <c r="B58" s="1537"/>
      <c r="C58" s="1537" t="s">
        <v>2764</v>
      </c>
      <c r="D58" s="1537" t="s">
        <v>2765</v>
      </c>
      <c r="E58" s="758" t="s">
        <v>2766</v>
      </c>
      <c r="F58" s="2332" t="s">
        <v>2782</v>
      </c>
      <c r="G58" s="1537" t="s">
        <v>754</v>
      </c>
      <c r="H58" s="2333" t="s">
        <v>2768</v>
      </c>
      <c r="I58" s="1537" t="s">
        <v>2769</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2783</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1" t="s">
        <v>2771</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1" t="s">
        <v>2772</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1" t="s">
        <v>2773</v>
      </c>
      <c r="B62" s="2336" t="s">
        <v>2774</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1" t="s">
        <v>2775</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1" t="s">
        <v>2776</v>
      </c>
      <c r="B64" s="2337" t="s">
        <v>2777</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1" t="s">
        <v>2778</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1" t="s">
        <v>2779</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9" t="s">
        <v>2780</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7" t="s">
        <v>2784</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2762</v>
      </c>
      <c r="B69" s="1537"/>
      <c r="C69" s="1537" t="s">
        <v>2764</v>
      </c>
      <c r="D69" s="1537" t="s">
        <v>2765</v>
      </c>
      <c r="E69" s="758" t="s">
        <v>2766</v>
      </c>
      <c r="F69" s="2332" t="s">
        <v>2782</v>
      </c>
      <c r="G69" s="1537" t="s">
        <v>754</v>
      </c>
      <c r="H69" s="2333" t="s">
        <v>2768</v>
      </c>
      <c r="I69" s="1537" t="s">
        <v>2769</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2785</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1" t="s">
        <v>2771</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1" t="s">
        <v>2772</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1" t="s">
        <v>2786</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1" t="s">
        <v>2778</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1" t="s">
        <v>2779</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c r="A76" s="2331" t="s">
        <v>2776</v>
      </c>
      <c r="B76" s="2337" t="s">
        <v>2777</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c r="A77" s="2331" t="s">
        <v>2780</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thickBot="1">
      <c r="A78" s="2339" t="s">
        <v>2787</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2788</v>
      </c>
      <c r="B79" s="2328">
        <f>1+E81</f>
        <v>1</v>
      </c>
      <c r="C79" s="753"/>
      <c r="D79" s="753"/>
      <c r="E79" s="754"/>
      <c r="F79" s="2330"/>
      <c r="G79" s="6"/>
      <c r="H79" s="6"/>
      <c r="I79" s="6"/>
      <c r="J79" s="7"/>
      <c r="K79" s="7"/>
      <c r="L79" s="7"/>
      <c r="M79" s="7"/>
      <c r="N79" s="7"/>
      <c r="Z79" s="2186"/>
      <c r="AA79" s="2252"/>
      <c r="AG79" s="1282"/>
      <c r="AK79" s="2252"/>
    </row>
    <row r="80" spans="1:37" ht="24.75">
      <c r="A80" s="2331" t="s">
        <v>2762</v>
      </c>
      <c r="B80" s="1537"/>
      <c r="C80" s="1537" t="s">
        <v>2764</v>
      </c>
      <c r="D80" s="1537" t="s">
        <v>2765</v>
      </c>
      <c r="E80" s="758" t="s">
        <v>2766</v>
      </c>
      <c r="F80" s="2332" t="s">
        <v>2782</v>
      </c>
      <c r="G80" s="1537" t="s">
        <v>754</v>
      </c>
      <c r="H80" s="2333" t="s">
        <v>2768</v>
      </c>
      <c r="I80" s="1537" t="s">
        <v>2769</v>
      </c>
      <c r="J80" s="560" t="s">
        <v>2418</v>
      </c>
      <c r="K80" s="560" t="s">
        <v>2419</v>
      </c>
      <c r="L80" s="560" t="s">
        <v>2420</v>
      </c>
      <c r="M80" s="560" t="s">
        <v>2421</v>
      </c>
      <c r="N80" s="560" t="s">
        <v>2422</v>
      </c>
      <c r="Z80" s="2186"/>
      <c r="AA80" s="2252"/>
      <c r="AG80" s="1282"/>
      <c r="AK80" s="2252"/>
    </row>
    <row r="81" spans="1:37" ht="38.25">
      <c r="A81" s="2331" t="s">
        <v>2789</v>
      </c>
      <c r="B81" s="2335" t="str">
        <f>估价对象房地状况!G15</f>
        <v>估价对象位于XX开发区，园区建设成熟度XX，产业集聚程度XX</v>
      </c>
      <c r="C81" s="2236"/>
      <c r="D81" s="1196">
        <f t="shared" ref="D81:D88" si="25">SUMIF($J$80:$N$80,C81,J81:N81)</f>
        <v>0</v>
      </c>
      <c r="E81" s="760">
        <f>ROUND(SUM(D81:D88),4)</f>
        <v>0</v>
      </c>
      <c r="F81" s="2002"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6"/>
      <c r="AA81" s="2252"/>
      <c r="AG81" s="1282"/>
      <c r="AK81" s="2252"/>
    </row>
    <row r="82" spans="1:37" ht="51">
      <c r="A82" s="2331" t="s">
        <v>2771</v>
      </c>
      <c r="B82" s="2335" t="str">
        <f>估价对象房地状况!G16</f>
        <v>估价对象周边道路状况、公共交通通达情况、停车便捷程度，综合评价交通便捷度较好</v>
      </c>
      <c r="C82" s="2236"/>
      <c r="D82" s="1196">
        <f t="shared" si="25"/>
        <v>0</v>
      </c>
      <c r="E82" s="765"/>
      <c r="F82" s="2002"/>
      <c r="G82" s="1194"/>
      <c r="H82" s="1198" t="str">
        <f t="shared" si="26"/>
        <v>——</v>
      </c>
      <c r="I82" s="759">
        <v>0.33</v>
      </c>
      <c r="J82" s="1195">
        <f t="shared" si="27"/>
        <v>0</v>
      </c>
      <c r="K82" s="1195">
        <f t="shared" si="28"/>
        <v>0</v>
      </c>
      <c r="L82" s="1195">
        <v>0</v>
      </c>
      <c r="M82" s="1195">
        <f t="shared" si="29"/>
        <v>0</v>
      </c>
      <c r="N82" s="1195">
        <f t="shared" si="29"/>
        <v>0</v>
      </c>
      <c r="Z82" s="2186"/>
      <c r="AA82" s="2252"/>
      <c r="AG82" s="1282"/>
      <c r="AK82" s="2252"/>
    </row>
    <row r="83" spans="1:37" ht="24">
      <c r="A83" s="2331" t="s">
        <v>2772</v>
      </c>
      <c r="B83" s="2335">
        <f>估价对象房地状况!G17</f>
        <v>0</v>
      </c>
      <c r="C83" s="2236"/>
      <c r="D83" s="1196">
        <f t="shared" si="25"/>
        <v>0</v>
      </c>
      <c r="E83" s="765"/>
      <c r="F83" s="2002"/>
      <c r="G83" s="1194"/>
      <c r="H83" s="1198" t="str">
        <f t="shared" si="26"/>
        <v>——</v>
      </c>
      <c r="I83" s="759">
        <v>0.05</v>
      </c>
      <c r="J83" s="1195">
        <f t="shared" si="27"/>
        <v>0</v>
      </c>
      <c r="K83" s="1195">
        <f t="shared" si="28"/>
        <v>0</v>
      </c>
      <c r="L83" s="1195">
        <v>0</v>
      </c>
      <c r="M83" s="1195">
        <f t="shared" si="29"/>
        <v>0</v>
      </c>
      <c r="N83" s="1195">
        <f t="shared" si="29"/>
        <v>0</v>
      </c>
      <c r="Z83" s="2186"/>
      <c r="AA83" s="2252"/>
      <c r="AG83" s="1282"/>
      <c r="AK83" s="2252"/>
    </row>
    <row r="84" spans="1:37" ht="14.25">
      <c r="A84" s="2331" t="s">
        <v>2786</v>
      </c>
      <c r="B84" s="2335">
        <f>估价对象房地状况!G22</f>
        <v>0</v>
      </c>
      <c r="C84" s="2236"/>
      <c r="D84" s="1196">
        <f t="shared" si="25"/>
        <v>0</v>
      </c>
      <c r="E84" s="765"/>
      <c r="F84" s="2002"/>
      <c r="G84" s="1194"/>
      <c r="H84" s="1198" t="str">
        <f t="shared" si="26"/>
        <v>——</v>
      </c>
      <c r="I84" s="759">
        <v>0.04</v>
      </c>
      <c r="J84" s="1195">
        <f t="shared" si="27"/>
        <v>0</v>
      </c>
      <c r="K84" s="1195">
        <f t="shared" si="28"/>
        <v>0</v>
      </c>
      <c r="L84" s="1195">
        <v>0</v>
      </c>
      <c r="M84" s="1195">
        <f t="shared" si="29"/>
        <v>0</v>
      </c>
      <c r="N84" s="1195">
        <f t="shared" si="29"/>
        <v>0</v>
      </c>
      <c r="Z84" s="2186"/>
      <c r="AA84" s="2252"/>
      <c r="AG84" s="1282"/>
      <c r="AK84" s="2252"/>
    </row>
    <row r="85" spans="1:37" ht="25.5">
      <c r="A85" s="2331" t="s">
        <v>2778</v>
      </c>
      <c r="B85" s="1496" t="str">
        <f>估价对象房地状况!G19</f>
        <v>估价对象所在区域公共配套设施齐备情况</v>
      </c>
      <c r="C85" s="2236"/>
      <c r="D85" s="1196">
        <f t="shared" si="25"/>
        <v>0</v>
      </c>
      <c r="E85" s="765"/>
      <c r="F85" s="2002"/>
      <c r="G85" s="1194"/>
      <c r="H85" s="1198" t="str">
        <f t="shared" si="26"/>
        <v>——</v>
      </c>
      <c r="I85" s="759">
        <v>0.06</v>
      </c>
      <c r="J85" s="1195">
        <f t="shared" si="27"/>
        <v>0</v>
      </c>
      <c r="K85" s="1195">
        <f t="shared" si="28"/>
        <v>0</v>
      </c>
      <c r="L85" s="1195">
        <v>0</v>
      </c>
      <c r="M85" s="1195">
        <f t="shared" si="29"/>
        <v>0</v>
      </c>
      <c r="N85" s="1195">
        <f t="shared" si="29"/>
        <v>0</v>
      </c>
      <c r="Z85" s="2186"/>
      <c r="AA85" s="2252"/>
      <c r="AG85" s="1282"/>
      <c r="AK85" s="2252"/>
    </row>
    <row r="86" spans="1:37" ht="25.5">
      <c r="A86" s="2331" t="s">
        <v>2779</v>
      </c>
      <c r="B86" s="1496" t="str">
        <f>估价对象房地状况!G20</f>
        <v>估价对象所在区域基础设施水平</v>
      </c>
      <c r="C86" s="2236"/>
      <c r="D86" s="1196">
        <f t="shared" si="25"/>
        <v>0</v>
      </c>
      <c r="E86" s="765"/>
      <c r="F86" s="2002"/>
      <c r="G86" s="1194"/>
      <c r="H86" s="1198" t="str">
        <f t="shared" si="26"/>
        <v>——</v>
      </c>
      <c r="I86" s="759">
        <v>0.15</v>
      </c>
      <c r="J86" s="1195">
        <f t="shared" si="27"/>
        <v>0</v>
      </c>
      <c r="K86" s="1195">
        <f t="shared" si="28"/>
        <v>0</v>
      </c>
      <c r="L86" s="1195">
        <v>0</v>
      </c>
      <c r="M86" s="1195">
        <f t="shared" si="29"/>
        <v>0</v>
      </c>
      <c r="N86" s="1195">
        <f t="shared" si="29"/>
        <v>0</v>
      </c>
      <c r="Z86" s="2186"/>
      <c r="AA86" s="2252"/>
      <c r="AG86" s="1282"/>
      <c r="AK86" s="2252"/>
    </row>
    <row r="87" spans="1:37" ht="24">
      <c r="A87" s="2331" t="s">
        <v>2776</v>
      </c>
      <c r="B87" s="2337" t="s">
        <v>2790</v>
      </c>
      <c r="C87" s="2236"/>
      <c r="D87" s="1196">
        <f t="shared" si="25"/>
        <v>0</v>
      </c>
      <c r="E87" s="765"/>
      <c r="F87" s="2002"/>
      <c r="G87" s="1194"/>
      <c r="H87" s="1198" t="str">
        <f t="shared" si="26"/>
        <v>——</v>
      </c>
      <c r="I87" s="759">
        <v>0.05</v>
      </c>
      <c r="J87" s="1195">
        <f t="shared" si="27"/>
        <v>0</v>
      </c>
      <c r="K87" s="1195">
        <f t="shared" si="28"/>
        <v>0</v>
      </c>
      <c r="L87" s="1195">
        <v>0</v>
      </c>
      <c r="M87" s="1195">
        <f t="shared" si="29"/>
        <v>0</v>
      </c>
      <c r="N87" s="1195">
        <f t="shared" si="29"/>
        <v>0</v>
      </c>
      <c r="Z87" s="2186"/>
      <c r="AA87" s="2252"/>
      <c r="AG87" s="1282"/>
      <c r="AK87" s="2252"/>
    </row>
    <row r="88" spans="1:37" ht="39" thickBot="1">
      <c r="A88" s="2339" t="s">
        <v>2791</v>
      </c>
      <c r="B88" s="2344" t="str">
        <f>估价对象房地状况!G18</f>
        <v>该园区内是否有污染型企业，绿化情况，卫生条件，整体环境状况判断</v>
      </c>
      <c r="C88" s="2236"/>
      <c r="D88" s="1196">
        <f t="shared" si="25"/>
        <v>0</v>
      </c>
      <c r="E88" s="766"/>
      <c r="F88" s="2002"/>
      <c r="G88" s="1194"/>
      <c r="H88" s="1198" t="str">
        <f t="shared" si="26"/>
        <v>——</v>
      </c>
      <c r="I88" s="763">
        <v>0.06</v>
      </c>
      <c r="J88" s="1195">
        <f t="shared" si="27"/>
        <v>0</v>
      </c>
      <c r="K88" s="1195">
        <f t="shared" si="28"/>
        <v>0</v>
      </c>
      <c r="L88" s="1195">
        <v>0</v>
      </c>
      <c r="M88" s="1195">
        <f t="shared" si="29"/>
        <v>0</v>
      </c>
      <c r="N88" s="1195">
        <f t="shared" si="29"/>
        <v>0</v>
      </c>
      <c r="Z88" s="2186"/>
      <c r="AA88" s="2252"/>
      <c r="AG88" s="1282"/>
      <c r="AK88" s="2252"/>
    </row>
    <row r="90" spans="1:37">
      <c r="A90" s="3358" t="s">
        <v>2792</v>
      </c>
      <c r="B90" s="3358"/>
      <c r="C90" s="3358"/>
      <c r="D90" s="3358"/>
      <c r="E90" s="3358"/>
      <c r="F90" s="3358"/>
      <c r="G90" s="3358"/>
      <c r="H90" s="3358"/>
      <c r="I90" s="3358"/>
      <c r="J90" s="3358"/>
      <c r="K90" s="2345"/>
      <c r="L90" s="2345"/>
      <c r="M90" s="2345"/>
      <c r="N90" s="2345"/>
    </row>
    <row r="91" spans="1:37">
      <c r="A91" s="3360" t="s">
        <v>2793</v>
      </c>
      <c r="B91" s="3360" t="s">
        <v>2794</v>
      </c>
      <c r="C91" s="2299" t="s">
        <v>2795</v>
      </c>
      <c r="D91" s="2300"/>
      <c r="E91" s="2300"/>
      <c r="F91" s="2300"/>
      <c r="G91" s="2300"/>
      <c r="H91" s="2300"/>
      <c r="I91" s="2300"/>
      <c r="J91" s="2346"/>
      <c r="K91" s="2347"/>
      <c r="L91" s="2347"/>
      <c r="M91" s="2347"/>
      <c r="N91" s="2347"/>
    </row>
    <row r="92" spans="1:37">
      <c r="A92" s="3360"/>
      <c r="B92" s="3360"/>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61" t="s">
        <v>2796</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62"/>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62"/>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62"/>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62"/>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62"/>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62"/>
      <c r="B99" s="2348" t="s">
        <v>2678</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63"/>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61" t="s">
        <v>2797</v>
      </c>
      <c r="B101" s="2352" t="s">
        <v>2798</v>
      </c>
      <c r="C101" s="2353">
        <f>$G$3</f>
        <v>0.78</v>
      </c>
      <c r="D101" s="2353">
        <f t="shared" ref="D101:N101" si="31">$G$3</f>
        <v>0.78</v>
      </c>
      <c r="E101" s="2353">
        <f t="shared" si="31"/>
        <v>0.78</v>
      </c>
      <c r="F101" s="2353">
        <f t="shared" si="31"/>
        <v>0.78</v>
      </c>
      <c r="G101" s="2353">
        <f t="shared" si="31"/>
        <v>0.78</v>
      </c>
      <c r="H101" s="2353">
        <f t="shared" si="31"/>
        <v>0.78</v>
      </c>
      <c r="I101" s="2353">
        <f t="shared" si="31"/>
        <v>0.78</v>
      </c>
      <c r="J101" s="2353">
        <f t="shared" si="31"/>
        <v>0.78</v>
      </c>
      <c r="K101" s="2353">
        <f t="shared" si="31"/>
        <v>0.78</v>
      </c>
      <c r="L101" s="2353">
        <f t="shared" si="31"/>
        <v>0.78</v>
      </c>
      <c r="M101" s="2353">
        <f t="shared" si="31"/>
        <v>0.78</v>
      </c>
      <c r="N101" s="2353">
        <f t="shared" si="31"/>
        <v>0.78</v>
      </c>
    </row>
    <row r="102" spans="1:14">
      <c r="A102" s="3362"/>
      <c r="B102" s="2348">
        <v>1</v>
      </c>
      <c r="C102" s="2349">
        <f>1.9362/C101</f>
        <v>2.4823076923076921</v>
      </c>
      <c r="D102" s="2349">
        <f>1.9362/D101</f>
        <v>2.4823076923076921</v>
      </c>
      <c r="E102" s="2349">
        <f>1.8629/E101</f>
        <v>2.3883333333333332</v>
      </c>
      <c r="F102" s="2349">
        <f>1.8629/F101</f>
        <v>2.3883333333333332</v>
      </c>
      <c r="G102" s="2349">
        <f>1.8629/G101</f>
        <v>2.3883333333333332</v>
      </c>
      <c r="H102" s="2349">
        <f>1.8629/H101</f>
        <v>2.3883333333333332</v>
      </c>
      <c r="I102" s="2349">
        <f>1.8629/I101</f>
        <v>2.3883333333333332</v>
      </c>
      <c r="J102" s="2349">
        <f>1.942/J101</f>
        <v>2.4897435897435898</v>
      </c>
      <c r="K102" s="2349">
        <f>1.942/K101</f>
        <v>2.4897435897435898</v>
      </c>
      <c r="L102" s="2349">
        <f>1.942/L101</f>
        <v>2.4897435897435898</v>
      </c>
      <c r="M102" s="2349">
        <f>1.942/M101</f>
        <v>2.4897435897435898</v>
      </c>
      <c r="N102" s="2349">
        <f>1.942/N101</f>
        <v>2.4897435897435898</v>
      </c>
    </row>
    <row r="103" spans="1:14">
      <c r="A103" s="3362"/>
      <c r="B103" s="2348">
        <v>2</v>
      </c>
      <c r="C103" s="2349">
        <f>1.4198/C101</f>
        <v>1.8202564102564101</v>
      </c>
      <c r="D103" s="2349">
        <f>1.4198/D101</f>
        <v>1.8202564102564101</v>
      </c>
      <c r="E103" s="2349">
        <f>1.3372/E101</f>
        <v>1.7143589743589742</v>
      </c>
      <c r="F103" s="2349">
        <f>1.3372/F101</f>
        <v>1.7143589743589742</v>
      </c>
      <c r="G103" s="2349">
        <f>1.3372/G101</f>
        <v>1.7143589743589742</v>
      </c>
      <c r="H103" s="2349">
        <f>1.3372/H101</f>
        <v>1.7143589743589742</v>
      </c>
      <c r="I103" s="2349">
        <f>1.3372/I101</f>
        <v>1.7143589743589742</v>
      </c>
      <c r="J103" s="2349">
        <f>1.2799/J101</f>
        <v>1.640897435897436</v>
      </c>
      <c r="K103" s="2349">
        <f>1.2799/K101</f>
        <v>1.640897435897436</v>
      </c>
      <c r="L103" s="2349">
        <f>1.2799/L101</f>
        <v>1.640897435897436</v>
      </c>
      <c r="M103" s="2349">
        <f>1.2799/M101</f>
        <v>1.640897435897436</v>
      </c>
      <c r="N103" s="2349">
        <f>1.2799/N101</f>
        <v>1.640897435897436</v>
      </c>
    </row>
    <row r="104" spans="1:14">
      <c r="A104" s="3362"/>
      <c r="B104" s="2348">
        <v>3</v>
      </c>
      <c r="C104" s="2349">
        <f>1.1594/C101</f>
        <v>1.4864102564102564</v>
      </c>
      <c r="D104" s="2349">
        <f>1.1594/D101</f>
        <v>1.4864102564102564</v>
      </c>
      <c r="E104" s="2349">
        <f>1.0788/E101</f>
        <v>1.3830769230769231</v>
      </c>
      <c r="F104" s="2349">
        <f>1.0788/F101</f>
        <v>1.3830769230769231</v>
      </c>
      <c r="G104" s="2349">
        <f>1.0788/G101</f>
        <v>1.3830769230769231</v>
      </c>
      <c r="H104" s="2349">
        <f>1.0788/H101</f>
        <v>1.3830769230769231</v>
      </c>
      <c r="I104" s="2349">
        <f>1.0788/I101</f>
        <v>1.3830769230769231</v>
      </c>
      <c r="J104" s="2349">
        <f>1.0072/J101</f>
        <v>1.2912820512820513</v>
      </c>
      <c r="K104" s="2349">
        <f>1.0072/K101</f>
        <v>1.2912820512820513</v>
      </c>
      <c r="L104" s="2349">
        <f>1.0072/L101</f>
        <v>1.2912820512820513</v>
      </c>
      <c r="M104" s="2349">
        <f>1.0072/M101</f>
        <v>1.2912820512820513</v>
      </c>
      <c r="N104" s="2349">
        <f>1.0072/N101</f>
        <v>1.2912820512820513</v>
      </c>
    </row>
    <row r="105" spans="1:14">
      <c r="A105" s="3362"/>
      <c r="B105" s="2348">
        <v>4</v>
      </c>
      <c r="C105" s="2349">
        <f>0.9622/C101</f>
        <v>1.2335897435897436</v>
      </c>
      <c r="D105" s="2349">
        <f>0.9622/D101</f>
        <v>1.2335897435897436</v>
      </c>
      <c r="E105" s="2349">
        <f>0.8656/E101</f>
        <v>1.1097435897435897</v>
      </c>
      <c r="F105" s="2349">
        <f>0.8656/F101</f>
        <v>1.1097435897435897</v>
      </c>
      <c r="G105" s="2349">
        <f>0.8656/G101</f>
        <v>1.1097435897435897</v>
      </c>
      <c r="H105" s="2349">
        <f>0.8656/H101</f>
        <v>1.1097435897435897</v>
      </c>
      <c r="I105" s="2349">
        <f>0.8656/I101</f>
        <v>1.1097435897435897</v>
      </c>
      <c r="J105" s="2349">
        <f>0.7525/J101</f>
        <v>0.96474358974358965</v>
      </c>
      <c r="K105" s="2349">
        <f>0.7525/K101</f>
        <v>0.96474358974358965</v>
      </c>
      <c r="L105" s="2349">
        <f>0.7525/L101</f>
        <v>0.96474358974358965</v>
      </c>
      <c r="M105" s="2349">
        <f>0.7525/M101</f>
        <v>0.96474358974358965</v>
      </c>
      <c r="N105" s="2349">
        <f>0.7525/N101</f>
        <v>0.96474358974358965</v>
      </c>
    </row>
    <row r="106" spans="1:14">
      <c r="A106" s="3362"/>
      <c r="B106" s="2348">
        <v>5</v>
      </c>
      <c r="C106" s="2349">
        <f>0.8417/C101</f>
        <v>1.079102564102564</v>
      </c>
      <c r="D106" s="2349">
        <f>0.8417/D101</f>
        <v>1.079102564102564</v>
      </c>
      <c r="E106" s="2349">
        <f>0.7371/E101</f>
        <v>0.94499999999999995</v>
      </c>
      <c r="F106" s="2349">
        <f>0.7371/F101</f>
        <v>0.94499999999999995</v>
      </c>
      <c r="G106" s="2349">
        <f>0.7371/G101</f>
        <v>0.94499999999999995</v>
      </c>
      <c r="H106" s="2349">
        <f>0.7371/H101</f>
        <v>0.94499999999999995</v>
      </c>
      <c r="I106" s="2349">
        <f>0.7371/I101</f>
        <v>0.94499999999999995</v>
      </c>
      <c r="J106" s="2349">
        <f>0.5659/J101</f>
        <v>0.7255128205128204</v>
      </c>
      <c r="K106" s="2349">
        <f>0.5659/K101</f>
        <v>0.7255128205128204</v>
      </c>
      <c r="L106" s="2349">
        <f>0.5659/L101</f>
        <v>0.7255128205128204</v>
      </c>
      <c r="M106" s="2349">
        <f>0.5659/M101</f>
        <v>0.7255128205128204</v>
      </c>
      <c r="N106" s="2349">
        <f>0.5659/N101</f>
        <v>0.7255128205128204</v>
      </c>
    </row>
    <row r="107" spans="1:14">
      <c r="A107" s="3362"/>
      <c r="B107" s="2348">
        <v>6</v>
      </c>
      <c r="C107" s="2349">
        <f>0.7608/C101</f>
        <v>0.97538461538461541</v>
      </c>
      <c r="D107" s="2349">
        <f>0.7608/D101</f>
        <v>0.97538461538461541</v>
      </c>
      <c r="E107" s="2349">
        <f>0.6482/E101</f>
        <v>0.83102564102564103</v>
      </c>
      <c r="F107" s="2349">
        <f>0.6482/F101</f>
        <v>0.83102564102564103</v>
      </c>
      <c r="G107" s="2349">
        <f>0.6482/G101</f>
        <v>0.83102564102564103</v>
      </c>
      <c r="H107" s="2349">
        <f>0.6482/H101</f>
        <v>0.83102564102564103</v>
      </c>
      <c r="I107" s="2349">
        <f>0.6482/I101</f>
        <v>0.83102564102564103</v>
      </c>
      <c r="J107" s="2349">
        <f>0.4525/J101</f>
        <v>0.58012820512820518</v>
      </c>
      <c r="K107" s="2349">
        <f>0.4525/K101</f>
        <v>0.58012820512820518</v>
      </c>
      <c r="L107" s="2349">
        <f>0.4525/L101</f>
        <v>0.58012820512820518</v>
      </c>
      <c r="M107" s="2349">
        <f>0.4525/M101</f>
        <v>0.58012820512820518</v>
      </c>
      <c r="N107" s="2349">
        <f>0.4525/N101</f>
        <v>0.58012820512820518</v>
      </c>
    </row>
    <row r="108" spans="1:14">
      <c r="A108" s="3362"/>
      <c r="B108" s="3364" t="s">
        <v>2799</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63"/>
      <c r="B109" s="3365"/>
      <c r="C109" s="2351">
        <f>(-0.163*(C108^2)-0.59*C108+7617)*(10^(-4))/C101</f>
        <v>0.97653846153846158</v>
      </c>
      <c r="D109" s="2351">
        <f>(-0.163*(D108^2)-0.59*D108+7617)*(10^(-4))/D101</f>
        <v>0.97653846153846158</v>
      </c>
      <c r="E109" s="2351">
        <f>(-0.161*(E108^2)-7.509*E108+6533)*(10^(-4))/E101</f>
        <v>0.83756410256410252</v>
      </c>
      <c r="F109" s="2351">
        <f>(-0.161*(F108^2)-7.509*F108+6533)*(10^(-4))/F101</f>
        <v>0.83756410256410252</v>
      </c>
      <c r="G109" s="2351">
        <f>(-0.161*(G108^2)-7.509*G108+6533)*(10^(-4))/G101</f>
        <v>0.83756410256410252</v>
      </c>
      <c r="H109" s="2351">
        <f>(-0.161*(H108^2)-7.509*H108+6533)*(10^(-4))/H101</f>
        <v>0.83756410256410252</v>
      </c>
      <c r="I109" s="2351">
        <f>(-0.161*(I108^2)-7.509*I108+6533)*(10^(-4))/I101</f>
        <v>0.83756410256410252</v>
      </c>
      <c r="J109" s="2351">
        <f>(-0.214*(J108^2)-21.991*J108+4665)*(10^(-4))/J101</f>
        <v>0.59807692307692306</v>
      </c>
      <c r="K109" s="2351">
        <f>(-0.214*(K108^2)-21.991*K108+4665)*(10^(-4))/K101</f>
        <v>0.59807692307692306</v>
      </c>
      <c r="L109" s="2351">
        <f>(-0.214*(L108^2)-21.991*L108+4665)*(10^(-4))/L101</f>
        <v>0.59807692307692306</v>
      </c>
      <c r="M109" s="2351">
        <f>(-0.214*(M108^2)-21.991*M108+4665)*(10^(-4))/M101</f>
        <v>0.59807692307692306</v>
      </c>
      <c r="N109" s="2351">
        <f>(-0.214*(N108^2)-21.991*N108+4665)*(10^(-4))/N101</f>
        <v>0.59807692307692306</v>
      </c>
    </row>
    <row r="110" spans="1:14">
      <c r="A110" s="3359" t="s">
        <v>2800</v>
      </c>
      <c r="B110" s="3359"/>
      <c r="C110" s="3359"/>
      <c r="D110" s="3359"/>
      <c r="E110" s="3359"/>
      <c r="F110" s="3359"/>
      <c r="G110" s="3359"/>
      <c r="H110" s="3359"/>
      <c r="I110" s="3359"/>
      <c r="J110" s="3359"/>
      <c r="K110" s="2354"/>
      <c r="L110" s="2354"/>
      <c r="M110" s="2354"/>
      <c r="N110" s="2354"/>
    </row>
    <row r="112" spans="1:14" ht="13.5" thickBot="1"/>
    <row r="113" spans="1:13" ht="25.5" thickBot="1">
      <c r="A113" s="842" t="s">
        <v>2801</v>
      </c>
      <c r="B113" s="1197">
        <f>G3</f>
        <v>0.78</v>
      </c>
      <c r="C113" s="843" t="s">
        <v>2802</v>
      </c>
      <c r="D113" s="844">
        <f>SUMPRODUCT((A115:A118=F113)*(B114:M114=H113)*B115:M118)</f>
        <v>0</v>
      </c>
      <c r="E113" s="2190" t="s">
        <v>2635</v>
      </c>
      <c r="F113" s="2356">
        <f>E2</f>
        <v>0</v>
      </c>
      <c r="G113" s="2190" t="s">
        <v>2636</v>
      </c>
      <c r="H113" s="2356">
        <f>G2</f>
        <v>0</v>
      </c>
      <c r="I113" s="2190"/>
      <c r="J113" s="2357"/>
      <c r="K113" s="2357"/>
      <c r="L113" s="2357"/>
      <c r="M113" s="2357"/>
    </row>
    <row r="114" spans="1:13">
      <c r="A114" s="847"/>
      <c r="B114" s="2358" t="s">
        <v>2803</v>
      </c>
      <c r="C114" s="2358" t="s">
        <v>2804</v>
      </c>
      <c r="D114" s="2358" t="s">
        <v>2805</v>
      </c>
      <c r="E114" s="2359" t="s">
        <v>2806</v>
      </c>
      <c r="F114" s="2359" t="s">
        <v>2807</v>
      </c>
      <c r="G114" s="2359" t="s">
        <v>2808</v>
      </c>
      <c r="H114" s="2360" t="s">
        <v>2809</v>
      </c>
      <c r="I114" s="2360" t="s">
        <v>2810</v>
      </c>
      <c r="J114" s="2361" t="s">
        <v>2811</v>
      </c>
      <c r="K114" s="2361" t="s">
        <v>2812</v>
      </c>
      <c r="L114" s="2361" t="s">
        <v>2813</v>
      </c>
      <c r="M114" s="2362" t="s">
        <v>2814</v>
      </c>
    </row>
    <row r="115" spans="1:13">
      <c r="A115" s="848" t="s">
        <v>2700</v>
      </c>
      <c r="B115" s="849">
        <f>ROUND(0.9335-0.0094*B113,4)</f>
        <v>0.92620000000000002</v>
      </c>
      <c r="C115" s="849">
        <f>B115</f>
        <v>0.92620000000000002</v>
      </c>
      <c r="D115" s="849">
        <f>ROUND(0.8331-0.0109*B113,4)</f>
        <v>0.8246</v>
      </c>
      <c r="E115" s="849">
        <f>D115</f>
        <v>0.8246</v>
      </c>
      <c r="F115" s="849">
        <f>E115</f>
        <v>0.8246</v>
      </c>
      <c r="G115" s="849">
        <f>F115</f>
        <v>0.8246</v>
      </c>
      <c r="H115" s="849">
        <f>G115</f>
        <v>0.8246</v>
      </c>
      <c r="I115" s="849">
        <f>ROUND(0.689-0.0155*B113,4)</f>
        <v>0.67689999999999995</v>
      </c>
      <c r="J115" s="849">
        <f t="shared" ref="J115:M118" si="33">I115</f>
        <v>0.67689999999999995</v>
      </c>
      <c r="K115" s="849">
        <f t="shared" si="33"/>
        <v>0.67689999999999995</v>
      </c>
      <c r="L115" s="849">
        <f t="shared" si="33"/>
        <v>0.67689999999999995</v>
      </c>
      <c r="M115" s="850">
        <f t="shared" si="33"/>
        <v>0.67689999999999995</v>
      </c>
    </row>
    <row r="116" spans="1:13">
      <c r="A116" s="848" t="s">
        <v>2701</v>
      </c>
      <c r="B116" s="849">
        <f>ROUND(0.949-0.012*B113,4)</f>
        <v>0.93959999999999999</v>
      </c>
      <c r="C116" s="849">
        <f>B116</f>
        <v>0.93959999999999999</v>
      </c>
      <c r="D116" s="849">
        <f>ROUND(0.8567-0.013*B113,4)</f>
        <v>0.84660000000000002</v>
      </c>
      <c r="E116" s="849">
        <f t="shared" ref="E116:H117" si="34">D116</f>
        <v>0.84660000000000002</v>
      </c>
      <c r="F116" s="849">
        <f t="shared" si="34"/>
        <v>0.84660000000000002</v>
      </c>
      <c r="G116" s="849">
        <f t="shared" si="34"/>
        <v>0.84660000000000002</v>
      </c>
      <c r="H116" s="849">
        <f t="shared" si="34"/>
        <v>0.84660000000000002</v>
      </c>
      <c r="I116" s="849">
        <f>ROUND(0.7694-0.014*B113,4)</f>
        <v>0.75849999999999995</v>
      </c>
      <c r="J116" s="849">
        <f t="shared" si="33"/>
        <v>0.75849999999999995</v>
      </c>
      <c r="K116" s="849">
        <f t="shared" si="33"/>
        <v>0.75849999999999995</v>
      </c>
      <c r="L116" s="849">
        <f t="shared" si="33"/>
        <v>0.75849999999999995</v>
      </c>
      <c r="M116" s="850">
        <f t="shared" si="33"/>
        <v>0.75849999999999995</v>
      </c>
    </row>
    <row r="117" spans="1:13">
      <c r="A117" s="848" t="s">
        <v>2702</v>
      </c>
      <c r="B117" s="849">
        <f>ROUND(0.8808-0.006*B113,4)</f>
        <v>0.87609999999999999</v>
      </c>
      <c r="C117" s="849">
        <f>B117</f>
        <v>0.87609999999999999</v>
      </c>
      <c r="D117" s="849">
        <f>ROUND(0.8748-0.008*B113,4)</f>
        <v>0.86860000000000004</v>
      </c>
      <c r="E117" s="849">
        <f t="shared" si="34"/>
        <v>0.86860000000000004</v>
      </c>
      <c r="F117" s="849">
        <f t="shared" si="34"/>
        <v>0.86860000000000004</v>
      </c>
      <c r="G117" s="849">
        <f t="shared" si="34"/>
        <v>0.86860000000000004</v>
      </c>
      <c r="H117" s="849">
        <f t="shared" si="34"/>
        <v>0.86860000000000004</v>
      </c>
      <c r="I117" s="849">
        <f>ROUND(0.7412-0.0095*B113,4)</f>
        <v>0.73380000000000001</v>
      </c>
      <c r="J117" s="849">
        <f t="shared" si="33"/>
        <v>0.73380000000000001</v>
      </c>
      <c r="K117" s="849">
        <f t="shared" si="33"/>
        <v>0.73380000000000001</v>
      </c>
      <c r="L117" s="849">
        <f t="shared" si="33"/>
        <v>0.73380000000000001</v>
      </c>
      <c r="M117" s="850">
        <f t="shared" si="33"/>
        <v>0.73380000000000001</v>
      </c>
    </row>
    <row r="118" spans="1:13" ht="13.5" thickBot="1">
      <c r="A118" s="670" t="s">
        <v>2703</v>
      </c>
      <c r="B118" s="851">
        <f>ROUND(0.7275-0.01*B113,4)</f>
        <v>0.71970000000000001</v>
      </c>
      <c r="C118" s="851">
        <f>B118</f>
        <v>0.71970000000000001</v>
      </c>
      <c r="D118" s="851">
        <f>ROUND(0.7043-0.012*B113,4)</f>
        <v>0.69489999999999996</v>
      </c>
      <c r="E118" s="851">
        <f>D118</f>
        <v>0.69489999999999996</v>
      </c>
      <c r="F118" s="851">
        <f>E118</f>
        <v>0.69489999999999996</v>
      </c>
      <c r="G118" s="851">
        <f>ROUND(0.6299-0.0122*B113,4)</f>
        <v>0.62039999999999995</v>
      </c>
      <c r="H118" s="851">
        <f>G118</f>
        <v>0.62039999999999995</v>
      </c>
      <c r="I118" s="851">
        <f>ROUND(0.5667-0.0136*B113,4)</f>
        <v>0.55610000000000004</v>
      </c>
      <c r="J118" s="851">
        <f t="shared" si="33"/>
        <v>0.55610000000000004</v>
      </c>
      <c r="K118" s="851">
        <f t="shared" si="33"/>
        <v>0.55610000000000004</v>
      </c>
      <c r="L118" s="851">
        <f t="shared" si="33"/>
        <v>0.55610000000000004</v>
      </c>
      <c r="M118" s="852">
        <f t="shared" si="33"/>
        <v>0.55610000000000004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2" t="s">
        <v>183</v>
      </c>
      <c r="B18" s="821" t="s">
        <v>560</v>
      </c>
      <c r="C18" s="822" t="s">
        <v>561</v>
      </c>
      <c r="D18" s="823"/>
      <c r="E18" s="821">
        <v>1</v>
      </c>
      <c r="F18" s="824" t="s">
        <v>562</v>
      </c>
      <c r="G18" s="825"/>
      <c r="H18" s="817"/>
      <c r="I18" s="817"/>
    </row>
    <row r="19" spans="1:9" s="826" customFormat="1" ht="19.5" customHeight="1">
      <c r="A19" s="3372"/>
      <c r="B19" s="3372" t="s">
        <v>563</v>
      </c>
      <c r="C19" s="822" t="s">
        <v>564</v>
      </c>
      <c r="D19" s="823"/>
      <c r="E19" s="821">
        <v>0.9</v>
      </c>
      <c r="F19" s="824" t="s">
        <v>565</v>
      </c>
      <c r="G19" s="825"/>
      <c r="H19" s="817"/>
      <c r="I19" s="817"/>
    </row>
    <row r="20" spans="1:9" s="826" customFormat="1" ht="19.5" customHeight="1">
      <c r="A20" s="3372"/>
      <c r="B20" s="3372"/>
      <c r="C20" s="822" t="s">
        <v>566</v>
      </c>
      <c r="D20" s="823"/>
      <c r="E20" s="821">
        <v>1.1000000000000001</v>
      </c>
      <c r="F20" s="824" t="s">
        <v>567</v>
      </c>
      <c r="G20" s="825"/>
      <c r="H20" s="817"/>
      <c r="I20" s="817"/>
    </row>
    <row r="21" spans="1:9" s="826" customFormat="1" ht="19.5" customHeight="1">
      <c r="A21" s="3372"/>
      <c r="B21" s="3372"/>
      <c r="C21" s="822" t="s">
        <v>568</v>
      </c>
      <c r="D21" s="823"/>
      <c r="E21" s="821">
        <v>0.8</v>
      </c>
      <c r="F21" s="824" t="s">
        <v>569</v>
      </c>
      <c r="G21" s="825"/>
      <c r="H21" s="817"/>
      <c r="I21" s="817"/>
    </row>
    <row r="22" spans="1:9" s="826" customFormat="1" ht="19.5" customHeight="1">
      <c r="A22" s="3372"/>
      <c r="B22" s="3372"/>
      <c r="C22" s="822" t="s">
        <v>570</v>
      </c>
      <c r="D22" s="823"/>
      <c r="E22" s="821">
        <v>0.5</v>
      </c>
      <c r="F22" s="824"/>
      <c r="G22" s="825"/>
      <c r="H22" s="817"/>
      <c r="I22" s="817"/>
    </row>
    <row r="23" spans="1:9" s="826" customFormat="1" ht="19.5" customHeight="1">
      <c r="A23" s="3372" t="s">
        <v>184</v>
      </c>
      <c r="B23" s="821" t="s">
        <v>560</v>
      </c>
      <c r="C23" s="822" t="s">
        <v>571</v>
      </c>
      <c r="D23" s="823"/>
      <c r="E23" s="821">
        <v>1</v>
      </c>
      <c r="F23" s="824" t="s">
        <v>572</v>
      </c>
      <c r="G23" s="825"/>
      <c r="H23" s="817"/>
      <c r="I23" s="817"/>
    </row>
    <row r="24" spans="1:9" s="826" customFormat="1" ht="19.5" customHeight="1">
      <c r="A24" s="3372"/>
      <c r="B24" s="3372" t="s">
        <v>563</v>
      </c>
      <c r="C24" s="822" t="s">
        <v>573</v>
      </c>
      <c r="D24" s="823"/>
      <c r="E24" s="821">
        <v>0.5</v>
      </c>
      <c r="F24" s="824"/>
      <c r="G24" s="825"/>
      <c r="H24" s="817"/>
      <c r="I24" s="817"/>
    </row>
    <row r="25" spans="1:9" s="826" customFormat="1" ht="19.5" customHeight="1">
      <c r="A25" s="3372"/>
      <c r="B25" s="3372"/>
      <c r="C25" s="822" t="s">
        <v>574</v>
      </c>
      <c r="D25" s="823"/>
      <c r="E25" s="821">
        <v>1.1000000000000001</v>
      </c>
      <c r="F25" s="824"/>
      <c r="G25" s="825"/>
      <c r="H25" s="817"/>
      <c r="I25" s="817"/>
    </row>
    <row r="26" spans="1:9" s="826" customFormat="1" ht="19.5" customHeight="1">
      <c r="A26" s="3372"/>
      <c r="B26" s="3372"/>
      <c r="C26" s="822" t="s">
        <v>575</v>
      </c>
      <c r="D26" s="823"/>
      <c r="E26" s="821">
        <v>1.1000000000000001</v>
      </c>
      <c r="F26" s="824"/>
      <c r="G26" s="825"/>
      <c r="H26" s="817"/>
      <c r="I26" s="817"/>
    </row>
    <row r="27" spans="1:9" s="826" customFormat="1" ht="19.5" customHeight="1">
      <c r="A27" s="3372"/>
      <c r="B27" s="3372"/>
      <c r="C27" s="822" t="s">
        <v>576</v>
      </c>
      <c r="D27" s="823"/>
      <c r="E27" s="821">
        <v>0.9</v>
      </c>
      <c r="F27" s="824" t="s">
        <v>577</v>
      </c>
      <c r="G27" s="825"/>
      <c r="H27" s="817"/>
      <c r="I27" s="817"/>
    </row>
    <row r="28" spans="1:9" s="826" customFormat="1" ht="19.5" customHeight="1">
      <c r="A28" s="3372"/>
      <c r="B28" s="3372"/>
      <c r="C28" s="822" t="s">
        <v>578</v>
      </c>
      <c r="D28" s="823"/>
      <c r="E28" s="821">
        <v>0.9</v>
      </c>
      <c r="F28" s="824" t="s">
        <v>579</v>
      </c>
      <c r="G28" s="825"/>
      <c r="H28" s="817"/>
      <c r="I28" s="817"/>
    </row>
    <row r="29" spans="1:9" s="826" customFormat="1" ht="19.5" customHeight="1">
      <c r="A29" s="3372"/>
      <c r="B29" s="3372"/>
      <c r="C29" s="822" t="s">
        <v>580</v>
      </c>
      <c r="D29" s="823"/>
      <c r="E29" s="821">
        <v>0.9</v>
      </c>
      <c r="F29" s="824" t="s">
        <v>581</v>
      </c>
      <c r="G29" s="825"/>
      <c r="H29" s="817"/>
      <c r="I29" s="817"/>
    </row>
    <row r="30" spans="1:9" s="826" customFormat="1" ht="19.5" customHeight="1">
      <c r="A30" s="3372"/>
      <c r="B30" s="3372"/>
      <c r="C30" s="822" t="s">
        <v>582</v>
      </c>
      <c r="D30" s="823"/>
      <c r="E30" s="821">
        <v>0.9</v>
      </c>
      <c r="F30" s="824" t="s">
        <v>583</v>
      </c>
      <c r="G30" s="825"/>
      <c r="H30" s="817"/>
      <c r="I30" s="817"/>
    </row>
    <row r="31" spans="1:9" s="826" customFormat="1" ht="19.5" customHeight="1">
      <c r="A31" s="3372"/>
      <c r="B31" s="3372"/>
      <c r="C31" s="822" t="s">
        <v>584</v>
      </c>
      <c r="D31" s="823"/>
      <c r="E31" s="821">
        <v>0.8</v>
      </c>
      <c r="F31" s="824" t="s">
        <v>585</v>
      </c>
      <c r="G31" s="825"/>
      <c r="H31" s="817"/>
      <c r="I31" s="817"/>
    </row>
    <row r="32" spans="1:9" s="826" customFormat="1" ht="19.5" customHeight="1">
      <c r="A32" s="3372"/>
      <c r="B32" s="3372"/>
      <c r="C32" s="822" t="s">
        <v>586</v>
      </c>
      <c r="D32" s="823"/>
      <c r="E32" s="821">
        <v>0.8</v>
      </c>
      <c r="F32" s="824" t="s">
        <v>587</v>
      </c>
      <c r="G32" s="825"/>
      <c r="H32" s="817"/>
      <c r="I32" s="817"/>
    </row>
    <row r="33" spans="1:9" s="826" customFormat="1" ht="19.5" customHeight="1">
      <c r="A33" s="3372" t="s">
        <v>185</v>
      </c>
      <c r="B33" s="821" t="s">
        <v>560</v>
      </c>
      <c r="C33" s="822" t="s">
        <v>588</v>
      </c>
      <c r="D33" s="823"/>
      <c r="E33" s="821">
        <v>1</v>
      </c>
      <c r="F33" s="824" t="s">
        <v>589</v>
      </c>
      <c r="G33" s="825"/>
      <c r="H33" s="817"/>
      <c r="I33" s="817"/>
    </row>
    <row r="34" spans="1:9" s="826" customFormat="1" ht="19.5" customHeight="1">
      <c r="A34" s="3372"/>
      <c r="B34" s="821" t="s">
        <v>563</v>
      </c>
      <c r="C34" s="822" t="s">
        <v>590</v>
      </c>
      <c r="D34" s="823"/>
      <c r="E34" s="821">
        <v>1.5</v>
      </c>
      <c r="F34" s="824" t="s">
        <v>591</v>
      </c>
      <c r="G34" s="825"/>
      <c r="H34" s="817"/>
      <c r="I34" s="817"/>
    </row>
    <row r="35" spans="1:9" s="826" customFormat="1" ht="19.5" customHeight="1">
      <c r="A35" s="3372" t="s">
        <v>186</v>
      </c>
      <c r="B35" s="821" t="s">
        <v>560</v>
      </c>
      <c r="C35" s="822" t="s">
        <v>592</v>
      </c>
      <c r="D35" s="823"/>
      <c r="E35" s="821">
        <v>1</v>
      </c>
      <c r="F35" s="824" t="s">
        <v>593</v>
      </c>
      <c r="G35" s="825"/>
      <c r="H35" s="817"/>
      <c r="I35" s="817"/>
    </row>
    <row r="36" spans="1:9" s="826" customFormat="1" ht="19.5" customHeight="1">
      <c r="A36" s="3372"/>
      <c r="B36" s="3372" t="s">
        <v>563</v>
      </c>
      <c r="C36" s="822" t="s">
        <v>594</v>
      </c>
      <c r="D36" s="823"/>
      <c r="E36" s="821">
        <v>1</v>
      </c>
      <c r="F36" s="824" t="s">
        <v>595</v>
      </c>
      <c r="G36" s="825"/>
      <c r="H36" s="817"/>
      <c r="I36" s="817"/>
    </row>
    <row r="37" spans="1:9" s="826" customFormat="1" ht="19.5" customHeight="1">
      <c r="A37" s="3372"/>
      <c r="B37" s="3372"/>
      <c r="C37" s="822" t="s">
        <v>596</v>
      </c>
      <c r="D37" s="823"/>
      <c r="E37" s="821">
        <v>1.5</v>
      </c>
      <c r="F37" s="824" t="s">
        <v>597</v>
      </c>
      <c r="G37" s="825"/>
      <c r="H37" s="817"/>
      <c r="I37" s="817"/>
    </row>
    <row r="38" spans="1:9" s="826" customFormat="1" ht="19.5" customHeight="1">
      <c r="A38" s="3372"/>
      <c r="B38" s="3372"/>
      <c r="C38" s="822" t="s">
        <v>598</v>
      </c>
      <c r="D38" s="823"/>
      <c r="E38" s="821">
        <v>1</v>
      </c>
      <c r="F38" s="824" t="s">
        <v>599</v>
      </c>
      <c r="G38" s="825"/>
      <c r="H38" s="817"/>
      <c r="I38" s="817"/>
    </row>
    <row r="39" spans="1:9" s="826" customFormat="1" ht="19.5" customHeight="1">
      <c r="A39" s="3372"/>
      <c r="B39" s="33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2" t="s">
        <v>614</v>
      </c>
      <c r="C61" s="757" t="s">
        <v>615</v>
      </c>
      <c r="D61" s="757" t="s">
        <v>616</v>
      </c>
      <c r="E61" s="834">
        <v>0.5</v>
      </c>
      <c r="F61" s="821">
        <v>80</v>
      </c>
    </row>
    <row r="62" spans="1:8" s="817" customFormat="1" ht="24">
      <c r="A62" s="821">
        <v>2</v>
      </c>
      <c r="B62" s="3372"/>
      <c r="C62" s="757" t="s">
        <v>617</v>
      </c>
      <c r="D62" s="757" t="s">
        <v>618</v>
      </c>
      <c r="E62" s="834">
        <v>0.5</v>
      </c>
      <c r="F62" s="821">
        <v>80</v>
      </c>
    </row>
    <row r="63" spans="1:8" s="817" customFormat="1" ht="36">
      <c r="A63" s="821">
        <v>3</v>
      </c>
      <c r="B63" s="3372"/>
      <c r="C63" s="757" t="s">
        <v>619</v>
      </c>
      <c r="D63" s="757" t="s">
        <v>620</v>
      </c>
      <c r="E63" s="834">
        <v>0.5</v>
      </c>
      <c r="F63" s="821">
        <v>80</v>
      </c>
    </row>
    <row r="64" spans="1:8" s="817" customFormat="1" ht="36">
      <c r="A64" s="821">
        <v>4</v>
      </c>
      <c r="B64" s="3372"/>
      <c r="C64" s="757" t="s">
        <v>621</v>
      </c>
      <c r="D64" s="757" t="s">
        <v>622</v>
      </c>
      <c r="E64" s="834">
        <v>0.4</v>
      </c>
      <c r="F64" s="821">
        <v>60</v>
      </c>
    </row>
    <row r="65" spans="1:6" s="817" customFormat="1" ht="36">
      <c r="A65" s="821">
        <v>5</v>
      </c>
      <c r="B65" s="3372"/>
      <c r="C65" s="757" t="s">
        <v>623</v>
      </c>
      <c r="D65" s="757" t="s">
        <v>624</v>
      </c>
      <c r="E65" s="834">
        <v>0.2</v>
      </c>
      <c r="F65" s="821">
        <v>30</v>
      </c>
    </row>
    <row r="66" spans="1:6" s="817" customFormat="1" ht="36">
      <c r="A66" s="821">
        <v>6</v>
      </c>
      <c r="B66" s="3372"/>
      <c r="C66" s="757" t="s">
        <v>625</v>
      </c>
      <c r="D66" s="757" t="s">
        <v>626</v>
      </c>
      <c r="E66" s="834">
        <v>0.3</v>
      </c>
      <c r="F66" s="821">
        <v>50</v>
      </c>
    </row>
    <row r="67" spans="1:6" s="817" customFormat="1" ht="36">
      <c r="A67" s="821">
        <v>7</v>
      </c>
      <c r="B67" s="3372"/>
      <c r="C67" s="757" t="s">
        <v>627</v>
      </c>
      <c r="D67" s="757" t="s">
        <v>628</v>
      </c>
      <c r="E67" s="834">
        <v>0.2</v>
      </c>
      <c r="F67" s="821">
        <v>30</v>
      </c>
    </row>
    <row r="68" spans="1:6" s="817" customFormat="1" ht="36">
      <c r="A68" s="821">
        <v>8</v>
      </c>
      <c r="B68" s="3372"/>
      <c r="C68" s="757" t="s">
        <v>629</v>
      </c>
      <c r="D68" s="757" t="s">
        <v>630</v>
      </c>
      <c r="E68" s="834">
        <v>0.2</v>
      </c>
      <c r="F68" s="821">
        <v>30</v>
      </c>
    </row>
    <row r="69" spans="1:6" s="817" customFormat="1" ht="36">
      <c r="A69" s="821">
        <v>9</v>
      </c>
      <c r="B69" s="3372"/>
      <c r="C69" s="757" t="s">
        <v>631</v>
      </c>
      <c r="D69" s="757" t="s">
        <v>632</v>
      </c>
      <c r="E69" s="834">
        <v>0.2</v>
      </c>
      <c r="F69" s="821">
        <v>30</v>
      </c>
    </row>
    <row r="70" spans="1:6" s="817" customFormat="1" ht="48">
      <c r="A70" s="821">
        <v>10</v>
      </c>
      <c r="B70" s="3372"/>
      <c r="C70" s="757" t="s">
        <v>633</v>
      </c>
      <c r="D70" s="757" t="s">
        <v>634</v>
      </c>
      <c r="E70" s="834">
        <v>0.2</v>
      </c>
      <c r="F70" s="821">
        <v>30</v>
      </c>
    </row>
    <row r="71" spans="1:6" s="817" customFormat="1" ht="48">
      <c r="A71" s="821">
        <v>11</v>
      </c>
      <c r="B71" s="3372"/>
      <c r="C71" s="757" t="s">
        <v>635</v>
      </c>
      <c r="D71" s="757" t="s">
        <v>636</v>
      </c>
      <c r="E71" s="834">
        <v>0.2</v>
      </c>
      <c r="F71" s="821">
        <v>30</v>
      </c>
    </row>
    <row r="72" spans="1:6" s="817" customFormat="1" ht="36">
      <c r="A72" s="821">
        <v>12</v>
      </c>
      <c r="B72" s="3372"/>
      <c r="C72" s="757" t="s">
        <v>637</v>
      </c>
      <c r="D72" s="757" t="s">
        <v>638</v>
      </c>
      <c r="E72" s="834">
        <v>0.5</v>
      </c>
      <c r="F72" s="821">
        <v>80</v>
      </c>
    </row>
    <row r="73" spans="1:6" s="817" customFormat="1" ht="24">
      <c r="A73" s="821">
        <v>13</v>
      </c>
      <c r="B73" s="3372"/>
      <c r="C73" s="757" t="s">
        <v>639</v>
      </c>
      <c r="D73" s="757" t="s">
        <v>640</v>
      </c>
      <c r="E73" s="834">
        <v>0.4</v>
      </c>
      <c r="F73" s="821">
        <v>60</v>
      </c>
    </row>
    <row r="74" spans="1:6" s="817" customFormat="1" ht="24">
      <c r="A74" s="821">
        <v>14</v>
      </c>
      <c r="B74" s="3372"/>
      <c r="C74" s="757" t="s">
        <v>641</v>
      </c>
      <c r="D74" s="757" t="s">
        <v>642</v>
      </c>
      <c r="E74" s="834">
        <v>0.2</v>
      </c>
      <c r="F74" s="821">
        <v>30</v>
      </c>
    </row>
    <row r="75" spans="1:6" s="817" customFormat="1" ht="24">
      <c r="A75" s="821">
        <v>15</v>
      </c>
      <c r="B75" s="3372"/>
      <c r="C75" s="757" t="s">
        <v>643</v>
      </c>
      <c r="D75" s="757" t="s">
        <v>644</v>
      </c>
      <c r="E75" s="834">
        <v>0.2</v>
      </c>
      <c r="F75" s="821">
        <v>30</v>
      </c>
    </row>
    <row r="76" spans="1:6" s="817" customFormat="1" ht="24">
      <c r="A76" s="821">
        <v>16</v>
      </c>
      <c r="B76" s="3372" t="s">
        <v>645</v>
      </c>
      <c r="C76" s="757" t="s">
        <v>646</v>
      </c>
      <c r="D76" s="757" t="s">
        <v>647</v>
      </c>
      <c r="E76" s="834">
        <v>0.5</v>
      </c>
      <c r="F76" s="821">
        <v>80</v>
      </c>
    </row>
    <row r="77" spans="1:6" s="817" customFormat="1" ht="24">
      <c r="A77" s="821">
        <v>17</v>
      </c>
      <c r="B77" s="3372"/>
      <c r="C77" s="757" t="s">
        <v>648</v>
      </c>
      <c r="D77" s="757" t="s">
        <v>649</v>
      </c>
      <c r="E77" s="834">
        <v>0.5</v>
      </c>
      <c r="F77" s="821">
        <v>80</v>
      </c>
    </row>
    <row r="78" spans="1:6" s="817" customFormat="1" ht="24">
      <c r="A78" s="821">
        <v>18</v>
      </c>
      <c r="B78" s="3372"/>
      <c r="C78" s="757" t="s">
        <v>650</v>
      </c>
      <c r="D78" s="757" t="s">
        <v>651</v>
      </c>
      <c r="E78" s="834">
        <v>0.2</v>
      </c>
      <c r="F78" s="821">
        <v>30</v>
      </c>
    </row>
    <row r="79" spans="1:6" s="817" customFormat="1" ht="24">
      <c r="A79" s="821">
        <v>19</v>
      </c>
      <c r="B79" s="3372"/>
      <c r="C79" s="757" t="s">
        <v>652</v>
      </c>
      <c r="D79" s="757" t="s">
        <v>653</v>
      </c>
      <c r="E79" s="834">
        <v>0.5</v>
      </c>
      <c r="F79" s="821">
        <v>80</v>
      </c>
    </row>
    <row r="80" spans="1:6" s="817" customFormat="1" ht="36">
      <c r="A80" s="821">
        <v>20</v>
      </c>
      <c r="B80" s="3372"/>
      <c r="C80" s="757" t="s">
        <v>654</v>
      </c>
      <c r="D80" s="757" t="s">
        <v>655</v>
      </c>
      <c r="E80" s="834">
        <v>0.2</v>
      </c>
      <c r="F80" s="821">
        <v>30</v>
      </c>
    </row>
    <row r="81" spans="1:6" s="817" customFormat="1" ht="36">
      <c r="A81" s="821">
        <v>21</v>
      </c>
      <c r="B81" s="3372"/>
      <c r="C81" s="757" t="s">
        <v>656</v>
      </c>
      <c r="D81" s="757" t="s">
        <v>657</v>
      </c>
      <c r="E81" s="834">
        <v>0.2</v>
      </c>
      <c r="F81" s="821">
        <v>30</v>
      </c>
    </row>
    <row r="82" spans="1:6" s="817" customFormat="1" ht="48">
      <c r="A82" s="821">
        <v>22</v>
      </c>
      <c r="B82" s="3372"/>
      <c r="C82" s="757" t="s">
        <v>658</v>
      </c>
      <c r="D82" s="757" t="s">
        <v>659</v>
      </c>
      <c r="E82" s="834">
        <v>0.2</v>
      </c>
      <c r="F82" s="821">
        <v>30</v>
      </c>
    </row>
    <row r="83" spans="1:6" s="817" customFormat="1" ht="48">
      <c r="A83" s="821">
        <v>23</v>
      </c>
      <c r="B83" s="3372"/>
      <c r="C83" s="757" t="s">
        <v>660</v>
      </c>
      <c r="D83" s="757" t="s">
        <v>661</v>
      </c>
      <c r="E83" s="834">
        <v>0.2</v>
      </c>
      <c r="F83" s="821">
        <v>30</v>
      </c>
    </row>
    <row r="84" spans="1:6" s="817" customFormat="1" ht="36">
      <c r="A84" s="821">
        <v>24</v>
      </c>
      <c r="B84" s="3372"/>
      <c r="C84" s="757" t="s">
        <v>662</v>
      </c>
      <c r="D84" s="757" t="s">
        <v>663</v>
      </c>
      <c r="E84" s="834">
        <v>0.2</v>
      </c>
      <c r="F84" s="821">
        <v>30</v>
      </c>
    </row>
    <row r="85" spans="1:6" s="817" customFormat="1" ht="36">
      <c r="A85" s="821">
        <v>25</v>
      </c>
      <c r="B85" s="3372"/>
      <c r="C85" s="757" t="s">
        <v>664</v>
      </c>
      <c r="D85" s="757" t="s">
        <v>665</v>
      </c>
      <c r="E85" s="834">
        <v>0.5</v>
      </c>
      <c r="F85" s="821">
        <v>80</v>
      </c>
    </row>
    <row r="86" spans="1:6" s="817" customFormat="1" ht="36">
      <c r="A86" s="821">
        <v>26</v>
      </c>
      <c r="B86" s="3372"/>
      <c r="C86" s="757" t="s">
        <v>666</v>
      </c>
      <c r="D86" s="757" t="s">
        <v>667</v>
      </c>
      <c r="E86" s="834">
        <v>0.2</v>
      </c>
      <c r="F86" s="821">
        <v>30</v>
      </c>
    </row>
    <row r="87" spans="1:6" s="817" customFormat="1" ht="36">
      <c r="A87" s="821">
        <v>27</v>
      </c>
      <c r="B87" s="3372"/>
      <c r="C87" s="757" t="s">
        <v>668</v>
      </c>
      <c r="D87" s="757" t="s">
        <v>669</v>
      </c>
      <c r="E87" s="834">
        <v>0.2</v>
      </c>
      <c r="F87" s="821">
        <v>30</v>
      </c>
    </row>
    <row r="88" spans="1:6" s="817" customFormat="1" ht="36">
      <c r="A88" s="821">
        <v>28</v>
      </c>
      <c r="B88" s="3372"/>
      <c r="C88" s="757" t="s">
        <v>670</v>
      </c>
      <c r="D88" s="757" t="s">
        <v>671</v>
      </c>
      <c r="E88" s="834">
        <v>0.2</v>
      </c>
      <c r="F88" s="821">
        <v>30</v>
      </c>
    </row>
    <row r="89" spans="1:6" s="817" customFormat="1" ht="24">
      <c r="A89" s="821">
        <v>29</v>
      </c>
      <c r="B89" s="3372"/>
      <c r="C89" s="757" t="s">
        <v>672</v>
      </c>
      <c r="D89" s="757" t="s">
        <v>673</v>
      </c>
      <c r="E89" s="834">
        <v>0.2</v>
      </c>
      <c r="F89" s="821">
        <v>30</v>
      </c>
    </row>
    <row r="90" spans="1:6" s="817" customFormat="1" ht="24">
      <c r="A90" s="821">
        <v>30</v>
      </c>
      <c r="B90" s="3372"/>
      <c r="C90" s="757" t="s">
        <v>674</v>
      </c>
      <c r="D90" s="757" t="s">
        <v>675</v>
      </c>
      <c r="E90" s="834">
        <v>0.2</v>
      </c>
      <c r="F90" s="821">
        <v>30</v>
      </c>
    </row>
    <row r="91" spans="1:6" s="817" customFormat="1" ht="36">
      <c r="A91" s="821">
        <v>31</v>
      </c>
      <c r="B91" s="3372"/>
      <c r="C91" s="757" t="s">
        <v>676</v>
      </c>
      <c r="D91" s="757" t="s">
        <v>677</v>
      </c>
      <c r="E91" s="834">
        <v>0.2</v>
      </c>
      <c r="F91" s="821">
        <v>30</v>
      </c>
    </row>
    <row r="92" spans="1:6" s="817" customFormat="1" ht="24">
      <c r="A92" s="821">
        <v>32</v>
      </c>
      <c r="B92" s="3372" t="s">
        <v>678</v>
      </c>
      <c r="C92" s="821" t="s">
        <v>679</v>
      </c>
      <c r="D92" s="757" t="s">
        <v>680</v>
      </c>
      <c r="E92" s="834">
        <v>0.2</v>
      </c>
      <c r="F92" s="821">
        <v>30</v>
      </c>
    </row>
    <row r="93" spans="1:6" s="817" customFormat="1" ht="36">
      <c r="A93" s="821">
        <v>33</v>
      </c>
      <c r="B93" s="3372"/>
      <c r="C93" s="821" t="s">
        <v>681</v>
      </c>
      <c r="D93" s="757" t="s">
        <v>682</v>
      </c>
      <c r="E93" s="834">
        <v>0.2</v>
      </c>
      <c r="F93" s="821">
        <v>30</v>
      </c>
    </row>
    <row r="94" spans="1:6" s="817" customFormat="1" ht="48">
      <c r="A94" s="821">
        <v>34</v>
      </c>
      <c r="B94" s="3372"/>
      <c r="C94" s="821" t="s">
        <v>683</v>
      </c>
      <c r="D94" s="757" t="s">
        <v>684</v>
      </c>
      <c r="E94" s="834">
        <v>0.2</v>
      </c>
      <c r="F94" s="821">
        <v>30</v>
      </c>
    </row>
    <row r="95" spans="1:6" s="817" customFormat="1" ht="36">
      <c r="A95" s="821">
        <v>35</v>
      </c>
      <c r="B95" s="3372"/>
      <c r="C95" s="821" t="s">
        <v>685</v>
      </c>
      <c r="D95" s="757" t="s">
        <v>686</v>
      </c>
      <c r="E95" s="834">
        <v>0.2</v>
      </c>
      <c r="F95" s="821">
        <v>30</v>
      </c>
    </row>
    <row r="96" spans="1:6" s="817" customFormat="1" ht="48">
      <c r="A96" s="821">
        <v>36</v>
      </c>
      <c r="B96" s="3372"/>
      <c r="C96" s="757" t="s">
        <v>687</v>
      </c>
      <c r="D96" s="757" t="s">
        <v>688</v>
      </c>
      <c r="E96" s="834">
        <v>0.2</v>
      </c>
      <c r="F96" s="821">
        <v>30</v>
      </c>
    </row>
    <row r="97" spans="1:6" s="817" customFormat="1" ht="36">
      <c r="A97" s="821">
        <v>37</v>
      </c>
      <c r="B97" s="3372"/>
      <c r="C97" s="821" t="s">
        <v>689</v>
      </c>
      <c r="D97" s="757" t="s">
        <v>690</v>
      </c>
      <c r="E97" s="834">
        <v>0.2</v>
      </c>
      <c r="F97" s="821">
        <v>30</v>
      </c>
    </row>
    <row r="98" spans="1:6" s="817" customFormat="1" ht="36">
      <c r="A98" s="821">
        <v>38</v>
      </c>
      <c r="B98" s="3372"/>
      <c r="C98" s="821" t="s">
        <v>691</v>
      </c>
      <c r="D98" s="757" t="s">
        <v>692</v>
      </c>
      <c r="E98" s="834">
        <v>0.2</v>
      </c>
      <c r="F98" s="821">
        <v>30</v>
      </c>
    </row>
    <row r="99" spans="1:6" s="817" customFormat="1" ht="36">
      <c r="A99" s="821">
        <v>39</v>
      </c>
      <c r="B99" s="3372" t="s">
        <v>693</v>
      </c>
      <c r="C99" s="821" t="s">
        <v>694</v>
      </c>
      <c r="D99" s="757" t="s">
        <v>695</v>
      </c>
      <c r="E99" s="834">
        <v>0.3</v>
      </c>
      <c r="F99" s="821">
        <v>50</v>
      </c>
    </row>
    <row r="100" spans="1:6" s="817" customFormat="1" ht="24">
      <c r="A100" s="821">
        <v>40</v>
      </c>
      <c r="B100" s="3372"/>
      <c r="C100" s="821" t="s">
        <v>696</v>
      </c>
      <c r="D100" s="757" t="s">
        <v>697</v>
      </c>
      <c r="E100" s="834">
        <v>0.2</v>
      </c>
      <c r="F100" s="821">
        <v>30</v>
      </c>
    </row>
    <row r="101" spans="1:6" s="817" customFormat="1" ht="36">
      <c r="A101" s="821">
        <v>41</v>
      </c>
      <c r="B101" s="33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2" t="s">
        <v>708</v>
      </c>
      <c r="C105" s="821" t="s">
        <v>709</v>
      </c>
      <c r="D105" s="757" t="s">
        <v>710</v>
      </c>
      <c r="E105" s="834">
        <v>0.2</v>
      </c>
      <c r="F105" s="821">
        <v>30</v>
      </c>
    </row>
    <row r="106" spans="1:6" s="817" customFormat="1" ht="36">
      <c r="A106" s="821">
        <v>46</v>
      </c>
      <c r="B106" s="3372"/>
      <c r="C106" s="821" t="s">
        <v>711</v>
      </c>
      <c r="D106" s="757" t="s">
        <v>712</v>
      </c>
      <c r="E106" s="834">
        <v>0.2</v>
      </c>
      <c r="F106" s="821">
        <v>30</v>
      </c>
    </row>
    <row r="107" spans="1:6" s="817" customFormat="1" ht="36">
      <c r="A107" s="821">
        <v>47</v>
      </c>
      <c r="B107" s="3372" t="s">
        <v>713</v>
      </c>
      <c r="C107" s="821" t="s">
        <v>714</v>
      </c>
      <c r="D107" s="757" t="s">
        <v>715</v>
      </c>
      <c r="E107" s="834">
        <v>0.3</v>
      </c>
      <c r="F107" s="821">
        <v>50</v>
      </c>
    </row>
    <row r="108" spans="1:6" s="817" customFormat="1" ht="36">
      <c r="A108" s="821">
        <v>48</v>
      </c>
      <c r="B108" s="33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2" t="s">
        <v>724</v>
      </c>
      <c r="C111" s="821" t="s">
        <v>725</v>
      </c>
      <c r="D111" s="757" t="s">
        <v>726</v>
      </c>
      <c r="E111" s="834">
        <v>0.2</v>
      </c>
      <c r="F111" s="821">
        <v>30</v>
      </c>
    </row>
    <row r="112" spans="1:6" s="817" customFormat="1" ht="24">
      <c r="A112" s="821">
        <v>52</v>
      </c>
      <c r="B112" s="3372"/>
      <c r="C112" s="821" t="s">
        <v>727</v>
      </c>
      <c r="D112" s="757" t="s">
        <v>728</v>
      </c>
      <c r="E112" s="834">
        <v>0.2</v>
      </c>
      <c r="F112" s="821">
        <v>30</v>
      </c>
    </row>
    <row r="113" spans="1:6" s="817" customFormat="1" ht="24">
      <c r="A113" s="821">
        <v>53</v>
      </c>
      <c r="B113" s="33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2" t="s">
        <v>737</v>
      </c>
      <c r="C116" s="821" t="s">
        <v>738</v>
      </c>
      <c r="D116" s="757" t="s">
        <v>739</v>
      </c>
      <c r="E116" s="834">
        <v>0.2</v>
      </c>
      <c r="F116" s="821">
        <v>30</v>
      </c>
    </row>
    <row r="117" spans="1:6" ht="36">
      <c r="A117" s="821">
        <v>57</v>
      </c>
      <c r="B117" s="33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2823</v>
      </c>
      <c r="B1" s="2365"/>
      <c r="C1" s="2365"/>
      <c r="D1" s="2365"/>
      <c r="E1" s="2365"/>
      <c r="F1" s="3026"/>
      <c r="G1" s="3026"/>
      <c r="H1" s="3026"/>
      <c r="I1" s="3026"/>
      <c r="J1" s="3026"/>
      <c r="K1" s="3026"/>
      <c r="L1" s="3026"/>
      <c r="M1" s="3026"/>
      <c r="N1" s="3026"/>
      <c r="O1" s="3026"/>
      <c r="P1" s="3026"/>
    </row>
    <row r="2" spans="1:16" ht="15.75">
      <c r="A2" s="2363" t="s">
        <v>2815</v>
      </c>
      <c r="B2" s="2830" t="e">
        <f ca="1">SUMIF(B6:B13,"&lt;&gt;#ref!",B6:B13)</f>
        <v>#DIV/0!</v>
      </c>
      <c r="C2" s="2363" t="s">
        <v>2816</v>
      </c>
      <c r="D2" s="2363" t="s">
        <v>2817</v>
      </c>
      <c r="E2" s="2840">
        <f ca="1">SUMIF(E6:E13,"&lt;&gt;#ref!",E6:E13)</f>
        <v>0</v>
      </c>
      <c r="F2" s="3026"/>
      <c r="G2" s="3026"/>
      <c r="H2" s="3026"/>
      <c r="I2" s="3026"/>
      <c r="J2" s="3026"/>
      <c r="K2" s="3026"/>
      <c r="L2" s="3026"/>
      <c r="M2" s="3026"/>
      <c r="N2" s="3026"/>
      <c r="O2" s="3026"/>
      <c r="P2" s="3026"/>
    </row>
    <row r="3" spans="1:16" ht="15.75">
      <c r="A3" s="2363" t="s">
        <v>2818</v>
      </c>
      <c r="B3" s="2830" t="e">
        <f ca="1">ROUND(B2*10000/E2,0)</f>
        <v>#DIV/0!</v>
      </c>
      <c r="C3" s="2363" t="s">
        <v>2824</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2819</v>
      </c>
      <c r="B5" s="2838" t="s">
        <v>2820</v>
      </c>
      <c r="C5" s="2364"/>
      <c r="D5" s="3026"/>
      <c r="E5" s="2839" t="s">
        <v>2821</v>
      </c>
      <c r="F5" s="3026"/>
      <c r="G5" s="3026"/>
      <c r="H5" s="3026"/>
      <c r="I5" s="3026"/>
      <c r="J5" s="3026"/>
      <c r="K5" s="3026"/>
      <c r="L5" s="3026"/>
      <c r="M5" s="3026"/>
      <c r="N5" s="3026"/>
      <c r="O5" s="3026"/>
      <c r="P5" s="3026"/>
    </row>
    <row r="6" spans="1:16" ht="15.75">
      <c r="A6" s="2837" t="s">
        <v>2822</v>
      </c>
      <c r="B6" s="2830" t="e">
        <f ca="1">SUMIF(INDIRECT("'"&amp;A6&amp;"'"&amp;"!A:A"),"总价",INDIRECT("'"&amp;A6&amp;"'"&amp;"!B:B"))</f>
        <v>#DIV/0!</v>
      </c>
      <c r="C6" s="2363" t="s">
        <v>2816</v>
      </c>
      <c r="D6" s="3026"/>
      <c r="E6" s="2840">
        <f ca="1">SUMIF(INDIRECT("'"&amp;A6&amp;"'"&amp;"!C:C"),"建筑面积",INDIRECT("'"&amp;A6&amp;"'"&amp;"!D:D"))</f>
        <v>0</v>
      </c>
      <c r="F6" s="3026"/>
      <c r="G6" s="3026"/>
      <c r="H6" s="3026"/>
      <c r="I6" s="3026"/>
      <c r="J6" s="3026"/>
      <c r="K6" s="3026"/>
      <c r="L6" s="3026"/>
      <c r="M6" s="3026"/>
      <c r="N6" s="3026"/>
      <c r="O6" s="3026"/>
      <c r="P6" s="3026"/>
    </row>
    <row r="7" spans="1:16" ht="15.75">
      <c r="A7" s="2837"/>
      <c r="B7" s="2830" t="e">
        <f ca="1">SUMIF(INDIRECT("'"&amp;A7&amp;"'"&amp;"!A:A"),"总价",INDIRECT("'"&amp;A7&amp;"'"&amp;"!B:B"))</f>
        <v>#REF!</v>
      </c>
      <c r="C7" s="2363" t="s">
        <v>2816</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2816</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2816</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2816</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2816</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2816</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2816</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F7" sqref="C7:Q40"/>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8" t="s">
        <v>1117</v>
      </c>
      <c r="C1" s="3378"/>
      <c r="D1" s="3378"/>
      <c r="E1" s="3378"/>
      <c r="F1" s="3378"/>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2856</v>
      </c>
      <c r="B3" s="2397"/>
      <c r="C3" s="2397"/>
      <c r="D3" s="2398"/>
      <c r="E3" s="2398"/>
      <c r="F3" s="2397"/>
      <c r="G3" s="2399"/>
      <c r="H3" s="2400"/>
      <c r="I3" s="2401">
        <f>ROUND(AVERAGE($I4:$I33),2)</f>
        <v>1.75</v>
      </c>
      <c r="J3" s="2401">
        <f>ROUND(AVERAGE($J4:$J33),2)</f>
        <v>1.1200000000000001</v>
      </c>
      <c r="K3" s="2401">
        <f>ROUND(AVERAGE($K4:$K33),2)</f>
        <v>1.93</v>
      </c>
      <c r="L3" s="2401">
        <f>ROUND(AVERAGE($L4:$L33),2)</f>
        <v>1.28</v>
      </c>
      <c r="N3" s="2399"/>
      <c r="S3" s="2399"/>
      <c r="W3" s="2403"/>
      <c r="X3" s="2404">
        <f>ROUND(SUMPRODUCT(PRODUCT(1+N3:N$32)),4)</f>
        <v>1.6034999999999999</v>
      </c>
      <c r="Y3" s="2404">
        <f>ROUND(SUMPRODUCT(PRODUCT(1+O3:O$32)),4)</f>
        <v>1.3469</v>
      </c>
      <c r="Z3" s="2404">
        <f t="shared" ref="Z3:Z30" si="0">Y3</f>
        <v>1.3469</v>
      </c>
      <c r="AA3" s="2404">
        <f>ROUND(SUMPRODUCT(PRODUCT(1+P3:P$32)),4)</f>
        <v>1.6801999999999999</v>
      </c>
      <c r="AB3" s="2404">
        <f>ROUND(SUMPRODUCT(PRODUCT(1+Q3:Q$32)),4)</f>
        <v>1.4263999999999999</v>
      </c>
      <c r="AD3" s="2405">
        <f>ROUND(AVERAGE(I3:I$33)/100,4)</f>
        <v>1.7500000000000002E-2</v>
      </c>
      <c r="AE3" s="2405">
        <f>ROUND(AVERAGE(J3:J$33)/100,4)</f>
        <v>1.12E-2</v>
      </c>
      <c r="AF3" s="2405">
        <f t="shared" ref="AF3:AF31" si="1">AE3</f>
        <v>1.12E-2</v>
      </c>
      <c r="AG3" s="2405">
        <f>ROUND(AVERAGE(K3:K$33)/100,4)</f>
        <v>1.9300000000000001E-2</v>
      </c>
      <c r="AH3" s="2405">
        <f>ROUND(AVERAGE(L3:L$33)/100,4)</f>
        <v>1.2800000000000001E-2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3061</v>
      </c>
      <c r="B5" s="2415">
        <f t="shared" ref="B5" si="2">B6*(1+N5)</f>
        <v>493.14449689037161</v>
      </c>
      <c r="C5" s="2415">
        <f t="shared" ref="C5" si="3">C6*(1+O5)</f>
        <v>347.21619073020611</v>
      </c>
      <c r="D5" s="2415">
        <f t="shared" ref="D5" si="4">C5</f>
        <v>347.21619073020611</v>
      </c>
      <c r="E5" s="2415">
        <f t="shared" ref="E5" si="5">E6*(1+P5)</f>
        <v>710.55974278763904</v>
      </c>
      <c r="F5" s="2415">
        <f t="shared" ref="F5" si="6">F6*(1+Q5)</f>
        <v>327.94540235306141</v>
      </c>
      <c r="G5" s="3045">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2857</v>
      </c>
      <c r="X5" s="2423">
        <f>ROUND(IF(项目基本情况!B5="出让",SUMPRODUCT(PRODUCT(1+N5:N$33)),SUMPRODUCT(PRODUCT(1+N5:N$32))),4)</f>
        <v>1.6034999999999999</v>
      </c>
      <c r="Y5" s="2423">
        <f>ROUND(IF(项目基本情况!B5="出让",SUMPRODUCT(PRODUCT(1+O5:O$33)),SUMPRODUCT(PRODUCT(1+O5:O$32))),4)</f>
        <v>1.3469</v>
      </c>
      <c r="Z5" s="2423">
        <f t="shared" ref="Z5" si="11">Y5</f>
        <v>1.3469</v>
      </c>
      <c r="AA5" s="2423">
        <f>ROUND(IF(项目基本情况!B5="出让",SUMPRODUCT(PRODUCT(1+P5:P$33)),SUMPRODUCT(PRODUCT(1+P5:P$32))),4)</f>
        <v>1.6801999999999999</v>
      </c>
      <c r="AB5" s="2423">
        <f>ROUND(IF(项目基本情况!B5="出让",SUMPRODUCT(PRODUCT(1+Q5:Q$33)),SUMPRODUCT(PRODUCT(1+Q5:Q$32))),4)</f>
        <v>1.4263999999999999</v>
      </c>
      <c r="AD5" s="2424">
        <f>ROUND(AVERAGE(I5:I$33)/100,4)</f>
        <v>1.7500000000000002E-2</v>
      </c>
      <c r="AE5" s="2424">
        <f>ROUND(AVERAGE(J5:J$33)/100,4)</f>
        <v>1.12E-2</v>
      </c>
      <c r="AF5" s="2424">
        <f t="shared" ref="AF5" si="12">AE5</f>
        <v>1.12E-2</v>
      </c>
      <c r="AG5" s="2424">
        <f>ROUND(AVERAGE(K5:K$33)/100,4)</f>
        <v>1.9300000000000001E-2</v>
      </c>
      <c r="AH5" s="2424">
        <f>ROUND(AVERAGE(L5:L$33)/100,4)</f>
        <v>1.2800000000000001E-2</v>
      </c>
    </row>
    <row r="6" spans="1:34" s="2432" customFormat="1">
      <c r="A6" s="2425" t="s">
        <v>3062</v>
      </c>
      <c r="B6" s="2426">
        <f t="shared" ref="B6" si="13">B7*(1+N6)</f>
        <v>493.14449689037161</v>
      </c>
      <c r="C6" s="2426">
        <f t="shared" ref="C6" si="14">C7*(1+O6)</f>
        <v>347.21619073020611</v>
      </c>
      <c r="D6" s="2426">
        <f t="shared" ref="D6" si="15">C6</f>
        <v>347.21619073020611</v>
      </c>
      <c r="E6" s="2426">
        <f t="shared" ref="E6" si="16">E7*(1+P6)</f>
        <v>710.55974278763904</v>
      </c>
      <c r="F6" s="2426">
        <f t="shared" ref="F6" si="17">F7*(1+Q6)</f>
        <v>327.94540235306141</v>
      </c>
      <c r="G6" s="3045">
        <v>2020</v>
      </c>
      <c r="H6" s="2427">
        <v>4</v>
      </c>
      <c r="I6" s="2389">
        <v>2.0699999999999998</v>
      </c>
      <c r="J6" s="2389">
        <v>0.37</v>
      </c>
      <c r="K6" s="2389">
        <v>2.35</v>
      </c>
      <c r="L6" s="2390">
        <v>2.69</v>
      </c>
      <c r="M6" s="2412"/>
      <c r="N6" s="2428">
        <f t="shared" ref="N6" si="18">I6/100</f>
        <v>2.07E-2</v>
      </c>
      <c r="O6" s="2413">
        <f t="shared" ref="O6" si="19">J6/100</f>
        <v>3.7000000000000002E-3</v>
      </c>
      <c r="P6" s="2413">
        <f t="shared" ref="P6" si="20">K6/100</f>
        <v>2.35E-2</v>
      </c>
      <c r="Q6" s="2413">
        <f t="shared" ref="Q6" si="21">L6/100</f>
        <v>2.69E-2</v>
      </c>
      <c r="R6" s="2429"/>
      <c r="S6" s="2428"/>
      <c r="T6" s="2413"/>
      <c r="U6" s="2413"/>
      <c r="V6" s="2413"/>
      <c r="W6" s="2430"/>
      <c r="X6" s="2430">
        <f>ROUND(IF(项目基本情况!B6="出让",SUMPRODUCT(PRODUCT(1+N6:N$33)),SUMPRODUCT(PRODUCT(1+N6:N$32))),4)</f>
        <v>1.6034999999999999</v>
      </c>
      <c r="Y6" s="2430">
        <f>ROUND(IF(项目基本情况!B6="出让",SUMPRODUCT(PRODUCT(1+O6:O$33)),SUMPRODUCT(PRODUCT(1+O6:O$32))),4)</f>
        <v>1.3469</v>
      </c>
      <c r="Z6" s="2430">
        <f t="shared" ref="Z6" si="22">Y6</f>
        <v>1.3469</v>
      </c>
      <c r="AA6" s="2430">
        <f>ROUND(IF(项目基本情况!B6="出让",SUMPRODUCT(PRODUCT(1+P6:P$33)),SUMPRODUCT(PRODUCT(1+P6:P$32))),4)</f>
        <v>1.6801999999999999</v>
      </c>
      <c r="AB6" s="2430">
        <f>ROUND(IF(项目基本情况!B6="出让",SUMPRODUCT(PRODUCT(1+Q6:Q$33)),SUMPRODUCT(PRODUCT(1+Q6:Q$32))),4)</f>
        <v>1.4263999999999999</v>
      </c>
      <c r="AC6" s="2430"/>
      <c r="AD6" s="2431">
        <f>ROUND(AVERAGE(I6:I$33)/100,4)</f>
        <v>1.8200000000000001E-2</v>
      </c>
      <c r="AE6" s="2431">
        <f>ROUND(AVERAGE(J6:J$33)/100,4)</f>
        <v>1.1599999999999999E-2</v>
      </c>
      <c r="AF6" s="2431">
        <f t="shared" ref="AF6" si="23">AE6</f>
        <v>1.1599999999999999E-2</v>
      </c>
      <c r="AG6" s="2431">
        <f>ROUND(AVERAGE(K6:K$33)/100,4)</f>
        <v>0.02</v>
      </c>
      <c r="AH6" s="2431">
        <f>ROUND(AVERAGE(L6:L$33)/100,4)</f>
        <v>1.3299999999999999E-2</v>
      </c>
    </row>
    <row r="7" spans="1:34" s="2432" customFormat="1">
      <c r="A7" s="2425" t="s">
        <v>3060</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42">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2873</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2871</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2870</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2869</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2867</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2865</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2868</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374">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2863</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374"/>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2862</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374"/>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2855</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383"/>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2853</v>
      </c>
      <c r="B18" s="2440">
        <v>439</v>
      </c>
      <c r="C18" s="2440">
        <v>327</v>
      </c>
      <c r="D18" s="2440">
        <f>C18</f>
        <v>327</v>
      </c>
      <c r="E18" s="2440">
        <v>627</v>
      </c>
      <c r="F18" s="2441">
        <v>283</v>
      </c>
      <c r="G18" s="3379">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2854</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374"/>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374"/>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383"/>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379">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374"/>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374"/>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375"/>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73">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374"/>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374"/>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375"/>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73">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374"/>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374"/>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375"/>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380">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381"/>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381"/>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382"/>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73">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374"/>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374"/>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375"/>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73">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374">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374">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375">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73">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374">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374">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375">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73">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374">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374">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375">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73">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374">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374">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375">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73">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374">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374">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375">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73">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374">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374">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375">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73">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374">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374">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375">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73">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374">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374">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375">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73">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374">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374">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375">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73">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374">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374">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375">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1586</v>
      </c>
      <c r="B1" s="1678"/>
      <c r="C1" s="1678"/>
      <c r="D1" s="1678"/>
      <c r="E1" s="1678"/>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680"/>
      <c r="B4" s="3059" t="s">
        <v>1595</v>
      </c>
      <c r="C4" s="3059"/>
      <c r="D4" s="3059"/>
      <c r="E4" s="1680"/>
    </row>
    <row r="5" spans="1:5" ht="16.5" thickTop="1">
      <c r="A5" s="1678"/>
      <c r="B5" s="3057" t="s">
        <v>1587</v>
      </c>
      <c r="C5" s="1681" t="s">
        <v>1588</v>
      </c>
      <c r="D5" s="959" t="e">
        <f ca="1">结果表!H101</f>
        <v>#REF!</v>
      </c>
      <c r="E5" s="1678"/>
    </row>
    <row r="6" spans="1:5" ht="15.75">
      <c r="A6" s="1678"/>
      <c r="B6" s="3057"/>
      <c r="C6" s="1681" t="s">
        <v>1589</v>
      </c>
      <c r="D6" s="959" t="e">
        <f ca="1">NUMBERSTRING(INT(D5*10000),2)&amp;"元整"</f>
        <v>#REF!</v>
      </c>
      <c r="E6" s="1678"/>
    </row>
    <row r="7" spans="1:5" ht="15.75">
      <c r="A7" s="1678"/>
      <c r="B7" s="3062"/>
      <c r="C7" s="1682" t="s">
        <v>1590</v>
      </c>
      <c r="D7" s="960" t="e">
        <f ca="1">结果表!H102</f>
        <v>#REF!</v>
      </c>
      <c r="E7" s="1678"/>
    </row>
    <row r="8" spans="1:5" ht="15.75">
      <c r="A8" s="1678"/>
      <c r="B8" s="3063" t="str">
        <f>结果表!E103</f>
        <v>2.估价师知悉的法定优先受偿款</v>
      </c>
      <c r="C8" s="1683" t="s">
        <v>1591</v>
      </c>
      <c r="D8" s="960">
        <f>结果表!H103</f>
        <v>0</v>
      </c>
      <c r="E8" s="1678"/>
    </row>
    <row r="9" spans="1:5" ht="15.75">
      <c r="A9" s="1678"/>
      <c r="B9" s="3065"/>
      <c r="C9" s="1681" t="s">
        <v>1589</v>
      </c>
      <c r="D9" s="959" t="str">
        <f>NUMBERSTRING(INT(D8*10000),2)&amp;"元整"</f>
        <v>零元整</v>
      </c>
      <c r="E9" s="1678"/>
    </row>
    <row r="10" spans="1:5" ht="15">
      <c r="A10" s="1678"/>
      <c r="B10" s="1684" t="s">
        <v>1594</v>
      </c>
      <c r="C10" s="1685" t="s">
        <v>1592</v>
      </c>
      <c r="D10" s="961">
        <f>结果表!H104</f>
        <v>0</v>
      </c>
      <c r="E10" s="1678"/>
    </row>
    <row r="11" spans="1:5" ht="15">
      <c r="A11" s="1678"/>
      <c r="B11" s="1684" t="s">
        <v>1596</v>
      </c>
      <c r="C11" s="1685" t="s">
        <v>1597</v>
      </c>
      <c r="D11" s="961">
        <f>结果表!H105</f>
        <v>0</v>
      </c>
      <c r="E11" s="1678"/>
    </row>
    <row r="12" spans="1:5" ht="15">
      <c r="A12" s="1678"/>
      <c r="B12" s="1684" t="s">
        <v>1598</v>
      </c>
      <c r="C12" s="1685" t="s">
        <v>1597</v>
      </c>
      <c r="D12" s="961">
        <f>结果表!H106</f>
        <v>0</v>
      </c>
      <c r="E12" s="1678"/>
    </row>
    <row r="13" spans="1:5" ht="15.75">
      <c r="A13" s="1678"/>
      <c r="B13" s="3056" t="str">
        <f>结果表!E107</f>
        <v>3.房地产抵押价值</v>
      </c>
      <c r="C13" s="1686" t="s">
        <v>1588</v>
      </c>
      <c r="D13" s="962" t="e">
        <f ca="1">结果表!H107</f>
        <v>#REF!</v>
      </c>
      <c r="E13" s="1678"/>
    </row>
    <row r="14" spans="1:5" ht="15.75">
      <c r="A14" s="1678"/>
      <c r="B14" s="3057"/>
      <c r="C14" s="1681" t="s">
        <v>1589</v>
      </c>
      <c r="D14" s="959" t="e">
        <f ca="1">NUMBERSTRING(INT(D13*10000),2)&amp;"元整"</f>
        <v>#REF!</v>
      </c>
      <c r="E14" s="1678"/>
    </row>
    <row r="15" spans="1:5" ht="15">
      <c r="A15" s="1678"/>
      <c r="B15" s="3062"/>
      <c r="C15" s="1682" t="s">
        <v>1599</v>
      </c>
      <c r="D15" s="968" t="e">
        <f ca="1">结果表!H108</f>
        <v>#REF!</v>
      </c>
      <c r="E15" s="1678"/>
    </row>
    <row r="16" spans="1:5" ht="15">
      <c r="A16" s="1678"/>
      <c r="B16" s="3063" t="str">
        <f>结果表!E109</f>
        <v>——</v>
      </c>
      <c r="C16" s="1686" t="s">
        <v>1600</v>
      </c>
      <c r="D16" s="1687" t="str">
        <f>结果表!H109</f>
        <v>——</v>
      </c>
      <c r="E16" s="1678"/>
    </row>
    <row r="17" spans="1:5" ht="15.75">
      <c r="A17" s="1678"/>
      <c r="B17" s="3064"/>
      <c r="C17" s="1681" t="s">
        <v>1601</v>
      </c>
      <c r="D17" s="959" t="e">
        <f>NUMBERSTRING(INT(D16*10000),2)&amp;"元整"</f>
        <v>#VALUE!</v>
      </c>
      <c r="E17" s="1678"/>
    </row>
    <row r="18" spans="1:5" ht="15">
      <c r="A18" s="1678"/>
      <c r="B18" s="3065"/>
      <c r="C18" s="1682" t="s">
        <v>1590</v>
      </c>
      <c r="D18" s="968" t="str">
        <f>结果表!H110</f>
        <v>——</v>
      </c>
      <c r="E18" s="1678"/>
    </row>
    <row r="19" spans="1:5" ht="15.75">
      <c r="A19" s="1678"/>
      <c r="B19" s="3056" t="str">
        <f>结果表!E111</f>
        <v>——</v>
      </c>
      <c r="C19" s="1686" t="s">
        <v>1588</v>
      </c>
      <c r="D19" s="960" t="str">
        <f>结果表!H111</f>
        <v>——</v>
      </c>
      <c r="E19" s="1678"/>
    </row>
    <row r="20" spans="1:5" ht="15.75">
      <c r="A20" s="1678"/>
      <c r="B20" s="3057"/>
      <c r="C20" s="1681" t="s">
        <v>1601</v>
      </c>
      <c r="D20" s="959" t="e">
        <f>NUMBERSTRING(INT(D19*10000),2)&amp;"元整"</f>
        <v>#VALUE!</v>
      </c>
      <c r="E20" s="1678"/>
    </row>
    <row r="21" spans="1:5" ht="15.75" thickBot="1">
      <c r="A21" s="1678"/>
      <c r="B21" s="3058"/>
      <c r="C21" s="1688" t="s">
        <v>1599</v>
      </c>
      <c r="D21" s="969" t="str">
        <f>结果表!H112</f>
        <v>——</v>
      </c>
      <c r="E21" s="1678"/>
    </row>
    <row r="22" spans="1:5" ht="15" thickTop="1">
      <c r="A22" s="1678"/>
      <c r="B22" s="1689" t="s">
        <v>1602</v>
      </c>
      <c r="C22" s="1678"/>
      <c r="D22" s="1678"/>
      <c r="E22" s="1678"/>
    </row>
    <row r="23" spans="1:5">
      <c r="A23" s="1678"/>
      <c r="B23" s="1678"/>
      <c r="C23" s="1678"/>
      <c r="D23" s="1678"/>
      <c r="E23" s="1678"/>
    </row>
    <row r="24" spans="1:5" ht="18.75">
      <c r="A24" s="1690"/>
      <c r="B24" s="1691" t="s">
        <v>1593</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C7:Q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2825</v>
      </c>
      <c r="C1" s="3387" t="s">
        <v>2826</v>
      </c>
      <c r="D1" s="3388"/>
      <c r="E1" s="3388"/>
      <c r="F1" s="3388"/>
      <c r="G1" s="3388"/>
      <c r="H1" s="3388"/>
      <c r="I1" s="3388"/>
      <c r="J1" s="3388"/>
      <c r="K1" s="3388"/>
      <c r="L1" s="3388"/>
      <c r="M1" s="3388"/>
      <c r="N1" s="3388"/>
      <c r="O1" s="3388"/>
      <c r="P1" s="3388"/>
      <c r="Q1" s="3388"/>
      <c r="R1" s="3388"/>
      <c r="S1" s="3389"/>
      <c r="T1" s="1114" t="s">
        <v>2827</v>
      </c>
    </row>
    <row r="2" spans="1:45" s="663" customFormat="1">
      <c r="A2" s="1115"/>
      <c r="B2" s="659" t="s">
        <v>2828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2829</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2830</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2831</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2835</v>
      </c>
      <c r="B17" s="2367" t="s">
        <v>2836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2837</v>
      </c>
      <c r="E19" s="1526"/>
      <c r="F19" s="1526"/>
      <c r="G19" s="1526"/>
      <c r="H19" s="1190"/>
      <c r="I19" s="164"/>
      <c r="J19" s="164"/>
      <c r="K19" s="164"/>
      <c r="L19" s="164"/>
      <c r="M19" s="164"/>
      <c r="N19" s="164"/>
      <c r="O19" s="164"/>
      <c r="P19" s="164"/>
      <c r="Q19" s="164"/>
      <c r="R19" s="727"/>
      <c r="S19" s="134"/>
    </row>
    <row r="20" spans="1:45" ht="16.5" thickBot="1">
      <c r="A20" s="671" t="s">
        <v>2838</v>
      </c>
      <c r="B20" s="300" t="e">
        <f ca="1">IF(D20="——",S22,S22-F20)</f>
        <v>#REF!</v>
      </c>
      <c r="C20" s="164"/>
      <c r="D20" s="2369"/>
      <c r="E20" s="1527"/>
      <c r="F20" s="1114" t="e">
        <f ca="1">SUMIF(INDIRECT("'"&amp;H20&amp;"'"&amp;"!A:A"),"承租人权益价值",INDIRECT("'"&amp;H20&amp;"'"&amp;"!c:c"))</f>
        <v>#REF!</v>
      </c>
      <c r="G20" s="1114" t="s">
        <v>2839</v>
      </c>
      <c r="H20" s="2370"/>
      <c r="I20" s="164"/>
      <c r="J20" s="164"/>
      <c r="K20" s="164"/>
      <c r="L20" s="164"/>
      <c r="M20" s="164"/>
      <c r="N20" s="164"/>
      <c r="O20" s="164"/>
      <c r="P20" s="164"/>
      <c r="Q20" s="164"/>
      <c r="R20" s="727"/>
      <c r="S20" s="134"/>
    </row>
    <row r="21" spans="1:45" ht="15.75">
      <c r="A21" s="671" t="s">
        <v>2840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2841</v>
      </c>
      <c r="B22" s="24">
        <f>SUM(B24:B10000)</f>
        <v>100</v>
      </c>
      <c r="C22" s="3384" t="s">
        <v>33</v>
      </c>
      <c r="D22" s="3385"/>
      <c r="E22" s="3385"/>
      <c r="F22" s="3385"/>
      <c r="G22" s="3385"/>
      <c r="H22" s="3385"/>
      <c r="I22" s="3385"/>
      <c r="J22" s="3385"/>
      <c r="K22" s="3385"/>
      <c r="L22" s="3385"/>
      <c r="M22" s="3385"/>
      <c r="N22" s="3385"/>
      <c r="O22" s="3385"/>
      <c r="P22" s="3385"/>
      <c r="Q22" s="3386"/>
      <c r="R22" s="672">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3" t="s">
        <v>2845</v>
      </c>
      <c r="S23" s="11" t="s">
        <v>2846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2847</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65746</v>
      </c>
      <c r="C2" s="2" t="s">
        <v>133</v>
      </c>
      <c r="D2" s="205"/>
      <c r="E2" s="205"/>
      <c r="F2" s="205"/>
      <c r="G2" s="205"/>
    </row>
    <row r="3" spans="1:7" s="206" customFormat="1" ht="18" customHeight="1" thickBot="1">
      <c r="A3" s="209" t="s">
        <v>85</v>
      </c>
      <c r="B3" s="210">
        <f ca="1">ROUND(B2*10000/'数据-汇总表'!E3,0)</f>
        <v>8478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1241</v>
      </c>
      <c r="D9" s="954">
        <f>'数据-汇总表'!E5</f>
        <v>77547</v>
      </c>
      <c r="E9" s="231">
        <f>'数据-取费表'!B27</f>
        <v>160</v>
      </c>
      <c r="F9" s="227"/>
      <c r="G9" s="232"/>
    </row>
    <row r="10" spans="1:7" s="220" customFormat="1" ht="13.5" customHeight="1">
      <c r="A10" s="887" t="s">
        <v>801</v>
      </c>
      <c r="B10" s="230" t="s">
        <v>94</v>
      </c>
      <c r="C10" s="231">
        <f>ROUND(D10*E10/10000,0)</f>
        <v>0</v>
      </c>
      <c r="D10" s="954">
        <f>'数据-汇总表'!E6</f>
        <v>0</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1551</v>
      </c>
      <c r="D19" s="958">
        <f>'数据-汇总表'!E3</f>
        <v>77547</v>
      </c>
      <c r="E19" s="217">
        <f>'数据-取费表'!B31</f>
        <v>200</v>
      </c>
      <c r="F19" s="237"/>
      <c r="G19" s="1" t="s">
        <v>1042</v>
      </c>
    </row>
    <row r="20" spans="1:7" s="220" customFormat="1" ht="13.5" customHeight="1">
      <c r="A20" s="885" t="s">
        <v>1025</v>
      </c>
      <c r="B20" s="216" t="s">
        <v>104</v>
      </c>
      <c r="C20" s="238">
        <f>ROUND((C5+C19)*F20,0)</f>
        <v>443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2099</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74</v>
      </c>
      <c r="D24" s="244"/>
      <c r="E24" s="244"/>
      <c r="F24" s="245"/>
      <c r="G24" s="246" t="s">
        <v>109</v>
      </c>
    </row>
    <row r="25" spans="1:7" s="220" customFormat="1" ht="24">
      <c r="A25" s="888" t="s">
        <v>793</v>
      </c>
      <c r="B25" s="221" t="s">
        <v>1026</v>
      </c>
      <c r="C25" s="1265">
        <f ca="1">ROUND(IF('数据-取费表'!B22&lt;=1,C20*F22*'数据-取费表'!B23/2,C20*(POWER((1+F22),'数据-取费表'!B23/2)-1)),0)</f>
        <v>21</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0</v>
      </c>
      <c r="D27" s="241">
        <f>C29</f>
        <v>0</v>
      </c>
      <c r="E27" s="242" t="s">
        <v>126</v>
      </c>
      <c r="F27" s="252">
        <f>'数据-取费表'!Q16</f>
        <v>0.05</v>
      </c>
      <c r="G27" s="253" t="s">
        <v>1037</v>
      </c>
    </row>
    <row r="28" spans="1:7" s="220" customFormat="1" ht="13.5" customHeight="1">
      <c r="A28" s="888" t="s">
        <v>794</v>
      </c>
      <c r="B28" s="254" t="s">
        <v>1030</v>
      </c>
      <c r="C28" s="255">
        <f>ROUND((C5+C19+C20)*F27*'数据-取费表'!B21/'数据-取费表'!B20,0)</f>
        <v>0</v>
      </c>
      <c r="D28" s="241"/>
      <c r="E28" s="242"/>
      <c r="F28" s="252"/>
      <c r="G28" s="253"/>
    </row>
    <row r="29" spans="1:7" s="220" customFormat="1" ht="13.5" customHeight="1">
      <c r="A29" s="888" t="s">
        <v>792</v>
      </c>
      <c r="B29" s="254" t="s">
        <v>1031</v>
      </c>
      <c r="C29" s="244">
        <f>ROUND(C21*F27*'数据-取费表'!B21/'数据-取费表'!B20,4)</f>
        <v>0</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26659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33818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29468</v>
      </c>
      <c r="D34" s="223"/>
      <c r="E34" s="226"/>
      <c r="F34" s="263">
        <f>IF('数据-取费表'!B24=0,1,'数据-取费表'!N16)</f>
        <v>1</v>
      </c>
      <c r="G34" s="225" t="s">
        <v>116</v>
      </c>
    </row>
    <row r="35" spans="1:7" ht="13.5" customHeight="1">
      <c r="A35" s="888" t="s">
        <v>796</v>
      </c>
      <c r="B35" s="221" t="s">
        <v>60</v>
      </c>
      <c r="C35" s="226">
        <f>ROUND(C34*F35,0)</f>
        <v>884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1473</v>
      </c>
      <c r="D36" s="226"/>
      <c r="E36" s="226"/>
      <c r="F36" s="265">
        <f>'数据-取费表'!B34</f>
        <v>0.05</v>
      </c>
      <c r="G36" s="266" t="s">
        <v>62</v>
      </c>
    </row>
    <row r="37" spans="1:7" s="264" customFormat="1" ht="13.5" customHeight="1">
      <c r="A37" s="888" t="s">
        <v>798</v>
      </c>
      <c r="B37" s="221" t="s">
        <v>118</v>
      </c>
      <c r="C37" s="255">
        <f>ROUND(E37*D37*F34/10000,0)</f>
        <v>1551</v>
      </c>
      <c r="D37" s="223">
        <f>'数据-汇总表'!E3</f>
        <v>77547</v>
      </c>
      <c r="E37" s="255">
        <f>'数据-取费表'!B35</f>
        <v>200</v>
      </c>
      <c r="F37" s="265"/>
      <c r="G37" s="267" t="s">
        <v>119</v>
      </c>
    </row>
    <row r="38" spans="1:7" ht="13.5" customHeight="1">
      <c r="A38" s="888" t="s">
        <v>799</v>
      </c>
      <c r="B38" s="221" t="s">
        <v>63</v>
      </c>
      <c r="C38" s="226">
        <f>ROUND(C34*F38,0)</f>
        <v>442</v>
      </c>
      <c r="D38" s="226"/>
      <c r="E38" s="226"/>
      <c r="F38" s="265">
        <f>'数据-取费表'!B36</f>
        <v>1.4999999999999999E-2</v>
      </c>
      <c r="G38" s="225" t="s">
        <v>117</v>
      </c>
    </row>
    <row r="39" spans="1:7" s="220" customFormat="1" ht="13.5" customHeight="1">
      <c r="A39" s="885" t="s">
        <v>783</v>
      </c>
      <c r="B39" s="216" t="s">
        <v>104</v>
      </c>
      <c r="C39" s="238">
        <f>ROUND(C33*F20,0)</f>
        <v>676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0</v>
      </c>
      <c r="D41" s="241">
        <f ca="1">C44</f>
        <v>0</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0</v>
      </c>
      <c r="D42" s="244"/>
      <c r="E42" s="244"/>
      <c r="F42" s="245"/>
      <c r="G42" s="3244" t="s">
        <v>121</v>
      </c>
    </row>
    <row r="43" spans="1:7" ht="13.5" customHeight="1">
      <c r="A43" s="888" t="s">
        <v>792</v>
      </c>
      <c r="B43" s="221" t="s">
        <v>1032</v>
      </c>
      <c r="C43" s="244">
        <f ca="1">ROUND(IF('数据-取费表'!B22&lt;=1,C39*F22*'数据-取费表'!B21/2,C39*(POWER((1+F22),'数据-取费表'!B21/2)-1)),0)</f>
        <v>0</v>
      </c>
      <c r="D43" s="244"/>
      <c r="E43" s="244"/>
      <c r="F43" s="245"/>
      <c r="G43" s="3245"/>
    </row>
    <row r="44" spans="1:7" ht="13.5" customHeight="1">
      <c r="A44" s="888" t="s">
        <v>793</v>
      </c>
      <c r="B44" s="221" t="s">
        <v>1034</v>
      </c>
      <c r="C44" s="244">
        <f ca="1">ROUND(IF('数据-取费表'!B22&lt;=1,C40*F22*'数据-取费表'!B21/2,C40*(POWER((1+F22),'数据-取费表'!B21/2)-1)),4)</f>
        <v>0</v>
      </c>
      <c r="D44" s="244"/>
      <c r="E44" s="244"/>
      <c r="F44" s="245"/>
      <c r="G44" s="3246"/>
    </row>
    <row r="45" spans="1:7" s="220" customFormat="1" ht="13.5" customHeight="1">
      <c r="A45" s="885" t="s">
        <v>786</v>
      </c>
      <c r="B45" s="250" t="s">
        <v>112</v>
      </c>
      <c r="C45" s="251">
        <f>C46</f>
        <v>1725</v>
      </c>
      <c r="D45" s="241">
        <f>C47</f>
        <v>1E-3</v>
      </c>
      <c r="E45" s="242" t="s">
        <v>129</v>
      </c>
      <c r="F45" s="252"/>
      <c r="G45" s="253" t="s">
        <v>1040</v>
      </c>
    </row>
    <row r="46" spans="1:7" s="220" customFormat="1" ht="13.5" customHeight="1">
      <c r="A46" s="888" t="s">
        <v>794</v>
      </c>
      <c r="B46" s="254" t="s">
        <v>1033</v>
      </c>
      <c r="C46" s="255">
        <f>ROUND((C33+C39)*F27,0)</f>
        <v>1725</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39087</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39087</v>
      </c>
      <c r="D51" s="238"/>
      <c r="E51" s="238"/>
      <c r="F51" s="270"/>
      <c r="G51" s="240" t="s">
        <v>64</v>
      </c>
    </row>
    <row r="52" spans="1:7" s="214" customFormat="1" ht="16.5" thickBot="1">
      <c r="A52" s="271" t="s">
        <v>65</v>
      </c>
      <c r="B52" s="272"/>
      <c r="C52" s="273">
        <f ca="1">C31+C51</f>
        <v>65746</v>
      </c>
      <c r="D52" s="272"/>
      <c r="E52" s="272"/>
      <c r="F52" s="272"/>
      <c r="G52" s="274"/>
    </row>
    <row r="55" spans="1:7" ht="15">
      <c r="B55" s="276" t="s">
        <v>66</v>
      </c>
      <c r="C55" s="277"/>
    </row>
    <row r="56" spans="1:7">
      <c r="B56" s="279" t="s">
        <v>67</v>
      </c>
      <c r="C56" s="280">
        <f ca="1">ROUND(C51/C52,3)</f>
        <v>0.59499999999999997</v>
      </c>
    </row>
    <row r="57" spans="1:7">
      <c r="B57" s="279" t="s">
        <v>68</v>
      </c>
      <c r="C57" s="281">
        <f ca="1">1-C56</f>
        <v>0.40500000000000003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0" t="s">
        <v>156</v>
      </c>
      <c r="B1" s="3390"/>
      <c r="C1" s="3390"/>
      <c r="D1" s="3390"/>
      <c r="E1" s="3390"/>
      <c r="F1" s="33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1" t="s">
        <v>169</v>
      </c>
      <c r="B2" s="3391"/>
      <c r="C2" s="3391"/>
      <c r="D2" s="3391"/>
      <c r="E2" s="3391"/>
      <c r="F2" s="33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0" t="s">
        <v>839</v>
      </c>
      <c r="B1" s="33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44562</v>
      </c>
      <c r="D1" s="1472" t="s">
        <v>1268</v>
      </c>
      <c r="E1" s="1467">
        <f>'数据-取费表'!B22</f>
        <v>4</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6</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48" sqref="G48"/>
    </sheetView>
  </sheetViews>
  <sheetFormatPr defaultRowHeight="13.5"/>
  <sheetData/>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1"/>
  <sheetViews>
    <sheetView zoomScale="85" zoomScaleNormal="85" workbookViewId="0">
      <selection activeCell="L9" sqref="L9"/>
    </sheetView>
  </sheetViews>
  <sheetFormatPr defaultRowHeight="12"/>
  <cols>
    <col min="1" max="1" width="17.5" style="3046" customWidth="1"/>
    <col min="2" max="4" width="0" style="3046" hidden="1" customWidth="1"/>
    <col min="5" max="5" width="9" style="3046"/>
    <col min="6" max="8" width="0" style="3046" hidden="1" customWidth="1"/>
    <col min="9" max="12" width="9" style="3046"/>
    <col min="13" max="18" width="0" style="3046" hidden="1" customWidth="1"/>
    <col min="19" max="21" width="9" style="3046"/>
    <col min="22" max="26" width="0" style="3046" hidden="1" customWidth="1"/>
    <col min="27" max="27" width="9" style="3046"/>
    <col min="28" max="29" width="0" style="3046" hidden="1" customWidth="1"/>
    <col min="30" max="30" width="12" style="3046" customWidth="1"/>
    <col min="31" max="31" width="11.25" style="3046" customWidth="1"/>
    <col min="32" max="33" width="0" style="3046" hidden="1" customWidth="1"/>
    <col min="34" max="34" width="9" style="3046"/>
    <col min="35" max="35" width="0" style="3046" hidden="1" customWidth="1"/>
    <col min="36" max="36" width="9" style="3046"/>
    <col min="37" max="37" width="0" style="3046" hidden="1" customWidth="1"/>
    <col min="38" max="38" width="9" style="3046"/>
    <col min="39" max="40" width="0" style="3046" hidden="1" customWidth="1"/>
    <col min="41" max="42" width="9" style="3046"/>
    <col min="43" max="46" width="0" style="3046" hidden="1" customWidth="1"/>
    <col min="47" max="16384" width="9" style="3046"/>
  </cols>
  <sheetData>
    <row r="1" spans="1:46" s="3398" customFormat="1">
      <c r="A1" s="3398" t="s">
        <v>3175</v>
      </c>
      <c r="B1" s="3398" t="s">
        <v>3176</v>
      </c>
      <c r="C1" s="3398" t="s">
        <v>3177</v>
      </c>
      <c r="D1" s="3398" t="s">
        <v>3178</v>
      </c>
      <c r="E1" s="3398" t="s">
        <v>3179</v>
      </c>
      <c r="F1" s="3398" t="s">
        <v>3180</v>
      </c>
      <c r="G1" s="3398" t="s">
        <v>3181</v>
      </c>
      <c r="H1" s="3398" t="s">
        <v>3182</v>
      </c>
      <c r="I1" s="3398" t="s">
        <v>3183</v>
      </c>
      <c r="J1" s="3398" t="s">
        <v>3184</v>
      </c>
      <c r="K1" s="3398" t="s">
        <v>3185</v>
      </c>
      <c r="L1" s="3398" t="s">
        <v>3186</v>
      </c>
      <c r="M1" s="3398" t="s">
        <v>3187</v>
      </c>
      <c r="N1" s="3398" t="s">
        <v>3188</v>
      </c>
      <c r="O1" s="3398" t="s">
        <v>3189</v>
      </c>
      <c r="P1" s="3398" t="s">
        <v>3190</v>
      </c>
      <c r="Q1" s="3398" t="s">
        <v>3191</v>
      </c>
      <c r="R1" s="3398" t="s">
        <v>3192</v>
      </c>
      <c r="S1" s="3398" t="s">
        <v>3193</v>
      </c>
      <c r="T1" s="3398" t="s">
        <v>3194</v>
      </c>
      <c r="U1" s="3398" t="s">
        <v>3195</v>
      </c>
      <c r="V1" s="3398" t="s">
        <v>3196</v>
      </c>
      <c r="W1" s="3398" t="s">
        <v>3197</v>
      </c>
      <c r="X1" s="3398" t="s">
        <v>3198</v>
      </c>
      <c r="Y1" s="3398" t="s">
        <v>3199</v>
      </c>
      <c r="Z1" s="3398" t="s">
        <v>3200</v>
      </c>
      <c r="AA1" s="3398" t="s">
        <v>3201</v>
      </c>
      <c r="AB1" s="3398" t="s">
        <v>3202</v>
      </c>
      <c r="AC1" s="3398" t="s">
        <v>3203</v>
      </c>
      <c r="AD1" s="3398" t="s">
        <v>3204</v>
      </c>
      <c r="AE1" s="3398" t="s">
        <v>3205</v>
      </c>
      <c r="AF1" s="3398" t="s">
        <v>3206</v>
      </c>
      <c r="AG1" s="3398" t="s">
        <v>3207</v>
      </c>
      <c r="AH1" s="3398" t="s">
        <v>3208</v>
      </c>
      <c r="AI1" s="3398" t="s">
        <v>3209</v>
      </c>
      <c r="AJ1" s="3398" t="s">
        <v>3210</v>
      </c>
      <c r="AK1" s="3398" t="s">
        <v>3211</v>
      </c>
      <c r="AL1" s="3398" t="s">
        <v>3212</v>
      </c>
      <c r="AM1" s="3398" t="s">
        <v>3213</v>
      </c>
      <c r="AN1" s="3398" t="s">
        <v>3214</v>
      </c>
      <c r="AO1" s="3398" t="s">
        <v>3215</v>
      </c>
      <c r="AP1" s="3398" t="s">
        <v>3216</v>
      </c>
      <c r="AQ1" s="3398" t="s">
        <v>3217</v>
      </c>
      <c r="AR1" s="3398" t="s">
        <v>3218</v>
      </c>
      <c r="AS1" s="3398" t="s">
        <v>3219</v>
      </c>
      <c r="AT1" s="3398" t="s">
        <v>3220</v>
      </c>
    </row>
    <row r="2" spans="1:46" s="3398" customFormat="1">
      <c r="A2" s="3398" t="s">
        <v>3221</v>
      </c>
      <c r="B2" s="3398" t="s">
        <v>3222</v>
      </c>
      <c r="C2" s="3398" t="s">
        <v>3223</v>
      </c>
      <c r="D2" s="3398" t="s">
        <v>3224</v>
      </c>
      <c r="E2" s="3398" t="s">
        <v>3225</v>
      </c>
      <c r="F2" s="3398" t="s">
        <v>3226</v>
      </c>
      <c r="G2" s="3398" t="s">
        <v>3227</v>
      </c>
      <c r="H2" s="3398" t="s">
        <v>3228</v>
      </c>
      <c r="I2" s="3398" t="s">
        <v>3229</v>
      </c>
      <c r="J2" s="3398">
        <v>62136.68</v>
      </c>
      <c r="K2" s="3398">
        <v>147241</v>
      </c>
      <c r="L2" s="3398" t="s">
        <v>3230</v>
      </c>
      <c r="M2" s="3398" t="s">
        <v>1298</v>
      </c>
      <c r="N2" s="3398" t="s">
        <v>1298</v>
      </c>
      <c r="O2" s="3398" t="s">
        <v>1298</v>
      </c>
      <c r="P2" s="3398" t="s">
        <v>1298</v>
      </c>
      <c r="Q2" s="3398" t="s">
        <v>1298</v>
      </c>
      <c r="R2" s="3398" t="s">
        <v>1298</v>
      </c>
      <c r="S2" s="3398" t="s">
        <v>3231</v>
      </c>
      <c r="T2" s="3398" t="s">
        <v>3232</v>
      </c>
      <c r="U2" s="3398" t="s">
        <v>3232</v>
      </c>
      <c r="V2" s="3398" t="s">
        <v>1298</v>
      </c>
      <c r="W2" s="3398" t="s">
        <v>3233</v>
      </c>
      <c r="X2" s="3398" t="s">
        <v>3234</v>
      </c>
      <c r="Y2" s="3398" t="s">
        <v>3235</v>
      </c>
      <c r="Z2" s="3398" t="s">
        <v>3236</v>
      </c>
      <c r="AA2" s="3398" t="s">
        <v>3236</v>
      </c>
      <c r="AB2" s="3398" t="s">
        <v>3228</v>
      </c>
      <c r="AC2" s="3398" t="s">
        <v>3237</v>
      </c>
      <c r="AD2" s="3398" t="s">
        <v>3238</v>
      </c>
      <c r="AE2" s="3398" t="s">
        <v>3239</v>
      </c>
      <c r="AF2" s="3398">
        <v>62000</v>
      </c>
      <c r="AG2" s="3398">
        <v>206138</v>
      </c>
      <c r="AH2" s="3398">
        <v>206138</v>
      </c>
      <c r="AI2" s="3398">
        <v>2211.66</v>
      </c>
      <c r="AJ2" s="3398">
        <v>2211.66</v>
      </c>
      <c r="AK2" s="3398">
        <v>14000.04</v>
      </c>
      <c r="AL2" s="3398">
        <v>14000.04</v>
      </c>
      <c r="AM2" s="3398" t="s">
        <v>1298</v>
      </c>
      <c r="AN2" s="3398" t="s">
        <v>1298</v>
      </c>
      <c r="AO2" s="3398">
        <v>0</v>
      </c>
      <c r="AP2" s="3398" t="s">
        <v>3240</v>
      </c>
      <c r="AQ2" s="3398" t="s">
        <v>1298</v>
      </c>
      <c r="AR2" s="3398" t="s">
        <v>1298</v>
      </c>
      <c r="AS2" s="3398" t="s">
        <v>1298</v>
      </c>
      <c r="AT2" s="3398" t="s">
        <v>3241</v>
      </c>
    </row>
    <row r="3" spans="1:46" s="3398" customFormat="1">
      <c r="A3" s="3398" t="s">
        <v>3242</v>
      </c>
      <c r="B3" s="3398" t="s">
        <v>3222</v>
      </c>
      <c r="C3" s="3398" t="s">
        <v>3223</v>
      </c>
      <c r="D3" s="3398" t="s">
        <v>3224</v>
      </c>
      <c r="E3" s="3398" t="s">
        <v>3243</v>
      </c>
      <c r="F3" s="3398" t="s">
        <v>3244</v>
      </c>
      <c r="G3" s="3398" t="s">
        <v>3227</v>
      </c>
      <c r="H3" s="3398" t="s">
        <v>3245</v>
      </c>
      <c r="I3" s="3398" t="s">
        <v>3246</v>
      </c>
      <c r="J3" s="3398">
        <v>43870.1</v>
      </c>
      <c r="K3" s="3398">
        <v>109675.25</v>
      </c>
      <c r="L3" s="3398" t="s">
        <v>3247</v>
      </c>
      <c r="M3" s="3398" t="s">
        <v>1298</v>
      </c>
      <c r="N3" s="3398" t="s">
        <v>1298</v>
      </c>
      <c r="O3" s="3398" t="s">
        <v>3248</v>
      </c>
      <c r="P3" s="3398" t="s">
        <v>1298</v>
      </c>
      <c r="Q3" s="3398" t="s">
        <v>1298</v>
      </c>
      <c r="R3" s="3398" t="s">
        <v>1298</v>
      </c>
      <c r="S3" s="3398" t="s">
        <v>1298</v>
      </c>
      <c r="T3" s="3398" t="s">
        <v>3249</v>
      </c>
      <c r="U3" s="3398" t="s">
        <v>3249</v>
      </c>
      <c r="V3" s="3398" t="s">
        <v>1298</v>
      </c>
      <c r="W3" s="3398" t="s">
        <v>3233</v>
      </c>
      <c r="X3" s="3398" t="s">
        <v>3250</v>
      </c>
      <c r="Y3" s="3398" t="s">
        <v>3251</v>
      </c>
      <c r="Z3" s="3398" t="s">
        <v>3252</v>
      </c>
      <c r="AA3" s="3398" t="s">
        <v>3252</v>
      </c>
      <c r="AB3" s="3398" t="s">
        <v>3245</v>
      </c>
      <c r="AC3" s="3398" t="s">
        <v>3237</v>
      </c>
      <c r="AD3" s="3398" t="s">
        <v>3253</v>
      </c>
      <c r="AE3" s="3398" t="s">
        <v>3254</v>
      </c>
      <c r="AF3" s="3398">
        <v>45000</v>
      </c>
      <c r="AG3" s="3398">
        <v>148061.57</v>
      </c>
      <c r="AH3" s="3398">
        <v>148061.57</v>
      </c>
      <c r="AI3" s="3398">
        <v>2250</v>
      </c>
      <c r="AJ3" s="3398">
        <v>2250</v>
      </c>
      <c r="AK3" s="3398">
        <v>13499.99</v>
      </c>
      <c r="AL3" s="3398">
        <v>13500</v>
      </c>
      <c r="AM3" s="3398" t="s">
        <v>1298</v>
      </c>
      <c r="AN3" s="3398" t="s">
        <v>1298</v>
      </c>
      <c r="AO3" s="3398">
        <v>0</v>
      </c>
      <c r="AP3" s="3398" t="s">
        <v>3255</v>
      </c>
      <c r="AQ3" s="3398" t="s">
        <v>1298</v>
      </c>
      <c r="AR3" s="3398" t="s">
        <v>1298</v>
      </c>
      <c r="AS3" s="3398" t="s">
        <v>1298</v>
      </c>
      <c r="AT3" s="3398" t="s">
        <v>3256</v>
      </c>
    </row>
    <row r="4" spans="1:46" s="3400" customFormat="1">
      <c r="A4" s="3400" t="s">
        <v>3257</v>
      </c>
      <c r="B4" s="3400" t="s">
        <v>3222</v>
      </c>
      <c r="C4" s="3400" t="s">
        <v>3223</v>
      </c>
      <c r="D4" s="3400" t="s">
        <v>3224</v>
      </c>
      <c r="E4" s="3400" t="s">
        <v>3225</v>
      </c>
      <c r="F4" s="3400" t="s">
        <v>3258</v>
      </c>
      <c r="G4" s="3400" t="s">
        <v>3227</v>
      </c>
      <c r="H4" s="3400" t="s">
        <v>3259</v>
      </c>
      <c r="I4" s="3400" t="s">
        <v>3260</v>
      </c>
      <c r="J4" s="3400">
        <v>85128.1</v>
      </c>
      <c r="K4" s="3400">
        <v>201473.8</v>
      </c>
      <c r="L4" s="3400" t="s">
        <v>3261</v>
      </c>
      <c r="M4" s="3400" t="s">
        <v>1298</v>
      </c>
      <c r="N4" s="3400" t="s">
        <v>3262</v>
      </c>
      <c r="O4" s="3400" t="s">
        <v>3263</v>
      </c>
      <c r="P4" s="3400" t="s">
        <v>1298</v>
      </c>
      <c r="Q4" s="3400" t="s">
        <v>1298</v>
      </c>
      <c r="R4" s="3400" t="s">
        <v>1298</v>
      </c>
      <c r="S4" s="3400" t="s">
        <v>1298</v>
      </c>
      <c r="T4" s="3400" t="s">
        <v>3264</v>
      </c>
      <c r="U4" s="3400" t="s">
        <v>3265</v>
      </c>
      <c r="V4" s="3400" t="s">
        <v>1298</v>
      </c>
      <c r="W4" s="3400" t="s">
        <v>3233</v>
      </c>
      <c r="X4" s="3400" t="s">
        <v>3266</v>
      </c>
      <c r="Y4" s="3400" t="s">
        <v>3267</v>
      </c>
      <c r="Z4" s="3400" t="s">
        <v>3268</v>
      </c>
      <c r="AA4" s="3400" t="s">
        <v>3268</v>
      </c>
      <c r="AB4" s="3400" t="s">
        <v>3259</v>
      </c>
      <c r="AC4" s="3400" t="s">
        <v>3237</v>
      </c>
      <c r="AD4" s="3400" t="s">
        <v>3269</v>
      </c>
      <c r="AE4" s="3400" t="s">
        <v>3270</v>
      </c>
      <c r="AF4" s="3400">
        <v>128000</v>
      </c>
      <c r="AG4" s="3400">
        <v>640000</v>
      </c>
      <c r="AH4" s="3400">
        <v>790000</v>
      </c>
      <c r="AI4" s="3400">
        <v>5012.05</v>
      </c>
      <c r="AJ4" s="3400">
        <v>6186.75</v>
      </c>
      <c r="AK4" s="3400">
        <v>31765.91</v>
      </c>
      <c r="AL4" s="3400">
        <v>39211.050000000003</v>
      </c>
      <c r="AM4" s="3400" t="s">
        <v>1298</v>
      </c>
      <c r="AN4" s="3400" t="s">
        <v>1298</v>
      </c>
      <c r="AO4" s="3400">
        <v>23.44</v>
      </c>
      <c r="AP4" s="3400" t="s">
        <v>3240</v>
      </c>
      <c r="AQ4" s="3400" t="s">
        <v>1298</v>
      </c>
      <c r="AR4" s="3400" t="s">
        <v>1298</v>
      </c>
      <c r="AS4" s="3400" t="s">
        <v>1298</v>
      </c>
      <c r="AT4" s="3400" t="s">
        <v>3241</v>
      </c>
    </row>
    <row r="5" spans="1:46" s="3398" customFormat="1">
      <c r="A5" s="3398" t="s">
        <v>3271</v>
      </c>
      <c r="B5" s="3398" t="s">
        <v>3222</v>
      </c>
      <c r="C5" s="3398" t="s">
        <v>3223</v>
      </c>
      <c r="D5" s="3398" t="s">
        <v>3224</v>
      </c>
      <c r="E5" s="3398" t="s">
        <v>3272</v>
      </c>
      <c r="F5" s="3398" t="s">
        <v>3273</v>
      </c>
      <c r="G5" s="3398" t="s">
        <v>3227</v>
      </c>
      <c r="H5" s="3398" t="s">
        <v>3274</v>
      </c>
      <c r="I5" s="3398" t="s">
        <v>3275</v>
      </c>
      <c r="J5" s="3398">
        <v>76997.05</v>
      </c>
      <c r="K5" s="3398">
        <v>79371.899999999994</v>
      </c>
      <c r="L5" s="3398" t="s">
        <v>3276</v>
      </c>
      <c r="M5" s="3398" t="s">
        <v>1298</v>
      </c>
      <c r="N5" s="3398" t="s">
        <v>3262</v>
      </c>
      <c r="O5" s="3398" t="s">
        <v>3277</v>
      </c>
      <c r="P5" s="3398" t="s">
        <v>1298</v>
      </c>
      <c r="Q5" s="3398" t="s">
        <v>1298</v>
      </c>
      <c r="R5" s="3398" t="s">
        <v>1298</v>
      </c>
      <c r="S5" s="3398" t="s">
        <v>1298</v>
      </c>
      <c r="T5" s="3398" t="s">
        <v>3264</v>
      </c>
      <c r="U5" s="3398" t="s">
        <v>3265</v>
      </c>
      <c r="V5" s="3398" t="s">
        <v>1298</v>
      </c>
      <c r="W5" s="3398" t="s">
        <v>3278</v>
      </c>
      <c r="X5" s="3398" t="s">
        <v>3279</v>
      </c>
      <c r="Y5" s="3398" t="s">
        <v>3280</v>
      </c>
      <c r="Z5" s="3398" t="s">
        <v>3281</v>
      </c>
      <c r="AA5" s="3398" t="s">
        <v>3281</v>
      </c>
      <c r="AB5" s="3398" t="s">
        <v>3274</v>
      </c>
      <c r="AC5" s="3398" t="s">
        <v>3237</v>
      </c>
      <c r="AD5" s="3398" t="s">
        <v>3282</v>
      </c>
      <c r="AE5" s="3398" t="s">
        <v>3283</v>
      </c>
      <c r="AF5" s="3398">
        <v>19800</v>
      </c>
      <c r="AG5" s="3398">
        <v>98500</v>
      </c>
      <c r="AH5" s="3398">
        <v>130000</v>
      </c>
      <c r="AI5" s="3398">
        <v>852.85</v>
      </c>
      <c r="AJ5" s="3398">
        <v>1125.58</v>
      </c>
      <c r="AK5" s="3398">
        <v>12409.93</v>
      </c>
      <c r="AL5" s="3398">
        <v>16378.59</v>
      </c>
      <c r="AM5" s="3398" t="s">
        <v>1298</v>
      </c>
      <c r="AN5" s="3398" t="s">
        <v>1298</v>
      </c>
      <c r="AO5" s="3398">
        <v>31.98</v>
      </c>
      <c r="AP5" s="3398" t="s">
        <v>3240</v>
      </c>
      <c r="AQ5" s="3398" t="s">
        <v>1298</v>
      </c>
      <c r="AR5" s="3398" t="s">
        <v>1298</v>
      </c>
      <c r="AS5" s="3398" t="s">
        <v>1298</v>
      </c>
      <c r="AT5" s="3398" t="s">
        <v>3284</v>
      </c>
    </row>
    <row r="6" spans="1:46" s="3400" customFormat="1">
      <c r="A6" s="3400" t="s">
        <v>3285</v>
      </c>
      <c r="B6" s="3400" t="s">
        <v>3222</v>
      </c>
      <c r="C6" s="3400" t="s">
        <v>3286</v>
      </c>
      <c r="D6" s="3400" t="s">
        <v>3224</v>
      </c>
      <c r="E6" s="3400" t="s">
        <v>3287</v>
      </c>
      <c r="F6" s="3400" t="s">
        <v>3288</v>
      </c>
      <c r="G6" s="3400" t="s">
        <v>3227</v>
      </c>
      <c r="H6" s="3400" t="s">
        <v>3289</v>
      </c>
      <c r="I6" s="3400" t="s">
        <v>3290</v>
      </c>
      <c r="J6" s="3400">
        <v>45081.99</v>
      </c>
      <c r="K6" s="3400">
        <v>94672</v>
      </c>
      <c r="L6" s="3400" t="s">
        <v>3291</v>
      </c>
      <c r="M6" s="3400" t="s">
        <v>1298</v>
      </c>
      <c r="N6" s="3400" t="s">
        <v>3262</v>
      </c>
      <c r="O6" s="3400" t="s">
        <v>3292</v>
      </c>
      <c r="P6" s="3400" t="s">
        <v>1298</v>
      </c>
      <c r="Q6" s="3400" t="s">
        <v>1298</v>
      </c>
      <c r="R6" s="3400" t="s">
        <v>1298</v>
      </c>
      <c r="S6" s="3400" t="s">
        <v>1298</v>
      </c>
      <c r="T6" s="3400" t="s">
        <v>3293</v>
      </c>
      <c r="U6" s="3400" t="s">
        <v>3294</v>
      </c>
      <c r="V6" s="3400" t="s">
        <v>1298</v>
      </c>
      <c r="W6" s="3400" t="s">
        <v>3278</v>
      </c>
      <c r="X6" s="3400" t="s">
        <v>3295</v>
      </c>
      <c r="Y6" s="3400" t="s">
        <v>3296</v>
      </c>
      <c r="Z6" s="3400" t="s">
        <v>3280</v>
      </c>
      <c r="AA6" s="3400" t="s">
        <v>3280</v>
      </c>
      <c r="AB6" s="3400" t="s">
        <v>3289</v>
      </c>
      <c r="AC6" s="3400" t="s">
        <v>3237</v>
      </c>
      <c r="AD6" s="3400" t="s">
        <v>3297</v>
      </c>
      <c r="AE6" s="3400" t="s">
        <v>3298</v>
      </c>
      <c r="AF6" s="3400">
        <v>72600</v>
      </c>
      <c r="AG6" s="3400">
        <v>363000</v>
      </c>
      <c r="AH6" s="3400">
        <v>374000</v>
      </c>
      <c r="AI6" s="3400">
        <v>5368</v>
      </c>
      <c r="AJ6" s="3400">
        <v>5530.66</v>
      </c>
      <c r="AK6" s="3400">
        <v>38342.910000000003</v>
      </c>
      <c r="AL6" s="3400">
        <v>39504.81</v>
      </c>
      <c r="AM6" s="3400" t="s">
        <v>1298</v>
      </c>
      <c r="AN6" s="3400" t="s">
        <v>1298</v>
      </c>
      <c r="AO6" s="3400">
        <v>3.03</v>
      </c>
      <c r="AP6" s="3400" t="s">
        <v>3240</v>
      </c>
      <c r="AQ6" s="3400" t="s">
        <v>1298</v>
      </c>
      <c r="AR6" s="3400" t="s">
        <v>1298</v>
      </c>
      <c r="AS6" s="3400" t="s">
        <v>1298</v>
      </c>
      <c r="AT6" s="3400" t="s">
        <v>3256</v>
      </c>
    </row>
    <row r="7" spans="1:46" s="3398" customFormat="1">
      <c r="A7" s="3398" t="s">
        <v>3299</v>
      </c>
      <c r="B7" s="3398" t="s">
        <v>3222</v>
      </c>
      <c r="C7" s="3398" t="s">
        <v>3223</v>
      </c>
      <c r="D7" s="3398" t="s">
        <v>3224</v>
      </c>
      <c r="E7" s="3398" t="s">
        <v>3287</v>
      </c>
      <c r="F7" s="3398" t="s">
        <v>3288</v>
      </c>
      <c r="G7" s="3398" t="s">
        <v>3227</v>
      </c>
      <c r="H7" s="3398" t="s">
        <v>3300</v>
      </c>
      <c r="I7" s="3398" t="s">
        <v>3301</v>
      </c>
      <c r="J7" s="3398">
        <v>39577.68</v>
      </c>
      <c r="K7" s="3398">
        <v>75553</v>
      </c>
      <c r="L7" s="3398" t="s">
        <v>3302</v>
      </c>
      <c r="M7" s="3398" t="s">
        <v>1298</v>
      </c>
      <c r="N7" s="3398" t="s">
        <v>3262</v>
      </c>
      <c r="O7" s="3398" t="s">
        <v>3292</v>
      </c>
      <c r="P7" s="3398" t="s">
        <v>1298</v>
      </c>
      <c r="Q7" s="3398" t="s">
        <v>1298</v>
      </c>
      <c r="R7" s="3398" t="s">
        <v>1298</v>
      </c>
      <c r="S7" s="3398" t="s">
        <v>1298</v>
      </c>
      <c r="T7" s="3398" t="s">
        <v>3293</v>
      </c>
      <c r="U7" s="3398" t="s">
        <v>3294</v>
      </c>
      <c r="V7" s="3398" t="s">
        <v>1298</v>
      </c>
      <c r="W7" s="3398" t="s">
        <v>3278</v>
      </c>
      <c r="X7" s="3398" t="s">
        <v>3295</v>
      </c>
      <c r="Y7" s="3398" t="s">
        <v>3296</v>
      </c>
      <c r="Z7" s="3398" t="s">
        <v>3280</v>
      </c>
      <c r="AA7" s="3398" t="s">
        <v>3280</v>
      </c>
      <c r="AB7" s="3398" t="s">
        <v>3300</v>
      </c>
      <c r="AC7" s="3398" t="s">
        <v>3237</v>
      </c>
      <c r="AD7" s="3398" t="s">
        <v>3303</v>
      </c>
      <c r="AE7" s="3398" t="s">
        <v>3304</v>
      </c>
      <c r="AF7" s="3398">
        <v>55000</v>
      </c>
      <c r="AG7" s="3398">
        <v>273800</v>
      </c>
      <c r="AH7" s="3398">
        <v>294000</v>
      </c>
      <c r="AI7" s="3398">
        <v>4612.03</v>
      </c>
      <c r="AJ7" s="3398">
        <v>4952.29</v>
      </c>
      <c r="AK7" s="3398">
        <v>36239.449999999997</v>
      </c>
      <c r="AL7" s="3398">
        <v>38913.08</v>
      </c>
      <c r="AM7" s="3398" t="s">
        <v>1298</v>
      </c>
      <c r="AN7" s="3398" t="s">
        <v>1298</v>
      </c>
      <c r="AO7" s="3398">
        <v>7.38</v>
      </c>
      <c r="AP7" s="3398" t="s">
        <v>3240</v>
      </c>
      <c r="AQ7" s="3398" t="s">
        <v>1298</v>
      </c>
      <c r="AR7" s="3398" t="s">
        <v>1298</v>
      </c>
      <c r="AS7" s="3398" t="s">
        <v>1298</v>
      </c>
      <c r="AT7" s="3398" t="s">
        <v>3256</v>
      </c>
    </row>
    <row r="8" spans="1:46" s="3398" customFormat="1">
      <c r="A8" s="3398" t="s">
        <v>3305</v>
      </c>
      <c r="B8" s="3398" t="s">
        <v>3222</v>
      </c>
      <c r="C8" s="3398" t="s">
        <v>3286</v>
      </c>
      <c r="D8" s="3398" t="s">
        <v>3224</v>
      </c>
      <c r="E8" s="3398" t="s">
        <v>3272</v>
      </c>
      <c r="F8" s="3398" t="s">
        <v>3273</v>
      </c>
      <c r="G8" s="3398" t="s">
        <v>3227</v>
      </c>
      <c r="H8" s="3398" t="s">
        <v>3306</v>
      </c>
      <c r="I8" s="3398" t="s">
        <v>3290</v>
      </c>
      <c r="J8" s="3398">
        <v>20403.86</v>
      </c>
      <c r="K8" s="3398">
        <v>51009</v>
      </c>
      <c r="L8" s="3398" t="s">
        <v>3247</v>
      </c>
      <c r="M8" s="3398" t="s">
        <v>1298</v>
      </c>
      <c r="N8" s="3398" t="s">
        <v>3262</v>
      </c>
      <c r="O8" s="3398" t="s">
        <v>3307</v>
      </c>
      <c r="P8" s="3398" t="s">
        <v>1298</v>
      </c>
      <c r="Q8" s="3398" t="s">
        <v>1298</v>
      </c>
      <c r="R8" s="3398" t="s">
        <v>1298</v>
      </c>
      <c r="S8" s="3398" t="s">
        <v>1298</v>
      </c>
      <c r="T8" s="3398" t="s">
        <v>3264</v>
      </c>
      <c r="U8" s="3398" t="s">
        <v>3265</v>
      </c>
      <c r="V8" s="3398" t="s">
        <v>1298</v>
      </c>
      <c r="W8" s="3398" t="s">
        <v>3233</v>
      </c>
      <c r="X8" s="3398" t="s">
        <v>3308</v>
      </c>
      <c r="Y8" s="3398" t="s">
        <v>3309</v>
      </c>
      <c r="Z8" s="3398" t="s">
        <v>3310</v>
      </c>
      <c r="AA8" s="3398" t="s">
        <v>3310</v>
      </c>
      <c r="AB8" s="3398" t="s">
        <v>3306</v>
      </c>
      <c r="AC8" s="3398" t="s">
        <v>3237</v>
      </c>
      <c r="AD8" s="3398" t="s">
        <v>3311</v>
      </c>
      <c r="AE8" s="3398" t="s">
        <v>3312</v>
      </c>
      <c r="AF8" s="3398">
        <v>13200</v>
      </c>
      <c r="AG8" s="3398">
        <v>65600</v>
      </c>
      <c r="AH8" s="3398">
        <v>65600</v>
      </c>
      <c r="AI8" s="3398">
        <v>2143.39</v>
      </c>
      <c r="AJ8" s="3398">
        <v>2143.39</v>
      </c>
      <c r="AK8" s="3398">
        <v>12860.47</v>
      </c>
      <c r="AL8" s="3398">
        <v>12860.47</v>
      </c>
      <c r="AM8" s="3398" t="s">
        <v>1298</v>
      </c>
      <c r="AN8" s="3398" t="s">
        <v>1298</v>
      </c>
      <c r="AO8" s="3398">
        <v>0</v>
      </c>
      <c r="AP8" s="3398" t="s">
        <v>3240</v>
      </c>
      <c r="AQ8" s="3398" t="s">
        <v>1298</v>
      </c>
      <c r="AR8" s="3398" t="s">
        <v>1298</v>
      </c>
      <c r="AS8" s="3398" t="s">
        <v>1298</v>
      </c>
      <c r="AT8" s="3398" t="s">
        <v>3284</v>
      </c>
    </row>
    <row r="9" spans="1:46" s="3400" customFormat="1">
      <c r="A9" s="3400" t="s">
        <v>3313</v>
      </c>
      <c r="B9" s="3400" t="s">
        <v>3222</v>
      </c>
      <c r="C9" s="3400" t="s">
        <v>3223</v>
      </c>
      <c r="D9" s="3400" t="s">
        <v>3224</v>
      </c>
      <c r="E9" s="3400" t="s">
        <v>3314</v>
      </c>
      <c r="F9" s="3400" t="s">
        <v>3315</v>
      </c>
      <c r="G9" s="3400" t="s">
        <v>3227</v>
      </c>
      <c r="H9" s="3400" t="s">
        <v>3316</v>
      </c>
      <c r="I9" s="3400" t="s">
        <v>3317</v>
      </c>
      <c r="J9" s="3400">
        <v>78681.47</v>
      </c>
      <c r="K9" s="3400">
        <v>188033.66</v>
      </c>
      <c r="L9" s="3400" t="s">
        <v>3318</v>
      </c>
      <c r="M9" s="3400" t="s">
        <v>1298</v>
      </c>
      <c r="N9" s="3400" t="s">
        <v>3262</v>
      </c>
      <c r="O9" s="3400" t="s">
        <v>3319</v>
      </c>
      <c r="P9" s="3400" t="s">
        <v>1298</v>
      </c>
      <c r="Q9" s="3400" t="s">
        <v>1298</v>
      </c>
      <c r="R9" s="3400" t="s">
        <v>1298</v>
      </c>
      <c r="S9" s="3400" t="s">
        <v>1298</v>
      </c>
      <c r="T9" s="3400" t="s">
        <v>3264</v>
      </c>
      <c r="U9" s="3400" t="s">
        <v>3265</v>
      </c>
      <c r="V9" s="3400" t="s">
        <v>1298</v>
      </c>
      <c r="W9" s="3400" t="s">
        <v>3233</v>
      </c>
      <c r="X9" s="3400" t="s">
        <v>3308</v>
      </c>
      <c r="Y9" s="3400" t="s">
        <v>3309</v>
      </c>
      <c r="Z9" s="3400" t="s">
        <v>3310</v>
      </c>
      <c r="AA9" s="3400" t="s">
        <v>3310</v>
      </c>
      <c r="AB9" s="3400" t="s">
        <v>3316</v>
      </c>
      <c r="AC9" s="3400" t="s">
        <v>3237</v>
      </c>
      <c r="AD9" s="3400" t="s">
        <v>3320</v>
      </c>
      <c r="AE9" s="3400" t="s">
        <v>3321</v>
      </c>
      <c r="AF9" s="3400">
        <v>100000</v>
      </c>
      <c r="AG9" s="3400">
        <v>500000</v>
      </c>
      <c r="AH9" s="3400">
        <v>670000</v>
      </c>
      <c r="AI9" s="3400">
        <v>4236.49</v>
      </c>
      <c r="AJ9" s="3400">
        <v>5676.9</v>
      </c>
      <c r="AK9" s="3400">
        <v>26590.98</v>
      </c>
      <c r="AL9" s="3400">
        <v>35631.910000000003</v>
      </c>
      <c r="AM9" s="3400" t="s">
        <v>1298</v>
      </c>
      <c r="AN9" s="3400" t="s">
        <v>1298</v>
      </c>
      <c r="AO9" s="3400">
        <v>34</v>
      </c>
      <c r="AP9" s="3400" t="s">
        <v>3240</v>
      </c>
      <c r="AQ9" s="3400" t="s">
        <v>1298</v>
      </c>
      <c r="AR9" s="3400" t="s">
        <v>1298</v>
      </c>
      <c r="AS9" s="3400" t="s">
        <v>1298</v>
      </c>
      <c r="AT9" s="3400" t="s">
        <v>3322</v>
      </c>
    </row>
    <row r="10" spans="1:46" s="3398" customFormat="1">
      <c r="A10" s="3398" t="s">
        <v>3323</v>
      </c>
      <c r="B10" s="3398" t="s">
        <v>3222</v>
      </c>
      <c r="C10" s="3398" t="s">
        <v>3286</v>
      </c>
      <c r="D10" s="3398" t="s">
        <v>3224</v>
      </c>
      <c r="E10" s="3398" t="s">
        <v>3272</v>
      </c>
      <c r="F10" s="3398" t="s">
        <v>3273</v>
      </c>
      <c r="G10" s="3398" t="s">
        <v>3227</v>
      </c>
      <c r="H10" s="3398" t="s">
        <v>3324</v>
      </c>
      <c r="I10" s="3398" t="s">
        <v>3290</v>
      </c>
      <c r="J10" s="3398">
        <v>20796</v>
      </c>
      <c r="K10" s="3398">
        <v>21836</v>
      </c>
      <c r="L10" s="3398" t="s">
        <v>3325</v>
      </c>
      <c r="M10" s="3398" t="s">
        <v>1298</v>
      </c>
      <c r="N10" s="3398" t="s">
        <v>3262</v>
      </c>
      <c r="O10" s="3398" t="s">
        <v>3292</v>
      </c>
      <c r="P10" s="3398" t="s">
        <v>1298</v>
      </c>
      <c r="Q10" s="3398" t="s">
        <v>1298</v>
      </c>
      <c r="R10" s="3398" t="s">
        <v>1298</v>
      </c>
      <c r="S10" s="3398" t="s">
        <v>1298</v>
      </c>
      <c r="T10" s="3398" t="s">
        <v>3264</v>
      </c>
      <c r="U10" s="3398" t="s">
        <v>3265</v>
      </c>
      <c r="V10" s="3398" t="s">
        <v>1298</v>
      </c>
      <c r="W10" s="3398" t="s">
        <v>3233</v>
      </c>
      <c r="X10" s="3398" t="s">
        <v>3308</v>
      </c>
      <c r="Y10" s="3398" t="s">
        <v>3326</v>
      </c>
      <c r="Z10" s="3398" t="s">
        <v>3327</v>
      </c>
      <c r="AA10" s="3398" t="s">
        <v>3327</v>
      </c>
      <c r="AB10" s="3398" t="s">
        <v>3324</v>
      </c>
      <c r="AC10" s="3398" t="s">
        <v>3237</v>
      </c>
      <c r="AD10" s="3398" t="s">
        <v>3328</v>
      </c>
      <c r="AE10" s="3398" t="s">
        <v>3328</v>
      </c>
      <c r="AF10" s="3398">
        <v>5800</v>
      </c>
      <c r="AG10" s="3398">
        <v>28800</v>
      </c>
      <c r="AH10" s="3398">
        <v>36000</v>
      </c>
      <c r="AI10" s="3398">
        <v>923.25</v>
      </c>
      <c r="AJ10" s="3398">
        <v>1154.07</v>
      </c>
      <c r="AK10" s="3398">
        <v>13189.22</v>
      </c>
      <c r="AL10" s="3398">
        <v>16486.54</v>
      </c>
      <c r="AM10" s="3398" t="s">
        <v>1298</v>
      </c>
      <c r="AN10" s="3398" t="s">
        <v>1298</v>
      </c>
      <c r="AO10" s="3398">
        <v>25</v>
      </c>
      <c r="AP10" s="3398" t="s">
        <v>3240</v>
      </c>
      <c r="AQ10" s="3398" t="s">
        <v>1298</v>
      </c>
      <c r="AR10" s="3398" t="s">
        <v>1298</v>
      </c>
      <c r="AS10" s="3398" t="s">
        <v>1298</v>
      </c>
      <c r="AT10" s="3398" t="s">
        <v>3284</v>
      </c>
    </row>
    <row r="11" spans="1:46" s="3398" customFormat="1">
      <c r="A11" s="3398" t="s">
        <v>3329</v>
      </c>
      <c r="B11" s="3398" t="s">
        <v>3222</v>
      </c>
      <c r="C11" s="3398" t="s">
        <v>3223</v>
      </c>
      <c r="D11" s="3398" t="s">
        <v>3224</v>
      </c>
      <c r="E11" s="3398" t="s">
        <v>1298</v>
      </c>
      <c r="F11" s="3398" t="s">
        <v>3330</v>
      </c>
      <c r="G11" s="3398" t="s">
        <v>3227</v>
      </c>
      <c r="H11" s="3398" t="s">
        <v>3331</v>
      </c>
      <c r="I11" s="3398" t="s">
        <v>3332</v>
      </c>
      <c r="J11" s="3398">
        <v>42541.4</v>
      </c>
      <c r="K11" s="3398">
        <v>108921.52</v>
      </c>
      <c r="L11" s="3398" t="s">
        <v>3333</v>
      </c>
      <c r="M11" s="3398" t="s">
        <v>1298</v>
      </c>
      <c r="N11" s="3398" t="s">
        <v>3262</v>
      </c>
      <c r="O11" s="3398" t="s">
        <v>3263</v>
      </c>
      <c r="P11" s="3398" t="s">
        <v>1298</v>
      </c>
      <c r="Q11" s="3398" t="s">
        <v>1298</v>
      </c>
      <c r="R11" s="3398" t="s">
        <v>1298</v>
      </c>
      <c r="S11" s="3398" t="s">
        <v>1298</v>
      </c>
      <c r="T11" s="3398" t="s">
        <v>3293</v>
      </c>
      <c r="U11" s="3398" t="s">
        <v>3294</v>
      </c>
      <c r="V11" s="3398" t="s">
        <v>1298</v>
      </c>
      <c r="W11" s="3398" t="s">
        <v>3278</v>
      </c>
      <c r="X11" s="3398" t="s">
        <v>3334</v>
      </c>
      <c r="Y11" s="3398" t="s">
        <v>3335</v>
      </c>
      <c r="Z11" s="3398" t="s">
        <v>3336</v>
      </c>
      <c r="AA11" s="3398" t="s">
        <v>3336</v>
      </c>
      <c r="AB11" s="3398" t="s">
        <v>3331</v>
      </c>
      <c r="AC11" s="3398" t="s">
        <v>3237</v>
      </c>
      <c r="AD11" s="3398" t="s">
        <v>3337</v>
      </c>
      <c r="AE11" s="3398" t="s">
        <v>3338</v>
      </c>
      <c r="AF11" s="3398">
        <v>58400</v>
      </c>
      <c r="AG11" s="3398">
        <v>292000</v>
      </c>
      <c r="AH11" s="3398">
        <v>307000</v>
      </c>
      <c r="AI11" s="3398">
        <v>4575.93</v>
      </c>
      <c r="AJ11" s="3398">
        <v>4811</v>
      </c>
      <c r="AK11" s="3398">
        <v>26808.29</v>
      </c>
      <c r="AL11" s="3398">
        <v>28185.43</v>
      </c>
      <c r="AM11" s="3398" t="s">
        <v>1298</v>
      </c>
      <c r="AN11" s="3398" t="s">
        <v>1298</v>
      </c>
      <c r="AO11" s="3398">
        <v>5.14</v>
      </c>
      <c r="AP11" s="3398" t="s">
        <v>3240</v>
      </c>
      <c r="AQ11" s="3398" t="s">
        <v>1298</v>
      </c>
      <c r="AR11" s="3398" t="s">
        <v>1298</v>
      </c>
      <c r="AS11" s="3398" t="s">
        <v>1298</v>
      </c>
      <c r="AT11" s="3398" t="s">
        <v>3256</v>
      </c>
    </row>
    <row r="12" spans="1:46" s="3398" customFormat="1">
      <c r="A12" s="3398" t="s">
        <v>3339</v>
      </c>
      <c r="B12" s="3398" t="s">
        <v>3222</v>
      </c>
      <c r="C12" s="3398" t="s">
        <v>3286</v>
      </c>
      <c r="D12" s="3398" t="s">
        <v>3224</v>
      </c>
      <c r="E12" s="3398" t="s">
        <v>1298</v>
      </c>
      <c r="F12" s="3398" t="s">
        <v>3340</v>
      </c>
      <c r="G12" s="3398" t="s">
        <v>3227</v>
      </c>
      <c r="H12" s="3398" t="s">
        <v>3341</v>
      </c>
      <c r="I12" s="3398" t="s">
        <v>3290</v>
      </c>
      <c r="J12" s="3398">
        <v>54735.8</v>
      </c>
      <c r="K12" s="3398">
        <v>153260.24</v>
      </c>
      <c r="L12" s="3398" t="s">
        <v>3342</v>
      </c>
      <c r="M12" s="3398" t="s">
        <v>1298</v>
      </c>
      <c r="N12" s="3398" t="s">
        <v>3262</v>
      </c>
      <c r="O12" s="3398" t="s">
        <v>3343</v>
      </c>
      <c r="P12" s="3398" t="s">
        <v>1298</v>
      </c>
      <c r="Q12" s="3398" t="s">
        <v>1298</v>
      </c>
      <c r="R12" s="3398" t="s">
        <v>1298</v>
      </c>
      <c r="S12" s="3398" t="s">
        <v>1298</v>
      </c>
      <c r="T12" s="3398" t="s">
        <v>3293</v>
      </c>
      <c r="U12" s="3398" t="s">
        <v>3294</v>
      </c>
      <c r="V12" s="3398" t="s">
        <v>1298</v>
      </c>
      <c r="W12" s="3398" t="s">
        <v>3278</v>
      </c>
      <c r="X12" s="3398" t="s">
        <v>3334</v>
      </c>
      <c r="Y12" s="3398" t="s">
        <v>3335</v>
      </c>
      <c r="Z12" s="3398" t="s">
        <v>3336</v>
      </c>
      <c r="AA12" s="3398" t="s">
        <v>3336</v>
      </c>
      <c r="AB12" s="3398" t="s">
        <v>3341</v>
      </c>
      <c r="AC12" s="3398" t="s">
        <v>3237</v>
      </c>
      <c r="AD12" s="3398" t="s">
        <v>3344</v>
      </c>
      <c r="AE12" s="3398" t="s">
        <v>3345</v>
      </c>
      <c r="AF12" s="3398">
        <v>85200</v>
      </c>
      <c r="AG12" s="3398">
        <v>426000</v>
      </c>
      <c r="AH12" s="3398">
        <v>428150</v>
      </c>
      <c r="AI12" s="3398">
        <v>5188.5600000000004</v>
      </c>
      <c r="AJ12" s="3398">
        <v>5214.75</v>
      </c>
      <c r="AK12" s="3398">
        <v>27795.86</v>
      </c>
      <c r="AL12" s="3398">
        <v>27936.13</v>
      </c>
      <c r="AM12" s="3398" t="s">
        <v>1298</v>
      </c>
      <c r="AN12" s="3398" t="s">
        <v>1298</v>
      </c>
      <c r="AO12" s="3398">
        <v>0.5</v>
      </c>
      <c r="AP12" s="3398" t="s">
        <v>3240</v>
      </c>
      <c r="AQ12" s="3398" t="s">
        <v>1298</v>
      </c>
      <c r="AR12" s="3398" t="s">
        <v>1298</v>
      </c>
      <c r="AS12" s="3398" t="s">
        <v>1298</v>
      </c>
      <c r="AT12" s="3398" t="s">
        <v>3256</v>
      </c>
    </row>
    <row r="13" spans="1:46" s="3398" customFormat="1">
      <c r="A13" s="3398" t="s">
        <v>3346</v>
      </c>
      <c r="B13" s="3398" t="s">
        <v>3222</v>
      </c>
      <c r="C13" s="3398" t="s">
        <v>3223</v>
      </c>
      <c r="D13" s="3398" t="s">
        <v>3224</v>
      </c>
      <c r="E13" s="3398" t="s">
        <v>3347</v>
      </c>
      <c r="F13" s="3398" t="s">
        <v>3348</v>
      </c>
      <c r="G13" s="3398" t="s">
        <v>3227</v>
      </c>
      <c r="H13" s="3398" t="s">
        <v>3349</v>
      </c>
      <c r="I13" s="3398" t="s">
        <v>3332</v>
      </c>
      <c r="J13" s="3398">
        <v>58822.99</v>
      </c>
      <c r="K13" s="3398">
        <v>97871</v>
      </c>
      <c r="L13" s="3398" t="s">
        <v>3350</v>
      </c>
      <c r="M13" s="3398" t="s">
        <v>1298</v>
      </c>
      <c r="N13" s="3398" t="s">
        <v>3262</v>
      </c>
      <c r="O13" s="3398" t="s">
        <v>3351</v>
      </c>
      <c r="P13" s="3398" t="s">
        <v>1298</v>
      </c>
      <c r="Q13" s="3398" t="s">
        <v>1298</v>
      </c>
      <c r="R13" s="3398" t="s">
        <v>1298</v>
      </c>
      <c r="S13" s="3398" t="s">
        <v>1298</v>
      </c>
      <c r="T13" s="3398" t="s">
        <v>3293</v>
      </c>
      <c r="U13" s="3398" t="s">
        <v>3294</v>
      </c>
      <c r="V13" s="3398" t="s">
        <v>1298</v>
      </c>
      <c r="W13" s="3398" t="s">
        <v>3278</v>
      </c>
      <c r="X13" s="3398" t="s">
        <v>3352</v>
      </c>
      <c r="Y13" s="3398" t="s">
        <v>3353</v>
      </c>
      <c r="Z13" s="3398" t="s">
        <v>3354</v>
      </c>
      <c r="AA13" s="3398" t="s">
        <v>3354</v>
      </c>
      <c r="AB13" s="3398" t="s">
        <v>3349</v>
      </c>
      <c r="AC13" s="3398" t="s">
        <v>3237</v>
      </c>
      <c r="AD13" s="3398" t="s">
        <v>3355</v>
      </c>
      <c r="AE13" s="3398" t="s">
        <v>3356</v>
      </c>
      <c r="AF13" s="3398">
        <v>36500</v>
      </c>
      <c r="AG13" s="3398">
        <v>181000</v>
      </c>
      <c r="AH13" s="3398">
        <v>203000</v>
      </c>
      <c r="AI13" s="3398">
        <v>2051.35</v>
      </c>
      <c r="AJ13" s="3398">
        <v>2300.69</v>
      </c>
      <c r="AK13" s="3398">
        <v>18493.73</v>
      </c>
      <c r="AL13" s="3398">
        <v>20741.59</v>
      </c>
      <c r="AM13" s="3398" t="s">
        <v>1298</v>
      </c>
      <c r="AN13" s="3398" t="s">
        <v>1298</v>
      </c>
      <c r="AO13" s="3398">
        <v>12.15</v>
      </c>
      <c r="AP13" s="3398" t="s">
        <v>3240</v>
      </c>
      <c r="AQ13" s="3398" t="s">
        <v>1298</v>
      </c>
      <c r="AR13" s="3398" t="s">
        <v>1298</v>
      </c>
      <c r="AS13" s="3398" t="s">
        <v>1298</v>
      </c>
      <c r="AT13" s="3398" t="s">
        <v>3284</v>
      </c>
    </row>
    <row r="14" spans="1:46" s="3398" customFormat="1">
      <c r="A14" s="3398" t="s">
        <v>3357</v>
      </c>
      <c r="B14" s="3398" t="s">
        <v>3222</v>
      </c>
      <c r="C14" s="3398" t="s">
        <v>3223</v>
      </c>
      <c r="D14" s="3398" t="s">
        <v>3224</v>
      </c>
      <c r="E14" s="3398" t="s">
        <v>3314</v>
      </c>
      <c r="F14" s="3398" t="s">
        <v>3315</v>
      </c>
      <c r="G14" s="3398" t="s">
        <v>3227</v>
      </c>
      <c r="H14" s="3398" t="s">
        <v>3358</v>
      </c>
      <c r="I14" s="3398" t="s">
        <v>3359</v>
      </c>
      <c r="J14" s="3398">
        <v>56722.42</v>
      </c>
      <c r="K14" s="3398">
        <v>124449</v>
      </c>
      <c r="L14" s="3398" t="s">
        <v>3360</v>
      </c>
      <c r="M14" s="3398" t="s">
        <v>1298</v>
      </c>
      <c r="N14" s="3398" t="s">
        <v>3262</v>
      </c>
      <c r="O14" s="3398" t="s">
        <v>3361</v>
      </c>
      <c r="P14" s="3398" t="s">
        <v>1298</v>
      </c>
      <c r="Q14" s="3398" t="s">
        <v>1298</v>
      </c>
      <c r="R14" s="3398" t="s">
        <v>1298</v>
      </c>
      <c r="S14" s="3398" t="s">
        <v>1298</v>
      </c>
      <c r="T14" s="3398" t="s">
        <v>3293</v>
      </c>
      <c r="U14" s="3398" t="s">
        <v>3294</v>
      </c>
      <c r="V14" s="3398" t="s">
        <v>1298</v>
      </c>
      <c r="W14" s="3398" t="s">
        <v>3278</v>
      </c>
      <c r="X14" s="3398" t="s">
        <v>3352</v>
      </c>
      <c r="Y14" s="3398" t="s">
        <v>3353</v>
      </c>
      <c r="Z14" s="3398" t="s">
        <v>3354</v>
      </c>
      <c r="AA14" s="3398" t="s">
        <v>3354</v>
      </c>
      <c r="AB14" s="3398" t="s">
        <v>3358</v>
      </c>
      <c r="AC14" s="3398" t="s">
        <v>3237</v>
      </c>
      <c r="AD14" s="3398" t="s">
        <v>3362</v>
      </c>
      <c r="AE14" s="3398" t="s">
        <v>3363</v>
      </c>
      <c r="AF14" s="3398">
        <v>66000</v>
      </c>
      <c r="AG14" s="3398">
        <v>330000</v>
      </c>
      <c r="AH14" s="3398">
        <v>443000</v>
      </c>
      <c r="AI14" s="3398">
        <v>3878.54</v>
      </c>
      <c r="AJ14" s="3398">
        <v>5206.6400000000003</v>
      </c>
      <c r="AK14" s="3398">
        <v>26516.880000000001</v>
      </c>
      <c r="AL14" s="3398">
        <v>35596.910000000003</v>
      </c>
      <c r="AM14" s="3398" t="s">
        <v>1298</v>
      </c>
      <c r="AN14" s="3398" t="s">
        <v>1298</v>
      </c>
      <c r="AO14" s="3398">
        <v>34.24</v>
      </c>
      <c r="AP14" s="3398" t="s">
        <v>3240</v>
      </c>
      <c r="AQ14" s="3398" t="s">
        <v>1298</v>
      </c>
      <c r="AR14" s="3398" t="s">
        <v>1298</v>
      </c>
      <c r="AS14" s="3398" t="s">
        <v>1298</v>
      </c>
      <c r="AT14" s="3398" t="s">
        <v>3322</v>
      </c>
    </row>
    <row r="15" spans="1:46" s="3398" customFormat="1">
      <c r="A15" s="3398" t="s">
        <v>3364</v>
      </c>
      <c r="B15" s="3398" t="s">
        <v>3222</v>
      </c>
      <c r="C15" s="3398" t="s">
        <v>3223</v>
      </c>
      <c r="D15" s="3398" t="s">
        <v>3224</v>
      </c>
      <c r="E15" s="3398" t="s">
        <v>3365</v>
      </c>
      <c r="F15" s="3398" t="s">
        <v>3366</v>
      </c>
      <c r="G15" s="3398" t="s">
        <v>3227</v>
      </c>
      <c r="H15" s="3398" t="s">
        <v>3367</v>
      </c>
      <c r="I15" s="3398" t="s">
        <v>3332</v>
      </c>
      <c r="J15" s="3398">
        <v>88404.4</v>
      </c>
      <c r="K15" s="3398">
        <v>173209</v>
      </c>
      <c r="L15" s="3398" t="s">
        <v>3368</v>
      </c>
      <c r="M15" s="3398" t="s">
        <v>1298</v>
      </c>
      <c r="N15" s="3398" t="s">
        <v>3262</v>
      </c>
      <c r="O15" s="3398" t="s">
        <v>3369</v>
      </c>
      <c r="P15" s="3398" t="s">
        <v>1298</v>
      </c>
      <c r="Q15" s="3398" t="s">
        <v>1298</v>
      </c>
      <c r="R15" s="3398" t="s">
        <v>1298</v>
      </c>
      <c r="S15" s="3398" t="s">
        <v>1298</v>
      </c>
      <c r="T15" s="3398" t="s">
        <v>3293</v>
      </c>
      <c r="U15" s="3398" t="s">
        <v>3370</v>
      </c>
      <c r="V15" s="3398" t="s">
        <v>1298</v>
      </c>
      <c r="W15" s="3398" t="s">
        <v>3278</v>
      </c>
      <c r="X15" s="3398" t="s">
        <v>3371</v>
      </c>
      <c r="Y15" s="3398" t="s">
        <v>3372</v>
      </c>
      <c r="Z15" s="3398" t="s">
        <v>3373</v>
      </c>
      <c r="AA15" s="3398" t="s">
        <v>3373</v>
      </c>
      <c r="AB15" s="3398" t="s">
        <v>3367</v>
      </c>
      <c r="AC15" s="3398" t="s">
        <v>3237</v>
      </c>
      <c r="AD15" s="3398" t="s">
        <v>3374</v>
      </c>
      <c r="AE15" s="3398" t="s">
        <v>3375</v>
      </c>
      <c r="AF15" s="3398">
        <v>66000</v>
      </c>
      <c r="AG15" s="3398">
        <v>330000</v>
      </c>
      <c r="AH15" s="3398">
        <v>330000</v>
      </c>
      <c r="AI15" s="3398">
        <v>2488.56</v>
      </c>
      <c r="AJ15" s="3398">
        <v>2488.56</v>
      </c>
      <c r="AK15" s="3398">
        <v>19052.12</v>
      </c>
      <c r="AL15" s="3398">
        <v>19052.13</v>
      </c>
      <c r="AM15" s="3398" t="s">
        <v>1298</v>
      </c>
      <c r="AN15" s="3398" t="s">
        <v>1298</v>
      </c>
      <c r="AO15" s="3398">
        <v>0</v>
      </c>
      <c r="AP15" s="3398" t="s">
        <v>3240</v>
      </c>
      <c r="AQ15" s="3398" t="s">
        <v>1298</v>
      </c>
      <c r="AR15" s="3398" t="s">
        <v>1298</v>
      </c>
      <c r="AS15" s="3398" t="s">
        <v>1298</v>
      </c>
      <c r="AT15" s="3398" t="s">
        <v>3284</v>
      </c>
    </row>
    <row r="16" spans="1:46" s="3398" customFormat="1">
      <c r="A16" s="3398" t="s">
        <v>3376</v>
      </c>
      <c r="B16" s="3398" t="s">
        <v>3222</v>
      </c>
      <c r="C16" s="3398" t="s">
        <v>3286</v>
      </c>
      <c r="D16" s="3398" t="s">
        <v>3224</v>
      </c>
      <c r="E16" s="3398" t="s">
        <v>3225</v>
      </c>
      <c r="F16" s="3398" t="s">
        <v>3226</v>
      </c>
      <c r="G16" s="3398" t="s">
        <v>3227</v>
      </c>
      <c r="H16" s="3398" t="s">
        <v>3377</v>
      </c>
      <c r="I16" s="3398" t="s">
        <v>3290</v>
      </c>
      <c r="J16" s="3398">
        <v>45889.5</v>
      </c>
      <c r="K16" s="3398">
        <v>100957</v>
      </c>
      <c r="L16" s="3398" t="s">
        <v>3378</v>
      </c>
      <c r="M16" s="3398" t="s">
        <v>1298</v>
      </c>
      <c r="N16" s="3398" t="s">
        <v>3262</v>
      </c>
      <c r="O16" s="3398" t="s">
        <v>3379</v>
      </c>
      <c r="P16" s="3398" t="s">
        <v>1298</v>
      </c>
      <c r="Q16" s="3398" t="s">
        <v>1298</v>
      </c>
      <c r="R16" s="3398" t="s">
        <v>1298</v>
      </c>
      <c r="S16" s="3398" t="s">
        <v>1298</v>
      </c>
      <c r="T16" s="3398" t="s">
        <v>3293</v>
      </c>
      <c r="U16" s="3398" t="s">
        <v>3294</v>
      </c>
      <c r="V16" s="3398" t="s">
        <v>1298</v>
      </c>
      <c r="W16" s="3398" t="s">
        <v>3278</v>
      </c>
      <c r="X16" s="3398" t="s">
        <v>3371</v>
      </c>
      <c r="Y16" s="3398" t="s">
        <v>3372</v>
      </c>
      <c r="Z16" s="3398" t="s">
        <v>3373</v>
      </c>
      <c r="AA16" s="3398" t="s">
        <v>3373</v>
      </c>
      <c r="AB16" s="3398" t="s">
        <v>3377</v>
      </c>
      <c r="AC16" s="3398" t="s">
        <v>3237</v>
      </c>
      <c r="AD16" s="3398" t="s">
        <v>3269</v>
      </c>
      <c r="AE16" s="3398" t="s">
        <v>3270</v>
      </c>
      <c r="AF16" s="3398">
        <v>52000</v>
      </c>
      <c r="AG16" s="3398">
        <v>260000</v>
      </c>
      <c r="AH16" s="3398">
        <v>327000</v>
      </c>
      <c r="AI16" s="3398">
        <v>3777.19</v>
      </c>
      <c r="AJ16" s="3398">
        <v>4750.54</v>
      </c>
      <c r="AK16" s="3398">
        <v>25753.54</v>
      </c>
      <c r="AL16" s="3398">
        <v>32390.02</v>
      </c>
      <c r="AM16" s="3398" t="s">
        <v>1298</v>
      </c>
      <c r="AN16" s="3398" t="s">
        <v>1298</v>
      </c>
      <c r="AO16" s="3398">
        <v>25.77</v>
      </c>
      <c r="AP16" s="3398" t="s">
        <v>3240</v>
      </c>
      <c r="AQ16" s="3398" t="s">
        <v>1298</v>
      </c>
      <c r="AR16" s="3398" t="s">
        <v>1298</v>
      </c>
      <c r="AS16" s="3398" t="s">
        <v>1298</v>
      </c>
      <c r="AT16" s="3398" t="s">
        <v>3256</v>
      </c>
    </row>
    <row r="17" spans="1:46" s="3398" customFormat="1">
      <c r="A17" s="3398" t="s">
        <v>3380</v>
      </c>
      <c r="B17" s="3398" t="s">
        <v>3222</v>
      </c>
      <c r="C17" s="3398" t="s">
        <v>3223</v>
      </c>
      <c r="D17" s="3398" t="s">
        <v>3224</v>
      </c>
      <c r="E17" s="3398" t="s">
        <v>3225</v>
      </c>
      <c r="F17" s="3398" t="s">
        <v>3226</v>
      </c>
      <c r="G17" s="3398" t="s">
        <v>3227</v>
      </c>
      <c r="H17" s="3398" t="s">
        <v>3381</v>
      </c>
      <c r="I17" s="3398" t="s">
        <v>3229</v>
      </c>
      <c r="J17" s="3398">
        <v>47891.78</v>
      </c>
      <c r="K17" s="3398">
        <v>108059</v>
      </c>
      <c r="L17" s="3398" t="s">
        <v>3230</v>
      </c>
      <c r="M17" s="3398" t="s">
        <v>1298</v>
      </c>
      <c r="N17" s="3398" t="s">
        <v>1298</v>
      </c>
      <c r="O17" s="3398" t="s">
        <v>1298</v>
      </c>
      <c r="P17" s="3398" t="s">
        <v>1298</v>
      </c>
      <c r="Q17" s="3398" t="s">
        <v>1298</v>
      </c>
      <c r="R17" s="3398" t="s">
        <v>1298</v>
      </c>
      <c r="S17" s="3398" t="s">
        <v>3231</v>
      </c>
      <c r="T17" s="3398" t="s">
        <v>3232</v>
      </c>
      <c r="U17" s="3398" t="s">
        <v>3232</v>
      </c>
      <c r="V17" s="3398" t="s">
        <v>1298</v>
      </c>
      <c r="W17" s="3398" t="s">
        <v>3278</v>
      </c>
      <c r="X17" s="3398" t="s">
        <v>3234</v>
      </c>
      <c r="Y17" s="3398" t="s">
        <v>3382</v>
      </c>
      <c r="Z17" s="3398" t="s">
        <v>3383</v>
      </c>
      <c r="AA17" s="3398" t="s">
        <v>3383</v>
      </c>
      <c r="AB17" s="3398" t="s">
        <v>3381</v>
      </c>
      <c r="AC17" s="3398" t="s">
        <v>3237</v>
      </c>
      <c r="AD17" s="3398" t="s">
        <v>3384</v>
      </c>
      <c r="AE17" s="3398" t="s">
        <v>3385</v>
      </c>
      <c r="AF17" s="3398">
        <v>50000</v>
      </c>
      <c r="AG17" s="3398">
        <v>151283</v>
      </c>
      <c r="AH17" s="3398">
        <v>151283</v>
      </c>
      <c r="AI17" s="3398">
        <v>2105.9</v>
      </c>
      <c r="AJ17" s="3398">
        <v>2105.9</v>
      </c>
      <c r="AK17" s="3398">
        <v>14000.03</v>
      </c>
      <c r="AL17" s="3398">
        <v>14000.04</v>
      </c>
      <c r="AM17" s="3398" t="s">
        <v>1298</v>
      </c>
      <c r="AN17" s="3398" t="s">
        <v>1298</v>
      </c>
      <c r="AO17" s="3398">
        <v>0</v>
      </c>
      <c r="AP17" s="3398" t="s">
        <v>3240</v>
      </c>
      <c r="AQ17" s="3398" t="s">
        <v>1298</v>
      </c>
      <c r="AR17" s="3398" t="s">
        <v>1298</v>
      </c>
      <c r="AS17" s="3398" t="s">
        <v>1298</v>
      </c>
      <c r="AT17" s="3398" t="s">
        <v>3241</v>
      </c>
    </row>
    <row r="18" spans="1:46" s="3398" customFormat="1">
      <c r="A18" s="3398" t="s">
        <v>3386</v>
      </c>
      <c r="B18" s="3398" t="s">
        <v>3222</v>
      </c>
      <c r="C18" s="3398" t="s">
        <v>3286</v>
      </c>
      <c r="D18" s="3398" t="s">
        <v>3224</v>
      </c>
      <c r="E18" s="3398" t="s">
        <v>3225</v>
      </c>
      <c r="F18" s="3398" t="s">
        <v>3387</v>
      </c>
      <c r="G18" s="3398" t="s">
        <v>3227</v>
      </c>
      <c r="H18" s="3398" t="s">
        <v>3388</v>
      </c>
      <c r="I18" s="3398" t="s">
        <v>3290</v>
      </c>
      <c r="J18" s="3398">
        <v>36478.1</v>
      </c>
      <c r="K18" s="3398">
        <v>80251.820000000007</v>
      </c>
      <c r="L18" s="3398" t="s">
        <v>3378</v>
      </c>
      <c r="M18" s="3398" t="s">
        <v>1298</v>
      </c>
      <c r="N18" s="3398" t="s">
        <v>3262</v>
      </c>
      <c r="O18" s="3398" t="s">
        <v>3389</v>
      </c>
      <c r="P18" s="3398" t="s">
        <v>1298</v>
      </c>
      <c r="Q18" s="3398" t="s">
        <v>1298</v>
      </c>
      <c r="R18" s="3398" t="s">
        <v>1298</v>
      </c>
      <c r="S18" s="3398" t="s">
        <v>1298</v>
      </c>
      <c r="T18" s="3398" t="s">
        <v>3293</v>
      </c>
      <c r="U18" s="3398" t="s">
        <v>3294</v>
      </c>
      <c r="V18" s="3398" t="s">
        <v>1298</v>
      </c>
      <c r="W18" s="3398" t="s">
        <v>3278</v>
      </c>
      <c r="X18" s="3398" t="s">
        <v>3390</v>
      </c>
      <c r="Y18" s="3398" t="s">
        <v>3391</v>
      </c>
      <c r="Z18" s="3398" t="s">
        <v>3392</v>
      </c>
      <c r="AA18" s="3398" t="s">
        <v>3392</v>
      </c>
      <c r="AB18" s="3398" t="s">
        <v>3388</v>
      </c>
      <c r="AC18" s="3398" t="s">
        <v>3237</v>
      </c>
      <c r="AD18" s="3398" t="s">
        <v>3393</v>
      </c>
      <c r="AE18" s="3398" t="s">
        <v>3394</v>
      </c>
      <c r="AF18" s="3398">
        <v>45000</v>
      </c>
      <c r="AG18" s="3398">
        <v>225000</v>
      </c>
      <c r="AH18" s="3398">
        <v>318000</v>
      </c>
      <c r="AI18" s="3398">
        <v>4112.0600000000004</v>
      </c>
      <c r="AJ18" s="3398">
        <v>5811.71</v>
      </c>
      <c r="AK18" s="3398">
        <v>28036.74</v>
      </c>
      <c r="AL18" s="3398">
        <v>39625.26</v>
      </c>
      <c r="AM18" s="3398" t="s">
        <v>1298</v>
      </c>
      <c r="AN18" s="3398" t="s">
        <v>1298</v>
      </c>
      <c r="AO18" s="3398">
        <v>41.33</v>
      </c>
      <c r="AP18" s="3398" t="s">
        <v>3240</v>
      </c>
      <c r="AQ18" s="3398" t="s">
        <v>1298</v>
      </c>
      <c r="AR18" s="3398" t="s">
        <v>1298</v>
      </c>
      <c r="AS18" s="3398" t="s">
        <v>1298</v>
      </c>
      <c r="AT18" s="3398" t="s">
        <v>3241</v>
      </c>
    </row>
    <row r="19" spans="1:46" s="3398" customFormat="1">
      <c r="A19" s="3398" t="s">
        <v>3395</v>
      </c>
      <c r="B19" s="3398" t="s">
        <v>3222</v>
      </c>
      <c r="C19" s="3398" t="s">
        <v>3286</v>
      </c>
      <c r="D19" s="3398" t="s">
        <v>3224</v>
      </c>
      <c r="E19" s="3398" t="s">
        <v>3225</v>
      </c>
      <c r="F19" s="3398" t="s">
        <v>3396</v>
      </c>
      <c r="G19" s="3398" t="s">
        <v>3227</v>
      </c>
      <c r="H19" s="3398" t="s">
        <v>3397</v>
      </c>
      <c r="I19" s="3398" t="s">
        <v>3290</v>
      </c>
      <c r="J19" s="3398">
        <v>35704</v>
      </c>
      <c r="K19" s="3398">
        <v>78548.800000000003</v>
      </c>
      <c r="L19" s="3398" t="s">
        <v>3378</v>
      </c>
      <c r="M19" s="3398" t="s">
        <v>1298</v>
      </c>
      <c r="N19" s="3398" t="s">
        <v>3262</v>
      </c>
      <c r="O19" s="3398" t="s">
        <v>3389</v>
      </c>
      <c r="P19" s="3398" t="s">
        <v>1298</v>
      </c>
      <c r="Q19" s="3398" t="s">
        <v>1298</v>
      </c>
      <c r="R19" s="3398" t="s">
        <v>1298</v>
      </c>
      <c r="S19" s="3398" t="s">
        <v>1298</v>
      </c>
      <c r="T19" s="3398" t="s">
        <v>3293</v>
      </c>
      <c r="U19" s="3398" t="s">
        <v>3294</v>
      </c>
      <c r="V19" s="3398" t="s">
        <v>1298</v>
      </c>
      <c r="W19" s="3398" t="s">
        <v>3278</v>
      </c>
      <c r="X19" s="3398" t="s">
        <v>3390</v>
      </c>
      <c r="Y19" s="3398" t="s">
        <v>3391</v>
      </c>
      <c r="Z19" s="3398" t="s">
        <v>3392</v>
      </c>
      <c r="AA19" s="3398" t="s">
        <v>3392</v>
      </c>
      <c r="AB19" s="3398" t="s">
        <v>3397</v>
      </c>
      <c r="AC19" s="3398" t="s">
        <v>3237</v>
      </c>
      <c r="AD19" s="3398" t="s">
        <v>3398</v>
      </c>
      <c r="AE19" s="3398" t="s">
        <v>3398</v>
      </c>
      <c r="AF19" s="3398">
        <v>44000</v>
      </c>
      <c r="AG19" s="3398">
        <v>220000</v>
      </c>
      <c r="AH19" s="3398">
        <v>306000</v>
      </c>
      <c r="AI19" s="3398">
        <v>4107.8500000000004</v>
      </c>
      <c r="AJ19" s="3398">
        <v>5713.65</v>
      </c>
      <c r="AK19" s="3398">
        <v>28008.06</v>
      </c>
      <c r="AL19" s="3398">
        <v>38956.660000000003</v>
      </c>
      <c r="AM19" s="3398" t="s">
        <v>1298</v>
      </c>
      <c r="AN19" s="3398" t="s">
        <v>1298</v>
      </c>
      <c r="AO19" s="3398">
        <v>39.090000000000003</v>
      </c>
      <c r="AP19" s="3398" t="s">
        <v>3240</v>
      </c>
      <c r="AQ19" s="3398" t="s">
        <v>1298</v>
      </c>
      <c r="AR19" s="3398" t="s">
        <v>1298</v>
      </c>
      <c r="AS19" s="3398" t="s">
        <v>1298</v>
      </c>
      <c r="AT19" s="3398" t="s">
        <v>3241</v>
      </c>
    </row>
    <row r="20" spans="1:46" s="3398" customFormat="1">
      <c r="A20" s="3398" t="s">
        <v>3399</v>
      </c>
      <c r="B20" s="3398" t="s">
        <v>3222</v>
      </c>
      <c r="C20" s="3398" t="s">
        <v>3223</v>
      </c>
      <c r="D20" s="3398" t="s">
        <v>3224</v>
      </c>
      <c r="E20" s="3398" t="s">
        <v>3225</v>
      </c>
      <c r="F20" s="3398" t="s">
        <v>3226</v>
      </c>
      <c r="G20" s="3398" t="s">
        <v>3227</v>
      </c>
      <c r="H20" s="3398" t="s">
        <v>3400</v>
      </c>
      <c r="I20" s="3398" t="s">
        <v>3401</v>
      </c>
      <c r="J20" s="3398">
        <v>79276.91</v>
      </c>
      <c r="K20" s="3398">
        <v>177023</v>
      </c>
      <c r="L20" s="3398" t="s">
        <v>3402</v>
      </c>
      <c r="M20" s="3398" t="s">
        <v>1298</v>
      </c>
      <c r="N20" s="3398" t="s">
        <v>3262</v>
      </c>
      <c r="O20" s="3398" t="s">
        <v>3403</v>
      </c>
      <c r="P20" s="3398" t="s">
        <v>1298</v>
      </c>
      <c r="Q20" s="3398" t="s">
        <v>1298</v>
      </c>
      <c r="R20" s="3398" t="s">
        <v>1298</v>
      </c>
      <c r="S20" s="3398" t="s">
        <v>1298</v>
      </c>
      <c r="T20" s="3398" t="s">
        <v>3293</v>
      </c>
      <c r="U20" s="3398" t="s">
        <v>3294</v>
      </c>
      <c r="V20" s="3398" t="s">
        <v>1298</v>
      </c>
      <c r="W20" s="3398" t="s">
        <v>3278</v>
      </c>
      <c r="X20" s="3398" t="s">
        <v>3404</v>
      </c>
      <c r="Y20" s="3398" t="s">
        <v>3405</v>
      </c>
      <c r="Z20" s="3398" t="s">
        <v>3406</v>
      </c>
      <c r="AA20" s="3398" t="s">
        <v>3406</v>
      </c>
      <c r="AB20" s="3398" t="s">
        <v>3400</v>
      </c>
      <c r="AC20" s="3398" t="s">
        <v>3237</v>
      </c>
      <c r="AD20" s="3398" t="s">
        <v>3269</v>
      </c>
      <c r="AE20" s="3398" t="s">
        <v>3270</v>
      </c>
      <c r="AF20" s="3398">
        <v>73000</v>
      </c>
      <c r="AG20" s="3398">
        <v>365000</v>
      </c>
      <c r="AH20" s="3398">
        <v>444000</v>
      </c>
      <c r="AI20" s="3398">
        <v>3069.41</v>
      </c>
      <c r="AJ20" s="3398">
        <v>3733.75</v>
      </c>
      <c r="AK20" s="3398">
        <v>20618.79</v>
      </c>
      <c r="AL20" s="3398">
        <v>25081.49</v>
      </c>
      <c r="AM20" s="3398" t="s">
        <v>1298</v>
      </c>
      <c r="AN20" s="3398" t="s">
        <v>1298</v>
      </c>
      <c r="AO20" s="3398">
        <v>21.64</v>
      </c>
      <c r="AP20" s="3398" t="s">
        <v>3407</v>
      </c>
      <c r="AQ20" s="3398" t="s">
        <v>1298</v>
      </c>
      <c r="AR20" s="3398" t="s">
        <v>1298</v>
      </c>
      <c r="AS20" s="3398" t="s">
        <v>1298</v>
      </c>
      <c r="AT20" s="3398" t="s">
        <v>3241</v>
      </c>
    </row>
    <row r="21" spans="1:46" s="3398" customFormat="1">
      <c r="A21" s="3398" t="s">
        <v>3408</v>
      </c>
      <c r="B21" s="3398" t="s">
        <v>3222</v>
      </c>
      <c r="C21" s="3398" t="s">
        <v>3223</v>
      </c>
      <c r="D21" s="3398" t="s">
        <v>3224</v>
      </c>
      <c r="E21" s="3398" t="s">
        <v>3409</v>
      </c>
      <c r="F21" s="3398" t="s">
        <v>3410</v>
      </c>
      <c r="G21" s="3398" t="s">
        <v>3227</v>
      </c>
      <c r="H21" s="3398" t="s">
        <v>3411</v>
      </c>
      <c r="I21" s="3398" t="s">
        <v>3412</v>
      </c>
      <c r="J21" s="3398">
        <v>34940.019999999997</v>
      </c>
      <c r="K21" s="3398">
        <v>94338</v>
      </c>
      <c r="L21" s="3398">
        <v>2.7</v>
      </c>
      <c r="M21" s="3398" t="s">
        <v>1298</v>
      </c>
      <c r="N21" s="3398" t="s">
        <v>3262</v>
      </c>
      <c r="O21" s="3398" t="s">
        <v>3413</v>
      </c>
      <c r="P21" s="3398" t="s">
        <v>1298</v>
      </c>
      <c r="Q21" s="3398" t="s">
        <v>1298</v>
      </c>
      <c r="R21" s="3398" t="s">
        <v>1298</v>
      </c>
      <c r="S21" s="3398" t="s">
        <v>1298</v>
      </c>
      <c r="T21" s="3398" t="s">
        <v>3293</v>
      </c>
      <c r="U21" s="3398" t="s">
        <v>3294</v>
      </c>
      <c r="V21" s="3398" t="s">
        <v>1298</v>
      </c>
      <c r="W21" s="3398" t="s">
        <v>3278</v>
      </c>
      <c r="X21" s="3398" t="s">
        <v>3404</v>
      </c>
      <c r="Y21" s="3398" t="s">
        <v>3405</v>
      </c>
      <c r="Z21" s="3398" t="s">
        <v>3406</v>
      </c>
      <c r="AA21" s="3398" t="s">
        <v>3406</v>
      </c>
      <c r="AB21" s="3398" t="s">
        <v>3411</v>
      </c>
      <c r="AC21" s="3398" t="s">
        <v>3237</v>
      </c>
      <c r="AD21" s="3398" t="s">
        <v>3414</v>
      </c>
      <c r="AE21" s="3398" t="s">
        <v>3415</v>
      </c>
      <c r="AF21" s="3398">
        <v>42000</v>
      </c>
      <c r="AG21" s="3398">
        <v>210000</v>
      </c>
      <c r="AH21" s="3398">
        <v>246000</v>
      </c>
      <c r="AI21" s="3398">
        <v>4006.87</v>
      </c>
      <c r="AJ21" s="3398">
        <v>4693.76</v>
      </c>
      <c r="AK21" s="3398">
        <v>22260.38</v>
      </c>
      <c r="AL21" s="3398">
        <v>26076.45</v>
      </c>
      <c r="AM21" s="3398" t="s">
        <v>1298</v>
      </c>
      <c r="AN21" s="3398" t="s">
        <v>1298</v>
      </c>
      <c r="AO21" s="3398">
        <v>17.14</v>
      </c>
      <c r="AP21" s="3398" t="s">
        <v>3407</v>
      </c>
      <c r="AQ21" s="3398" t="s">
        <v>1298</v>
      </c>
      <c r="AR21" s="3398" t="s">
        <v>1298</v>
      </c>
      <c r="AS21" s="3398" t="s">
        <v>1298</v>
      </c>
      <c r="AT21" s="3398" t="s">
        <v>3322</v>
      </c>
    </row>
    <row r="22" spans="1:46" s="3398" customFormat="1">
      <c r="A22" s="3398" t="s">
        <v>3416</v>
      </c>
      <c r="B22" s="3398" t="s">
        <v>3222</v>
      </c>
      <c r="C22" s="3398" t="s">
        <v>3286</v>
      </c>
      <c r="D22" s="3398" t="s">
        <v>3224</v>
      </c>
      <c r="E22" s="3398" t="s">
        <v>3272</v>
      </c>
      <c r="F22" s="3398" t="s">
        <v>3273</v>
      </c>
      <c r="G22" s="3398" t="s">
        <v>3227</v>
      </c>
      <c r="H22" s="3398" t="s">
        <v>3417</v>
      </c>
      <c r="I22" s="3398" t="s">
        <v>3290</v>
      </c>
      <c r="J22" s="3398">
        <v>54637.78</v>
      </c>
      <c r="K22" s="3398">
        <v>57370</v>
      </c>
      <c r="L22" s="3398">
        <v>1.05</v>
      </c>
      <c r="M22" s="3398" t="s">
        <v>1298</v>
      </c>
      <c r="N22" s="3398" t="s">
        <v>3262</v>
      </c>
      <c r="O22" s="3398" t="s">
        <v>3418</v>
      </c>
      <c r="P22" s="3398" t="s">
        <v>1298</v>
      </c>
      <c r="Q22" s="3398" t="s">
        <v>1298</v>
      </c>
      <c r="R22" s="3398" t="s">
        <v>1298</v>
      </c>
      <c r="S22" s="3398" t="s">
        <v>1298</v>
      </c>
      <c r="T22" s="3398" t="s">
        <v>3419</v>
      </c>
      <c r="U22" s="3398" t="s">
        <v>3420</v>
      </c>
      <c r="V22" s="3398" t="s">
        <v>1298</v>
      </c>
      <c r="W22" s="3398" t="s">
        <v>3278</v>
      </c>
      <c r="X22" s="3398" t="s">
        <v>3421</v>
      </c>
      <c r="Y22" s="3398" t="s">
        <v>3422</v>
      </c>
      <c r="Z22" s="3398" t="s">
        <v>3423</v>
      </c>
      <c r="AA22" s="3398" t="s">
        <v>3423</v>
      </c>
      <c r="AB22" s="3398" t="s">
        <v>3417</v>
      </c>
      <c r="AC22" s="3398" t="s">
        <v>3237</v>
      </c>
      <c r="AD22" s="3398" t="s">
        <v>3424</v>
      </c>
      <c r="AE22" s="3398" t="s">
        <v>3425</v>
      </c>
      <c r="AF22" s="3398">
        <v>14800</v>
      </c>
      <c r="AG22" s="3398">
        <v>73950</v>
      </c>
      <c r="AH22" s="3398">
        <v>94000</v>
      </c>
      <c r="AI22" s="3398">
        <v>902.31</v>
      </c>
      <c r="AJ22" s="3398">
        <v>1146.95</v>
      </c>
      <c r="AK22" s="3398">
        <v>12890.01</v>
      </c>
      <c r="AL22" s="3398">
        <v>16384.86</v>
      </c>
      <c r="AM22" s="3398" t="s">
        <v>1298</v>
      </c>
      <c r="AN22" s="3398" t="s">
        <v>1298</v>
      </c>
      <c r="AO22" s="3398">
        <v>27.11</v>
      </c>
      <c r="AP22" s="3398" t="s">
        <v>3240</v>
      </c>
      <c r="AQ22" s="3398" t="s">
        <v>1298</v>
      </c>
      <c r="AR22" s="3398" t="s">
        <v>1298</v>
      </c>
      <c r="AS22" s="3398" t="s">
        <v>1298</v>
      </c>
      <c r="AT22" s="3398" t="s">
        <v>3284</v>
      </c>
    </row>
    <row r="23" spans="1:46" s="3398" customFormat="1">
      <c r="A23" s="3398" t="s">
        <v>3426</v>
      </c>
      <c r="B23" s="3398" t="s">
        <v>3222</v>
      </c>
      <c r="C23" s="3398" t="s">
        <v>3286</v>
      </c>
      <c r="D23" s="3398" t="s">
        <v>3224</v>
      </c>
      <c r="E23" s="3398" t="s">
        <v>3272</v>
      </c>
      <c r="F23" s="3398" t="s">
        <v>3273</v>
      </c>
      <c r="G23" s="3398" t="s">
        <v>3227</v>
      </c>
      <c r="H23" s="3398" t="s">
        <v>3427</v>
      </c>
      <c r="I23" s="3398" t="s">
        <v>3290</v>
      </c>
      <c r="J23" s="3398">
        <v>87590.77</v>
      </c>
      <c r="K23" s="3398">
        <v>91970</v>
      </c>
      <c r="L23" s="3398">
        <v>1.05</v>
      </c>
      <c r="M23" s="3398" t="s">
        <v>1298</v>
      </c>
      <c r="N23" s="3398" t="s">
        <v>3262</v>
      </c>
      <c r="O23" s="3398" t="s">
        <v>3428</v>
      </c>
      <c r="P23" s="3398" t="s">
        <v>1298</v>
      </c>
      <c r="Q23" s="3398" t="s">
        <v>1298</v>
      </c>
      <c r="R23" s="3398" t="s">
        <v>1298</v>
      </c>
      <c r="S23" s="3398" t="s">
        <v>1298</v>
      </c>
      <c r="T23" s="3398" t="s">
        <v>3419</v>
      </c>
      <c r="U23" s="3398" t="s">
        <v>3429</v>
      </c>
      <c r="V23" s="3398" t="s">
        <v>1298</v>
      </c>
      <c r="W23" s="3398" t="s">
        <v>3278</v>
      </c>
      <c r="X23" s="3398" t="s">
        <v>3430</v>
      </c>
      <c r="Y23" s="3398" t="s">
        <v>3422</v>
      </c>
      <c r="Z23" s="3398" t="s">
        <v>3423</v>
      </c>
      <c r="AA23" s="3398" t="s">
        <v>3423</v>
      </c>
      <c r="AB23" s="3398" t="s">
        <v>3427</v>
      </c>
      <c r="AC23" s="3398" t="s">
        <v>3237</v>
      </c>
      <c r="AD23" s="3398" t="s">
        <v>3431</v>
      </c>
      <c r="AE23" s="3398" t="s">
        <v>3432</v>
      </c>
      <c r="AF23" s="3398">
        <v>23800</v>
      </c>
      <c r="AG23" s="3398">
        <v>118550</v>
      </c>
      <c r="AH23" s="3398">
        <v>177000</v>
      </c>
      <c r="AI23" s="3398">
        <v>902.3</v>
      </c>
      <c r="AJ23" s="3398">
        <v>1347.17</v>
      </c>
      <c r="AK23" s="3398">
        <v>12890.07</v>
      </c>
      <c r="AL23" s="3398">
        <v>19245.400000000001</v>
      </c>
      <c r="AM23" s="3398" t="s">
        <v>1298</v>
      </c>
      <c r="AN23" s="3398" t="s">
        <v>1298</v>
      </c>
      <c r="AO23" s="3398">
        <v>49.3</v>
      </c>
      <c r="AP23" s="3398" t="s">
        <v>3240</v>
      </c>
      <c r="AQ23" s="3398" t="s">
        <v>1298</v>
      </c>
      <c r="AR23" s="3398">
        <v>2</v>
      </c>
      <c r="AS23" s="3398" t="s">
        <v>1298</v>
      </c>
      <c r="AT23" s="3398" t="s">
        <v>3284</v>
      </c>
    </row>
    <row r="24" spans="1:46" s="3398" customFormat="1">
      <c r="A24" s="3398" t="s">
        <v>3433</v>
      </c>
      <c r="B24" s="3398" t="s">
        <v>3222</v>
      </c>
      <c r="C24" s="3398" t="s">
        <v>3286</v>
      </c>
      <c r="D24" s="3398" t="s">
        <v>3224</v>
      </c>
      <c r="E24" s="3398" t="s">
        <v>3225</v>
      </c>
      <c r="F24" s="3398" t="s">
        <v>3434</v>
      </c>
      <c r="G24" s="3398" t="s">
        <v>3227</v>
      </c>
      <c r="H24" s="3398" t="s">
        <v>3435</v>
      </c>
      <c r="I24" s="3398" t="s">
        <v>3290</v>
      </c>
      <c r="J24" s="3398">
        <v>38121.199999999997</v>
      </c>
      <c r="K24" s="3398">
        <v>95303</v>
      </c>
      <c r="L24" s="3398">
        <v>2.5</v>
      </c>
      <c r="M24" s="3398" t="s">
        <v>1298</v>
      </c>
      <c r="N24" s="3398" t="s">
        <v>3262</v>
      </c>
      <c r="O24" s="3398" t="s">
        <v>3436</v>
      </c>
      <c r="P24" s="3398" t="s">
        <v>1298</v>
      </c>
      <c r="Q24" s="3398" t="s">
        <v>1298</v>
      </c>
      <c r="R24" s="3398" t="s">
        <v>1298</v>
      </c>
      <c r="S24" s="3398" t="s">
        <v>1298</v>
      </c>
      <c r="T24" s="3398" t="s">
        <v>3293</v>
      </c>
      <c r="U24" s="3398" t="s">
        <v>3294</v>
      </c>
      <c r="V24" s="3398" t="s">
        <v>1298</v>
      </c>
      <c r="W24" s="3398" t="s">
        <v>3278</v>
      </c>
      <c r="X24" s="3398" t="s">
        <v>3437</v>
      </c>
      <c r="Y24" s="3398" t="s">
        <v>3438</v>
      </c>
      <c r="Z24" s="3398" t="s">
        <v>3439</v>
      </c>
      <c r="AA24" s="3398" t="s">
        <v>3439</v>
      </c>
      <c r="AB24" s="3398" t="s">
        <v>3435</v>
      </c>
      <c r="AC24" s="3398" t="s">
        <v>3237</v>
      </c>
      <c r="AD24" s="3398" t="s">
        <v>3440</v>
      </c>
      <c r="AE24" s="3398" t="s">
        <v>3441</v>
      </c>
      <c r="AF24" s="3398">
        <v>53400</v>
      </c>
      <c r="AG24" s="3398">
        <v>267000</v>
      </c>
      <c r="AH24" s="3398">
        <v>332000</v>
      </c>
      <c r="AI24" s="3398">
        <v>4669.32</v>
      </c>
      <c r="AJ24" s="3398">
        <v>5806.04</v>
      </c>
      <c r="AK24" s="3398">
        <v>28015.9</v>
      </c>
      <c r="AL24" s="3398">
        <v>34836.26</v>
      </c>
      <c r="AM24" s="3398" t="s">
        <v>1298</v>
      </c>
      <c r="AN24" s="3398" t="s">
        <v>1298</v>
      </c>
      <c r="AO24" s="3398">
        <v>24.34</v>
      </c>
      <c r="AP24" s="3398" t="s">
        <v>3240</v>
      </c>
      <c r="AQ24" s="3398" t="s">
        <v>1298</v>
      </c>
      <c r="AR24" s="3398" t="s">
        <v>1298</v>
      </c>
      <c r="AS24" s="3398" t="s">
        <v>1298</v>
      </c>
      <c r="AT24" s="3398" t="s">
        <v>3241</v>
      </c>
    </row>
    <row r="25" spans="1:46" s="3398" customFormat="1">
      <c r="A25" s="3398" t="s">
        <v>3442</v>
      </c>
      <c r="B25" s="3398" t="s">
        <v>3222</v>
      </c>
      <c r="C25" s="3398" t="s">
        <v>3286</v>
      </c>
      <c r="D25" s="3398" t="s">
        <v>3224</v>
      </c>
      <c r="E25" s="3398" t="s">
        <v>3225</v>
      </c>
      <c r="F25" s="3398" t="s">
        <v>3443</v>
      </c>
      <c r="G25" s="3398" t="s">
        <v>3227</v>
      </c>
      <c r="H25" s="3398" t="s">
        <v>3444</v>
      </c>
      <c r="I25" s="3398" t="s">
        <v>3290</v>
      </c>
      <c r="J25" s="3398">
        <v>44933.4</v>
      </c>
      <c r="K25" s="3398">
        <v>112333.5</v>
      </c>
      <c r="L25" s="3398">
        <v>2.5</v>
      </c>
      <c r="M25" s="3398" t="s">
        <v>1298</v>
      </c>
      <c r="N25" s="3398" t="s">
        <v>3262</v>
      </c>
      <c r="O25" s="3398" t="s">
        <v>3436</v>
      </c>
      <c r="P25" s="3398" t="s">
        <v>1298</v>
      </c>
      <c r="Q25" s="3398" t="s">
        <v>1298</v>
      </c>
      <c r="R25" s="3398" t="s">
        <v>1298</v>
      </c>
      <c r="S25" s="3398" t="s">
        <v>1298</v>
      </c>
      <c r="T25" s="3398" t="s">
        <v>3293</v>
      </c>
      <c r="U25" s="3398" t="s">
        <v>3294</v>
      </c>
      <c r="V25" s="3398" t="s">
        <v>1298</v>
      </c>
      <c r="W25" s="3398" t="s">
        <v>3278</v>
      </c>
      <c r="X25" s="3398" t="s">
        <v>3437</v>
      </c>
      <c r="Y25" s="3398" t="s">
        <v>3438</v>
      </c>
      <c r="Z25" s="3398" t="s">
        <v>3439</v>
      </c>
      <c r="AA25" s="3398" t="s">
        <v>3439</v>
      </c>
      <c r="AB25" s="3398" t="s">
        <v>3444</v>
      </c>
      <c r="AC25" s="3398" t="s">
        <v>3237</v>
      </c>
      <c r="AD25" s="3398" t="s">
        <v>3445</v>
      </c>
      <c r="AE25" s="3398" t="s">
        <v>3446</v>
      </c>
      <c r="AF25" s="3398">
        <v>63000</v>
      </c>
      <c r="AG25" s="3398">
        <v>315000</v>
      </c>
      <c r="AH25" s="3398">
        <v>370000</v>
      </c>
      <c r="AI25" s="3398">
        <v>4673.58</v>
      </c>
      <c r="AJ25" s="3398">
        <v>5489.61</v>
      </c>
      <c r="AK25" s="3398">
        <v>28041.5</v>
      </c>
      <c r="AL25" s="3398">
        <v>32937.629999999997</v>
      </c>
      <c r="AM25" s="3398" t="s">
        <v>1298</v>
      </c>
      <c r="AN25" s="3398" t="s">
        <v>1298</v>
      </c>
      <c r="AO25" s="3398">
        <v>17.46</v>
      </c>
      <c r="AP25" s="3398" t="s">
        <v>3240</v>
      </c>
      <c r="AQ25" s="3398" t="s">
        <v>1298</v>
      </c>
      <c r="AR25" s="3398" t="s">
        <v>1298</v>
      </c>
      <c r="AS25" s="3398" t="s">
        <v>1298</v>
      </c>
      <c r="AT25" s="3398" t="s">
        <v>3241</v>
      </c>
    </row>
    <row r="26" spans="1:46" s="3398" customFormat="1">
      <c r="A26" s="3398" t="s">
        <v>3447</v>
      </c>
      <c r="B26" s="3398" t="s">
        <v>3222</v>
      </c>
      <c r="C26" s="3398" t="s">
        <v>3223</v>
      </c>
      <c r="D26" s="3398" t="s">
        <v>3224</v>
      </c>
      <c r="E26" s="3398" t="s">
        <v>3448</v>
      </c>
      <c r="F26" s="3398" t="s">
        <v>3449</v>
      </c>
      <c r="G26" s="3398" t="s">
        <v>3227</v>
      </c>
      <c r="H26" s="3398" t="s">
        <v>3450</v>
      </c>
      <c r="I26" s="3398" t="s">
        <v>3332</v>
      </c>
      <c r="J26" s="3398">
        <v>53689</v>
      </c>
      <c r="K26" s="3398">
        <v>110976</v>
      </c>
      <c r="L26" s="3398">
        <v>2.0699999999999998</v>
      </c>
      <c r="M26" s="3398" t="s">
        <v>1298</v>
      </c>
      <c r="N26" s="3398" t="s">
        <v>3451</v>
      </c>
      <c r="O26" s="3398" t="s">
        <v>3452</v>
      </c>
      <c r="P26" s="3398" t="s">
        <v>1298</v>
      </c>
      <c r="Q26" s="3398" t="s">
        <v>1298</v>
      </c>
      <c r="R26" s="3398" t="s">
        <v>1298</v>
      </c>
      <c r="S26" s="3398" t="s">
        <v>1298</v>
      </c>
      <c r="T26" s="3398" t="s">
        <v>3419</v>
      </c>
      <c r="U26" s="3398" t="s">
        <v>3420</v>
      </c>
      <c r="V26" s="3398" t="s">
        <v>1298</v>
      </c>
      <c r="W26" s="3398" t="s">
        <v>3278</v>
      </c>
      <c r="X26" s="3398" t="s">
        <v>3453</v>
      </c>
      <c r="Y26" s="3398" t="s">
        <v>3454</v>
      </c>
      <c r="Z26" s="3398" t="s">
        <v>3455</v>
      </c>
      <c r="AA26" s="3398" t="s">
        <v>3455</v>
      </c>
      <c r="AB26" s="3398" t="s">
        <v>3450</v>
      </c>
      <c r="AC26" s="3398" t="s">
        <v>3237</v>
      </c>
      <c r="AD26" s="3398" t="s">
        <v>3456</v>
      </c>
      <c r="AE26" s="3398" t="s">
        <v>3457</v>
      </c>
      <c r="AF26" s="3398">
        <v>62000</v>
      </c>
      <c r="AG26" s="3398">
        <v>206000</v>
      </c>
      <c r="AH26" s="3398">
        <v>208000</v>
      </c>
      <c r="AI26" s="3398">
        <v>2557.94</v>
      </c>
      <c r="AJ26" s="3398">
        <v>2582.7800000000002</v>
      </c>
      <c r="AK26" s="3398">
        <v>18562.57</v>
      </c>
      <c r="AL26" s="3398">
        <v>18742.79</v>
      </c>
      <c r="AM26" s="3398" t="s">
        <v>1298</v>
      </c>
      <c r="AN26" s="3398" t="s">
        <v>1298</v>
      </c>
      <c r="AO26" s="3398">
        <v>0.97</v>
      </c>
      <c r="AP26" s="3398" t="s">
        <v>3240</v>
      </c>
      <c r="AQ26" s="3398" t="s">
        <v>1298</v>
      </c>
      <c r="AR26" s="3398" t="s">
        <v>1298</v>
      </c>
      <c r="AS26" s="3398" t="s">
        <v>1298</v>
      </c>
      <c r="AT26" s="3398" t="s">
        <v>3241</v>
      </c>
    </row>
    <row r="27" spans="1:46" s="3398" customFormat="1">
      <c r="A27" s="3398" t="s">
        <v>3458</v>
      </c>
      <c r="B27" s="3398" t="s">
        <v>3222</v>
      </c>
      <c r="C27" s="3398" t="s">
        <v>3286</v>
      </c>
      <c r="D27" s="3398" t="s">
        <v>3224</v>
      </c>
      <c r="E27" s="3398" t="s">
        <v>3448</v>
      </c>
      <c r="F27" s="3398" t="s">
        <v>3449</v>
      </c>
      <c r="G27" s="3398" t="s">
        <v>3227</v>
      </c>
      <c r="H27" s="3398" t="s">
        <v>3459</v>
      </c>
      <c r="I27" s="3398" t="s">
        <v>3290</v>
      </c>
      <c r="J27" s="3398">
        <v>39735</v>
      </c>
      <c r="K27" s="3398">
        <v>87417</v>
      </c>
      <c r="L27" s="3398">
        <v>2.2000000000000002</v>
      </c>
      <c r="M27" s="3398" t="s">
        <v>1298</v>
      </c>
      <c r="N27" s="3398" t="s">
        <v>3262</v>
      </c>
      <c r="O27" s="3398" t="s">
        <v>3460</v>
      </c>
      <c r="P27" s="3398" t="s">
        <v>1298</v>
      </c>
      <c r="Q27" s="3398" t="s">
        <v>1298</v>
      </c>
      <c r="R27" s="3398" t="s">
        <v>1298</v>
      </c>
      <c r="S27" s="3398" t="s">
        <v>1298</v>
      </c>
      <c r="T27" s="3398" t="s">
        <v>3293</v>
      </c>
      <c r="U27" s="3398" t="s">
        <v>3294</v>
      </c>
      <c r="V27" s="3398" t="s">
        <v>1298</v>
      </c>
      <c r="W27" s="3398" t="s">
        <v>3278</v>
      </c>
      <c r="X27" s="3398" t="s">
        <v>3453</v>
      </c>
      <c r="Y27" s="3398" t="s">
        <v>3454</v>
      </c>
      <c r="Z27" s="3398" t="s">
        <v>3455</v>
      </c>
      <c r="AA27" s="3398" t="s">
        <v>3455</v>
      </c>
      <c r="AB27" s="3398" t="s">
        <v>3459</v>
      </c>
      <c r="AC27" s="3398" t="s">
        <v>3237</v>
      </c>
      <c r="AD27" s="3398" t="s">
        <v>3269</v>
      </c>
      <c r="AE27" s="3398" t="s">
        <v>3270</v>
      </c>
      <c r="AF27" s="3398">
        <v>51000</v>
      </c>
      <c r="AG27" s="3398">
        <v>170000</v>
      </c>
      <c r="AH27" s="3398">
        <v>172700</v>
      </c>
      <c r="AI27" s="3398">
        <v>2852.23</v>
      </c>
      <c r="AJ27" s="3398">
        <v>2897.53</v>
      </c>
      <c r="AK27" s="3398">
        <v>19447.009999999998</v>
      </c>
      <c r="AL27" s="3398">
        <v>19755.88</v>
      </c>
      <c r="AM27" s="3398" t="s">
        <v>1298</v>
      </c>
      <c r="AN27" s="3398" t="s">
        <v>1298</v>
      </c>
      <c r="AO27" s="3398">
        <v>1.59</v>
      </c>
      <c r="AP27" s="3398" t="s">
        <v>3240</v>
      </c>
      <c r="AQ27" s="3398" t="s">
        <v>1298</v>
      </c>
      <c r="AR27" s="3398" t="s">
        <v>1298</v>
      </c>
      <c r="AS27" s="3398" t="s">
        <v>1298</v>
      </c>
      <c r="AT27" s="3398" t="s">
        <v>3241</v>
      </c>
    </row>
    <row r="28" spans="1:46" s="3398" customFormat="1">
      <c r="A28" s="3398" t="s">
        <v>3461</v>
      </c>
      <c r="B28" s="3398" t="s">
        <v>3222</v>
      </c>
      <c r="C28" s="3398" t="s">
        <v>3286</v>
      </c>
      <c r="D28" s="3398" t="s">
        <v>3224</v>
      </c>
      <c r="E28" s="3398" t="s">
        <v>3365</v>
      </c>
      <c r="F28" s="3398" t="s">
        <v>3366</v>
      </c>
      <c r="G28" s="3398" t="s">
        <v>3227</v>
      </c>
      <c r="H28" s="3398" t="s">
        <v>3462</v>
      </c>
      <c r="I28" s="3398" t="s">
        <v>3290</v>
      </c>
      <c r="J28" s="3398">
        <v>74464</v>
      </c>
      <c r="K28" s="3398">
        <v>119142</v>
      </c>
      <c r="L28" s="3398">
        <v>1.6</v>
      </c>
      <c r="M28" s="3398" t="s">
        <v>1298</v>
      </c>
      <c r="N28" s="3398" t="s">
        <v>3262</v>
      </c>
      <c r="O28" s="3398" t="s">
        <v>3418</v>
      </c>
      <c r="P28" s="3398" t="s">
        <v>1298</v>
      </c>
      <c r="Q28" s="3398" t="s">
        <v>1298</v>
      </c>
      <c r="R28" s="3398" t="s">
        <v>1298</v>
      </c>
      <c r="S28" s="3398" t="s">
        <v>1298</v>
      </c>
      <c r="T28" s="3398" t="s">
        <v>3293</v>
      </c>
      <c r="U28" s="3398" t="s">
        <v>3294</v>
      </c>
      <c r="V28" s="3398" t="s">
        <v>1298</v>
      </c>
      <c r="W28" s="3398" t="s">
        <v>3278</v>
      </c>
      <c r="X28" s="3398" t="s">
        <v>3463</v>
      </c>
      <c r="Y28" s="3398" t="s">
        <v>3464</v>
      </c>
      <c r="Z28" s="3398" t="s">
        <v>3465</v>
      </c>
      <c r="AA28" s="3398" t="s">
        <v>3465</v>
      </c>
      <c r="AB28" s="3398" t="s">
        <v>3462</v>
      </c>
      <c r="AC28" s="3398" t="s">
        <v>3237</v>
      </c>
      <c r="AD28" s="3398" t="s">
        <v>3269</v>
      </c>
      <c r="AE28" s="3398" t="s">
        <v>3270</v>
      </c>
      <c r="AF28" s="3398">
        <v>69000</v>
      </c>
      <c r="AG28" s="3398">
        <v>230000</v>
      </c>
      <c r="AH28" s="3398">
        <v>327500</v>
      </c>
      <c r="AI28" s="3398">
        <v>2059.16</v>
      </c>
      <c r="AJ28" s="3398">
        <v>2932.07</v>
      </c>
      <c r="AK28" s="3398">
        <v>19304.689999999999</v>
      </c>
      <c r="AL28" s="3398">
        <v>27488.2</v>
      </c>
      <c r="AM28" s="3398" t="s">
        <v>1298</v>
      </c>
      <c r="AN28" s="3398" t="s">
        <v>1298</v>
      </c>
      <c r="AO28" s="3398">
        <v>42.39</v>
      </c>
      <c r="AP28" s="3398" t="s">
        <v>3240</v>
      </c>
      <c r="AQ28" s="3398" t="s">
        <v>1298</v>
      </c>
      <c r="AR28" s="3398" t="s">
        <v>1298</v>
      </c>
      <c r="AS28" s="3398" t="s">
        <v>1298</v>
      </c>
      <c r="AT28" s="3398" t="s">
        <v>3284</v>
      </c>
    </row>
    <row r="29" spans="1:46" s="3398" customFormat="1">
      <c r="A29" s="3398" t="s">
        <v>3466</v>
      </c>
      <c r="B29" s="3398" t="s">
        <v>3222</v>
      </c>
      <c r="C29" s="3398" t="s">
        <v>3223</v>
      </c>
      <c r="D29" s="3398" t="s">
        <v>3224</v>
      </c>
      <c r="E29" s="3398" t="s">
        <v>3409</v>
      </c>
      <c r="F29" s="3398" t="s">
        <v>3348</v>
      </c>
      <c r="G29" s="3398" t="s">
        <v>3227</v>
      </c>
      <c r="H29" s="3398" t="s">
        <v>3467</v>
      </c>
      <c r="I29" s="3398" t="s">
        <v>3412</v>
      </c>
      <c r="J29" s="3398">
        <v>39491.11</v>
      </c>
      <c r="K29" s="3398">
        <v>98728</v>
      </c>
      <c r="L29" s="3398">
        <v>2.5</v>
      </c>
      <c r="M29" s="3398" t="s">
        <v>1298</v>
      </c>
      <c r="N29" s="3398" t="s">
        <v>3468</v>
      </c>
      <c r="O29" s="3398" t="s">
        <v>3436</v>
      </c>
      <c r="P29" s="3398" t="s">
        <v>1298</v>
      </c>
      <c r="Q29" s="3398" t="s">
        <v>1298</v>
      </c>
      <c r="R29" s="3398" t="s">
        <v>1298</v>
      </c>
      <c r="S29" s="3398" t="s">
        <v>1298</v>
      </c>
      <c r="T29" s="3398" t="s">
        <v>3293</v>
      </c>
      <c r="U29" s="3398" t="s">
        <v>3294</v>
      </c>
      <c r="V29" s="3398" t="s">
        <v>1298</v>
      </c>
      <c r="W29" s="3398" t="s">
        <v>3469</v>
      </c>
      <c r="X29" s="3398" t="s">
        <v>3470</v>
      </c>
      <c r="Y29" s="3398" t="s">
        <v>3471</v>
      </c>
      <c r="Z29" s="3398" t="s">
        <v>3472</v>
      </c>
      <c r="AA29" s="3398" t="s">
        <v>3472</v>
      </c>
      <c r="AB29" s="3398" t="s">
        <v>3467</v>
      </c>
      <c r="AC29" s="3398" t="s">
        <v>3237</v>
      </c>
      <c r="AD29" s="3398" t="s">
        <v>3473</v>
      </c>
      <c r="AE29" s="3398" t="s">
        <v>3345</v>
      </c>
      <c r="AF29" s="3398">
        <v>72000</v>
      </c>
      <c r="AG29" s="3398">
        <v>266000</v>
      </c>
      <c r="AH29" s="3398">
        <v>302500</v>
      </c>
      <c r="AI29" s="3398">
        <v>4490.46</v>
      </c>
      <c r="AJ29" s="3398">
        <v>5106.63</v>
      </c>
      <c r="AK29" s="3398">
        <v>26942.7</v>
      </c>
      <c r="AL29" s="3398">
        <v>30639.74</v>
      </c>
      <c r="AM29" s="3398" t="s">
        <v>1298</v>
      </c>
      <c r="AN29" s="3398" t="s">
        <v>1298</v>
      </c>
      <c r="AO29" s="3398">
        <v>13.72</v>
      </c>
      <c r="AP29" s="3398" t="s">
        <v>3240</v>
      </c>
      <c r="AQ29" s="3398" t="s">
        <v>1298</v>
      </c>
      <c r="AR29" s="3398" t="s">
        <v>1298</v>
      </c>
      <c r="AS29" s="3398" t="s">
        <v>1298</v>
      </c>
      <c r="AT29" s="3398" t="s">
        <v>3256</v>
      </c>
    </row>
    <row r="30" spans="1:46" s="3398" customFormat="1" hidden="1">
      <c r="A30" s="3398" t="s">
        <v>3474</v>
      </c>
      <c r="B30" s="3398" t="s">
        <v>3222</v>
      </c>
      <c r="C30" s="3398" t="s">
        <v>3286</v>
      </c>
      <c r="D30" s="3398" t="s">
        <v>3224</v>
      </c>
      <c r="E30" s="3398" t="s">
        <v>3475</v>
      </c>
      <c r="F30" s="3398" t="s">
        <v>3348</v>
      </c>
      <c r="G30" s="3398" t="s">
        <v>3476</v>
      </c>
      <c r="H30" s="3398" t="s">
        <v>3477</v>
      </c>
      <c r="I30" s="3398" t="s">
        <v>3290</v>
      </c>
      <c r="J30" s="3398">
        <v>20291.37</v>
      </c>
      <c r="K30" s="3398">
        <v>36524</v>
      </c>
      <c r="L30" s="3398">
        <v>1.8</v>
      </c>
      <c r="M30" s="3398" t="s">
        <v>1298</v>
      </c>
      <c r="N30" s="3398" t="s">
        <v>3478</v>
      </c>
      <c r="O30" s="3398" t="s">
        <v>3418</v>
      </c>
      <c r="P30" s="3398" t="s">
        <v>1298</v>
      </c>
      <c r="Q30" s="3398" t="s">
        <v>1298</v>
      </c>
      <c r="R30" s="3398" t="s">
        <v>1298</v>
      </c>
      <c r="S30" s="3398" t="s">
        <v>3479</v>
      </c>
      <c r="T30" s="3398" t="s">
        <v>3232</v>
      </c>
      <c r="U30" s="3398" t="s">
        <v>3232</v>
      </c>
      <c r="V30" s="3398" t="s">
        <v>1298</v>
      </c>
      <c r="W30" s="3398" t="s">
        <v>3469</v>
      </c>
      <c r="X30" s="3398" t="s">
        <v>3470</v>
      </c>
      <c r="Y30" s="3398" t="s">
        <v>3480</v>
      </c>
      <c r="Z30" s="3398" t="s">
        <v>3480</v>
      </c>
      <c r="AA30" s="3398" t="s">
        <v>3480</v>
      </c>
      <c r="AB30" s="3398" t="s">
        <v>3477</v>
      </c>
      <c r="AC30" s="3398" t="s">
        <v>3237</v>
      </c>
      <c r="AD30" s="3398" t="s">
        <v>3481</v>
      </c>
      <c r="AE30" s="3398" t="s">
        <v>3481</v>
      </c>
      <c r="AF30" s="3398">
        <v>19000</v>
      </c>
      <c r="AG30" s="3398" t="s">
        <v>1298</v>
      </c>
      <c r="AH30" s="3398">
        <v>62800</v>
      </c>
      <c r="AI30" s="3398" t="s">
        <v>1298</v>
      </c>
      <c r="AJ30" s="3398">
        <v>2063.27</v>
      </c>
      <c r="AK30" s="3398" t="s">
        <v>1298</v>
      </c>
      <c r="AL30" s="3398">
        <v>17194.16</v>
      </c>
      <c r="AM30" s="3398" t="s">
        <v>1298</v>
      </c>
      <c r="AN30" s="3398" t="s">
        <v>1298</v>
      </c>
      <c r="AO30" s="3398" t="s">
        <v>1298</v>
      </c>
      <c r="AP30" s="3398" t="s">
        <v>3240</v>
      </c>
      <c r="AQ30" s="3398" t="s">
        <v>1298</v>
      </c>
      <c r="AR30" s="3398" t="s">
        <v>1298</v>
      </c>
      <c r="AS30" s="3398" t="s">
        <v>1298</v>
      </c>
      <c r="AT30" s="3398" t="s">
        <v>3256</v>
      </c>
    </row>
    <row r="31" spans="1:46" s="3398" customFormat="1" hidden="1">
      <c r="A31" s="3398" t="s">
        <v>3482</v>
      </c>
      <c r="B31" s="3398" t="s">
        <v>3222</v>
      </c>
      <c r="C31" s="3398" t="s">
        <v>3286</v>
      </c>
      <c r="D31" s="3398" t="s">
        <v>3224</v>
      </c>
      <c r="E31" s="3398" t="s">
        <v>3448</v>
      </c>
      <c r="F31" s="3398" t="s">
        <v>3449</v>
      </c>
      <c r="G31" s="3398" t="s">
        <v>3227</v>
      </c>
      <c r="H31" s="3398" t="s">
        <v>3483</v>
      </c>
      <c r="I31" s="3398" t="s">
        <v>3290</v>
      </c>
      <c r="J31" s="3398">
        <v>95947</v>
      </c>
      <c r="K31" s="3398">
        <v>211083</v>
      </c>
      <c r="L31" s="3398">
        <v>2.2000000000000002</v>
      </c>
      <c r="M31" s="3398" t="s">
        <v>1298</v>
      </c>
      <c r="N31" s="3398" t="s">
        <v>3262</v>
      </c>
      <c r="O31" s="3398" t="s">
        <v>3460</v>
      </c>
      <c r="P31" s="3398" t="s">
        <v>1298</v>
      </c>
      <c r="Q31" s="3398" t="s">
        <v>1298</v>
      </c>
      <c r="R31" s="3398" t="s">
        <v>1298</v>
      </c>
      <c r="S31" s="3398" t="s">
        <v>3484</v>
      </c>
      <c r="T31" s="3398" t="s">
        <v>3232</v>
      </c>
      <c r="U31" s="3398" t="s">
        <v>3232</v>
      </c>
      <c r="V31" s="3398" t="s">
        <v>1298</v>
      </c>
      <c r="W31" s="3398" t="s">
        <v>3469</v>
      </c>
      <c r="X31" s="3398" t="s">
        <v>3485</v>
      </c>
      <c r="Y31" s="3398" t="s">
        <v>3486</v>
      </c>
      <c r="Z31" s="3398" t="s">
        <v>3487</v>
      </c>
      <c r="AA31" s="3398" t="s">
        <v>3487</v>
      </c>
      <c r="AB31" s="3398" t="s">
        <v>3483</v>
      </c>
      <c r="AC31" s="3398" t="s">
        <v>3237</v>
      </c>
      <c r="AD31" s="3398" t="s">
        <v>3488</v>
      </c>
      <c r="AE31" s="3398" t="s">
        <v>3489</v>
      </c>
      <c r="AF31" s="3398">
        <v>110000</v>
      </c>
      <c r="AG31" s="3398">
        <v>370000</v>
      </c>
      <c r="AH31" s="3398">
        <v>370000</v>
      </c>
      <c r="AI31" s="3398">
        <v>2570.86</v>
      </c>
      <c r="AJ31" s="3398">
        <v>2570.86</v>
      </c>
      <c r="AK31" s="3398">
        <v>17528.650000000001</v>
      </c>
      <c r="AL31" s="3398">
        <v>17528.650000000001</v>
      </c>
      <c r="AM31" s="3398" t="s">
        <v>1298</v>
      </c>
      <c r="AN31" s="3398" t="s">
        <v>1298</v>
      </c>
      <c r="AO31" s="3398">
        <v>0</v>
      </c>
      <c r="AP31" s="3398" t="s">
        <v>3240</v>
      </c>
      <c r="AQ31" s="3398" t="s">
        <v>1298</v>
      </c>
      <c r="AR31" s="3398" t="s">
        <v>1298</v>
      </c>
      <c r="AS31" s="3398" t="s">
        <v>1298</v>
      </c>
      <c r="AT31" s="3398" t="s">
        <v>3284</v>
      </c>
    </row>
    <row r="32" spans="1:46" s="3398" customFormat="1" hidden="1">
      <c r="A32" s="3398" t="s">
        <v>3490</v>
      </c>
      <c r="B32" s="3398" t="s">
        <v>3222</v>
      </c>
      <c r="C32" s="3398" t="s">
        <v>3223</v>
      </c>
      <c r="D32" s="3398" t="s">
        <v>3224</v>
      </c>
      <c r="E32" s="3398" t="s">
        <v>3491</v>
      </c>
      <c r="F32" s="3398" t="s">
        <v>3348</v>
      </c>
      <c r="G32" s="3398" t="s">
        <v>3227</v>
      </c>
      <c r="H32" s="3398" t="s">
        <v>3492</v>
      </c>
      <c r="I32" s="3398" t="s">
        <v>3493</v>
      </c>
      <c r="J32" s="3398">
        <v>90424</v>
      </c>
      <c r="K32" s="3398">
        <v>220105</v>
      </c>
      <c r="L32" s="3398">
        <v>2.4300000000000002</v>
      </c>
      <c r="M32" s="3398" t="s">
        <v>1298</v>
      </c>
      <c r="N32" s="3398" t="s">
        <v>3494</v>
      </c>
      <c r="O32" s="3398" t="s">
        <v>3495</v>
      </c>
      <c r="P32" s="3398" t="s">
        <v>1298</v>
      </c>
      <c r="Q32" s="3398" t="s">
        <v>1298</v>
      </c>
      <c r="R32" s="3398" t="s">
        <v>1298</v>
      </c>
      <c r="S32" s="3398" t="s">
        <v>1298</v>
      </c>
      <c r="T32" s="3398" t="s">
        <v>3496</v>
      </c>
      <c r="U32" s="3398" t="s">
        <v>3294</v>
      </c>
      <c r="V32" s="3398" t="s">
        <v>1298</v>
      </c>
      <c r="W32" s="3398" t="s">
        <v>3469</v>
      </c>
      <c r="X32" s="3398" t="s">
        <v>3497</v>
      </c>
      <c r="Y32" s="3398" t="s">
        <v>3498</v>
      </c>
      <c r="Z32" s="3398" t="s">
        <v>3499</v>
      </c>
      <c r="AA32" s="3398" t="s">
        <v>3499</v>
      </c>
      <c r="AB32" s="3398" t="s">
        <v>3492</v>
      </c>
      <c r="AC32" s="3398" t="s">
        <v>3237</v>
      </c>
      <c r="AD32" s="3398" t="s">
        <v>3500</v>
      </c>
      <c r="AE32" s="3398" t="s">
        <v>3415</v>
      </c>
      <c r="AF32" s="3398">
        <v>110000</v>
      </c>
      <c r="AG32" s="3398">
        <v>360000</v>
      </c>
      <c r="AH32" s="3398">
        <v>360000</v>
      </c>
      <c r="AI32" s="3398">
        <v>2654.16</v>
      </c>
      <c r="AJ32" s="3398">
        <v>2654.16</v>
      </c>
      <c r="AK32" s="3398">
        <v>16355.82</v>
      </c>
      <c r="AL32" s="3398">
        <v>16355.82</v>
      </c>
      <c r="AM32" s="3398" t="s">
        <v>1298</v>
      </c>
      <c r="AN32" s="3398" t="s">
        <v>1298</v>
      </c>
      <c r="AO32" s="3398">
        <v>0</v>
      </c>
      <c r="AP32" s="3398" t="s">
        <v>3240</v>
      </c>
      <c r="AQ32" s="3398" t="s">
        <v>1298</v>
      </c>
      <c r="AR32" s="3398" t="s">
        <v>1298</v>
      </c>
      <c r="AS32" s="3398" t="s">
        <v>1298</v>
      </c>
      <c r="AT32" s="3398" t="s">
        <v>3256</v>
      </c>
    </row>
    <row r="33" spans="1:46" s="3398" customFormat="1" hidden="1">
      <c r="A33" s="3398" t="s">
        <v>3501</v>
      </c>
      <c r="B33" s="3398" t="s">
        <v>3222</v>
      </c>
      <c r="C33" s="3398" t="s">
        <v>3223</v>
      </c>
      <c r="D33" s="3398" t="s">
        <v>3224</v>
      </c>
      <c r="E33" s="3398" t="s">
        <v>3225</v>
      </c>
      <c r="F33" s="3398" t="s">
        <v>3502</v>
      </c>
      <c r="G33" s="3398" t="s">
        <v>3227</v>
      </c>
      <c r="H33" s="3398" t="s">
        <v>3503</v>
      </c>
      <c r="I33" s="3398" t="s">
        <v>3332</v>
      </c>
      <c r="J33" s="3398">
        <v>37662.699999999997</v>
      </c>
      <c r="K33" s="3398">
        <v>69250.399999999994</v>
      </c>
      <c r="L33" s="3398">
        <v>1.84</v>
      </c>
      <c r="M33" s="3398" t="s">
        <v>1298</v>
      </c>
      <c r="N33" s="3398" t="s">
        <v>3451</v>
      </c>
      <c r="O33" s="3398" t="s">
        <v>3504</v>
      </c>
      <c r="P33" s="3398" t="s">
        <v>1298</v>
      </c>
      <c r="Q33" s="3398" t="s">
        <v>1298</v>
      </c>
      <c r="R33" s="3398" t="s">
        <v>1298</v>
      </c>
      <c r="S33" s="3398" t="s">
        <v>1298</v>
      </c>
      <c r="T33" s="3398" t="s">
        <v>3293</v>
      </c>
      <c r="U33" s="3398" t="s">
        <v>3505</v>
      </c>
      <c r="V33" s="3398" t="s">
        <v>1298</v>
      </c>
      <c r="W33" s="3398" t="s">
        <v>3469</v>
      </c>
      <c r="X33" s="3398" t="s">
        <v>3506</v>
      </c>
      <c r="Y33" s="3398" t="s">
        <v>3507</v>
      </c>
      <c r="Z33" s="3398" t="s">
        <v>3508</v>
      </c>
      <c r="AA33" s="3398" t="s">
        <v>3508</v>
      </c>
      <c r="AB33" s="3398" t="s">
        <v>3503</v>
      </c>
      <c r="AC33" s="3398" t="s">
        <v>3237</v>
      </c>
      <c r="AD33" s="3398" t="s">
        <v>3509</v>
      </c>
      <c r="AE33" s="3398" t="s">
        <v>3441</v>
      </c>
      <c r="AF33" s="3398">
        <v>55000</v>
      </c>
      <c r="AG33" s="3398">
        <v>181000</v>
      </c>
      <c r="AH33" s="3398">
        <v>246000</v>
      </c>
      <c r="AI33" s="3398">
        <v>3203.88</v>
      </c>
      <c r="AJ33" s="3398">
        <v>4354.4399999999996</v>
      </c>
      <c r="AK33" s="3398">
        <v>26137.03</v>
      </c>
      <c r="AL33" s="3398">
        <v>35523.26</v>
      </c>
      <c r="AM33" s="3398" t="s">
        <v>1298</v>
      </c>
      <c r="AN33" s="3398" t="s">
        <v>1298</v>
      </c>
      <c r="AO33" s="3398">
        <v>35.909999999999997</v>
      </c>
      <c r="AP33" s="3398" t="s">
        <v>3240</v>
      </c>
      <c r="AQ33" s="3398" t="s">
        <v>1298</v>
      </c>
      <c r="AR33" s="3398">
        <v>22</v>
      </c>
      <c r="AS33" s="3398" t="s">
        <v>1298</v>
      </c>
      <c r="AT33" s="3398" t="s">
        <v>3241</v>
      </c>
    </row>
    <row r="34" spans="1:46" s="3398" customFormat="1" hidden="1">
      <c r="A34" s="3398" t="s">
        <v>3510</v>
      </c>
      <c r="B34" s="3398" t="s">
        <v>3222</v>
      </c>
      <c r="C34" s="3398" t="s">
        <v>3223</v>
      </c>
      <c r="D34" s="3398" t="s">
        <v>3224</v>
      </c>
      <c r="E34" s="3398" t="s">
        <v>3225</v>
      </c>
      <c r="F34" s="3398" t="s">
        <v>3511</v>
      </c>
      <c r="G34" s="3398" t="s">
        <v>3227</v>
      </c>
      <c r="H34" s="3398" t="s">
        <v>3512</v>
      </c>
      <c r="I34" s="3398" t="s">
        <v>3301</v>
      </c>
      <c r="J34" s="3398">
        <v>48377.1</v>
      </c>
      <c r="K34" s="3398">
        <v>87296.2</v>
      </c>
      <c r="L34" s="3398">
        <v>1.8</v>
      </c>
      <c r="M34" s="3398" t="s">
        <v>1298</v>
      </c>
      <c r="N34" s="3398" t="s">
        <v>3262</v>
      </c>
      <c r="O34" s="3398" t="s">
        <v>3513</v>
      </c>
      <c r="P34" s="3398" t="s">
        <v>1298</v>
      </c>
      <c r="Q34" s="3398" t="s">
        <v>1298</v>
      </c>
      <c r="R34" s="3398" t="s">
        <v>1298</v>
      </c>
      <c r="S34" s="3398" t="s">
        <v>3514</v>
      </c>
      <c r="T34" s="3398" t="s">
        <v>3232</v>
      </c>
      <c r="U34" s="3398" t="s">
        <v>3232</v>
      </c>
      <c r="V34" s="3398" t="s">
        <v>1298</v>
      </c>
      <c r="W34" s="3398" t="s">
        <v>3469</v>
      </c>
      <c r="X34" s="3398" t="s">
        <v>3506</v>
      </c>
      <c r="Y34" s="3398" t="s">
        <v>3507</v>
      </c>
      <c r="Z34" s="3398" t="s">
        <v>3508</v>
      </c>
      <c r="AA34" s="3398" t="s">
        <v>3508</v>
      </c>
      <c r="AB34" s="3398" t="s">
        <v>3512</v>
      </c>
      <c r="AC34" s="3398" t="s">
        <v>3237</v>
      </c>
      <c r="AD34" s="3398" t="s">
        <v>3515</v>
      </c>
      <c r="AE34" s="3398" t="s">
        <v>3515</v>
      </c>
      <c r="AF34" s="3398">
        <v>48000</v>
      </c>
      <c r="AG34" s="3398">
        <v>160000</v>
      </c>
      <c r="AH34" s="3398">
        <v>222000</v>
      </c>
      <c r="AI34" s="3398">
        <v>2204.9</v>
      </c>
      <c r="AJ34" s="3398">
        <v>3059.3</v>
      </c>
      <c r="AK34" s="3398">
        <v>18328.400000000001</v>
      </c>
      <c r="AL34" s="3398">
        <v>25430.65</v>
      </c>
      <c r="AM34" s="3398" t="s">
        <v>1298</v>
      </c>
      <c r="AN34" s="3398" t="s">
        <v>1298</v>
      </c>
      <c r="AO34" s="3398">
        <v>38.75</v>
      </c>
      <c r="AP34" s="3398" t="s">
        <v>3240</v>
      </c>
      <c r="AQ34" s="3398" t="s">
        <v>1298</v>
      </c>
      <c r="AR34" s="3398" t="s">
        <v>1298</v>
      </c>
      <c r="AS34" s="3398" t="s">
        <v>1298</v>
      </c>
      <c r="AT34" s="3398" t="s">
        <v>3241</v>
      </c>
    </row>
    <row r="35" spans="1:46" s="3398" customFormat="1" hidden="1">
      <c r="A35" s="3398" t="s">
        <v>3516</v>
      </c>
      <c r="B35" s="3398" t="s">
        <v>3222</v>
      </c>
      <c r="C35" s="3398" t="s">
        <v>3286</v>
      </c>
      <c r="D35" s="3398" t="s">
        <v>3224</v>
      </c>
      <c r="E35" s="3398" t="s">
        <v>3225</v>
      </c>
      <c r="F35" s="3398" t="s">
        <v>3517</v>
      </c>
      <c r="G35" s="3398" t="s">
        <v>3227</v>
      </c>
      <c r="H35" s="3398" t="s">
        <v>3518</v>
      </c>
      <c r="I35" s="3398" t="s">
        <v>3290</v>
      </c>
      <c r="J35" s="3398">
        <v>92065.1</v>
      </c>
      <c r="K35" s="3398">
        <v>165717.20000000001</v>
      </c>
      <c r="L35" s="3398">
        <v>1.8</v>
      </c>
      <c r="M35" s="3398" t="s">
        <v>1298</v>
      </c>
      <c r="N35" s="3398" t="s">
        <v>3262</v>
      </c>
      <c r="O35" s="3398" t="s">
        <v>3519</v>
      </c>
      <c r="P35" s="3398" t="s">
        <v>1298</v>
      </c>
      <c r="Q35" s="3398" t="s">
        <v>1298</v>
      </c>
      <c r="R35" s="3398" t="s">
        <v>1298</v>
      </c>
      <c r="S35" s="3398" t="s">
        <v>1298</v>
      </c>
      <c r="T35" s="3398" t="s">
        <v>3293</v>
      </c>
      <c r="U35" s="3398" t="s">
        <v>3505</v>
      </c>
      <c r="V35" s="3398" t="s">
        <v>1298</v>
      </c>
      <c r="W35" s="3398" t="s">
        <v>3469</v>
      </c>
      <c r="X35" s="3398" t="s">
        <v>3520</v>
      </c>
      <c r="Y35" s="3398" t="s">
        <v>3506</v>
      </c>
      <c r="Z35" s="3398" t="s">
        <v>3507</v>
      </c>
      <c r="AA35" s="3398" t="s">
        <v>3507</v>
      </c>
      <c r="AB35" s="3398" t="s">
        <v>3521</v>
      </c>
      <c r="AC35" s="3398" t="s">
        <v>3237</v>
      </c>
      <c r="AD35" s="3398" t="s">
        <v>3522</v>
      </c>
      <c r="AE35" s="3398" t="s">
        <v>3523</v>
      </c>
      <c r="AF35" s="3398">
        <v>140000</v>
      </c>
      <c r="AG35" s="3398">
        <v>464000</v>
      </c>
      <c r="AH35" s="3398">
        <v>629000</v>
      </c>
      <c r="AI35" s="3398">
        <v>3359.94</v>
      </c>
      <c r="AJ35" s="3398">
        <v>4554.75</v>
      </c>
      <c r="AK35" s="3398">
        <v>27999.5</v>
      </c>
      <c r="AL35" s="3398">
        <v>37956.230000000003</v>
      </c>
      <c r="AM35" s="3398" t="s">
        <v>1298</v>
      </c>
      <c r="AN35" s="3398" t="s">
        <v>1298</v>
      </c>
      <c r="AO35" s="3398">
        <v>35.56</v>
      </c>
      <c r="AP35" s="3398" t="s">
        <v>3240</v>
      </c>
      <c r="AQ35" s="3398" t="s">
        <v>1298</v>
      </c>
      <c r="AR35" s="3398">
        <v>2</v>
      </c>
      <c r="AS35" s="3398" t="s">
        <v>1298</v>
      </c>
      <c r="AT35" s="3398" t="s">
        <v>3241</v>
      </c>
    </row>
    <row r="36" spans="1:46" s="3398" customFormat="1" hidden="1">
      <c r="A36" s="3398" t="s">
        <v>3524</v>
      </c>
      <c r="B36" s="3398" t="s">
        <v>3222</v>
      </c>
      <c r="C36" s="3398" t="s">
        <v>3223</v>
      </c>
      <c r="D36" s="3398" t="s">
        <v>3224</v>
      </c>
      <c r="E36" s="3398" t="s">
        <v>1298</v>
      </c>
      <c r="F36" s="3398" t="s">
        <v>3525</v>
      </c>
      <c r="G36" s="3398" t="s">
        <v>3227</v>
      </c>
      <c r="H36" s="3398" t="s">
        <v>3526</v>
      </c>
      <c r="I36" s="3398" t="s">
        <v>3527</v>
      </c>
      <c r="J36" s="3398">
        <v>76286.2</v>
      </c>
      <c r="K36" s="3398">
        <v>181983.1</v>
      </c>
      <c r="L36" s="3398">
        <v>2.5</v>
      </c>
      <c r="M36" s="3398" t="s">
        <v>1298</v>
      </c>
      <c r="N36" s="3398" t="s">
        <v>1298</v>
      </c>
      <c r="O36" s="3398" t="s">
        <v>1298</v>
      </c>
      <c r="P36" s="3398" t="s">
        <v>1298</v>
      </c>
      <c r="Q36" s="3398" t="s">
        <v>1298</v>
      </c>
      <c r="R36" s="3398" t="s">
        <v>1298</v>
      </c>
      <c r="S36" s="3398" t="s">
        <v>1298</v>
      </c>
      <c r="T36" s="3398" t="s">
        <v>3293</v>
      </c>
      <c r="U36" s="3398" t="s">
        <v>3294</v>
      </c>
      <c r="V36" s="3398" t="s">
        <v>1298</v>
      </c>
      <c r="W36" s="3398" t="s">
        <v>3469</v>
      </c>
      <c r="X36" s="3398" t="s">
        <v>3528</v>
      </c>
      <c r="Y36" s="3398" t="s">
        <v>3529</v>
      </c>
      <c r="Z36" s="3398" t="s">
        <v>3530</v>
      </c>
      <c r="AA36" s="3398" t="s">
        <v>3530</v>
      </c>
      <c r="AB36" s="3398" t="s">
        <v>3526</v>
      </c>
      <c r="AC36" s="3398" t="s">
        <v>3237</v>
      </c>
      <c r="AD36" s="3398" t="s">
        <v>3531</v>
      </c>
      <c r="AE36" s="3398" t="s">
        <v>3532</v>
      </c>
      <c r="AF36" s="3398">
        <v>144000</v>
      </c>
      <c r="AG36" s="3398">
        <v>478000</v>
      </c>
      <c r="AH36" s="3398">
        <v>716500</v>
      </c>
      <c r="AI36" s="3398">
        <v>4177.25</v>
      </c>
      <c r="AJ36" s="3398">
        <v>6261.51</v>
      </c>
      <c r="AK36" s="3398">
        <v>26266.17</v>
      </c>
      <c r="AL36" s="3398">
        <v>39371.79</v>
      </c>
      <c r="AM36" s="3398" t="s">
        <v>1298</v>
      </c>
      <c r="AN36" s="3398" t="s">
        <v>1298</v>
      </c>
      <c r="AO36" s="3398">
        <v>49.9</v>
      </c>
      <c r="AP36" s="3398" t="s">
        <v>3240</v>
      </c>
      <c r="AQ36" s="3398" t="s">
        <v>1298</v>
      </c>
      <c r="AR36" s="3398" t="s">
        <v>1298</v>
      </c>
      <c r="AS36" s="3398" t="s">
        <v>1298</v>
      </c>
      <c r="AT36" s="3398" t="s">
        <v>3256</v>
      </c>
    </row>
    <row r="37" spans="1:46" s="3398" customFormat="1" hidden="1">
      <c r="A37" s="3398" t="s">
        <v>3533</v>
      </c>
      <c r="B37" s="3398" t="s">
        <v>3222</v>
      </c>
      <c r="C37" s="3398" t="s">
        <v>3223</v>
      </c>
      <c r="D37" s="3398" t="s">
        <v>3224</v>
      </c>
      <c r="E37" s="3398" t="s">
        <v>3475</v>
      </c>
      <c r="F37" s="3398" t="s">
        <v>3534</v>
      </c>
      <c r="G37" s="3398" t="s">
        <v>3227</v>
      </c>
      <c r="H37" s="3398" t="s">
        <v>3535</v>
      </c>
      <c r="I37" s="3398" t="s">
        <v>3412</v>
      </c>
      <c r="J37" s="3398">
        <v>28212.35</v>
      </c>
      <c r="K37" s="3398">
        <v>70531</v>
      </c>
      <c r="L37" s="3398">
        <v>2.5</v>
      </c>
      <c r="M37" s="3398" t="s">
        <v>1298</v>
      </c>
      <c r="N37" s="3398" t="s">
        <v>3262</v>
      </c>
      <c r="O37" s="3398" t="s">
        <v>3436</v>
      </c>
      <c r="P37" s="3398" t="s">
        <v>1298</v>
      </c>
      <c r="Q37" s="3398" t="s">
        <v>1298</v>
      </c>
      <c r="R37" s="3398" t="s">
        <v>1298</v>
      </c>
      <c r="S37" s="3398" t="s">
        <v>1298</v>
      </c>
      <c r="T37" s="3398" t="s">
        <v>3293</v>
      </c>
      <c r="U37" s="3398" t="s">
        <v>3294</v>
      </c>
      <c r="V37" s="3398" t="s">
        <v>1298</v>
      </c>
      <c r="W37" s="3398" t="s">
        <v>3469</v>
      </c>
      <c r="X37" s="3398" t="s">
        <v>3536</v>
      </c>
      <c r="Y37" s="3398" t="s">
        <v>3537</v>
      </c>
      <c r="Z37" s="3398" t="s">
        <v>3538</v>
      </c>
      <c r="AA37" s="3398" t="s">
        <v>3538</v>
      </c>
      <c r="AB37" s="3398" t="s">
        <v>3535</v>
      </c>
      <c r="AC37" s="3398" t="s">
        <v>3237</v>
      </c>
      <c r="AD37" s="3398" t="s">
        <v>3539</v>
      </c>
      <c r="AE37" s="3398" t="s">
        <v>3540</v>
      </c>
      <c r="AF37" s="3398">
        <v>57000</v>
      </c>
      <c r="AG37" s="3398">
        <v>190000</v>
      </c>
      <c r="AH37" s="3398">
        <v>270000</v>
      </c>
      <c r="AI37" s="3398">
        <v>4489.76</v>
      </c>
      <c r="AJ37" s="3398">
        <v>6380.18</v>
      </c>
      <c r="AK37" s="3398">
        <v>26938.5</v>
      </c>
      <c r="AL37" s="3398">
        <v>38281.040000000001</v>
      </c>
      <c r="AM37" s="3398" t="s">
        <v>1298</v>
      </c>
      <c r="AN37" s="3398" t="s">
        <v>1298</v>
      </c>
      <c r="AO37" s="3398">
        <v>42.11</v>
      </c>
      <c r="AP37" s="3398" t="s">
        <v>3240</v>
      </c>
      <c r="AQ37" s="3398" t="s">
        <v>1298</v>
      </c>
      <c r="AR37" s="3398" t="s">
        <v>1298</v>
      </c>
      <c r="AS37" s="3398" t="s">
        <v>1298</v>
      </c>
      <c r="AT37" s="3398" t="s">
        <v>3322</v>
      </c>
    </row>
    <row r="38" spans="1:46" s="3398" customFormat="1" hidden="1">
      <c r="A38" s="3398" t="s">
        <v>3541</v>
      </c>
      <c r="B38" s="3398" t="s">
        <v>3222</v>
      </c>
      <c r="C38" s="3398" t="s">
        <v>3223</v>
      </c>
      <c r="D38" s="3398" t="s">
        <v>3224</v>
      </c>
      <c r="E38" s="3398" t="s">
        <v>3225</v>
      </c>
      <c r="F38" s="3398" t="s">
        <v>3226</v>
      </c>
      <c r="G38" s="3398" t="s">
        <v>3227</v>
      </c>
      <c r="H38" s="3398" t="s">
        <v>3542</v>
      </c>
      <c r="I38" s="3398" t="s">
        <v>3332</v>
      </c>
      <c r="J38" s="3398">
        <v>75065.42</v>
      </c>
      <c r="K38" s="3398">
        <v>133506</v>
      </c>
      <c r="L38" s="3398" t="s">
        <v>3543</v>
      </c>
      <c r="M38" s="3398" t="s">
        <v>1298</v>
      </c>
      <c r="N38" s="3398" t="s">
        <v>3262</v>
      </c>
      <c r="O38" s="3398" t="s">
        <v>1298</v>
      </c>
      <c r="P38" s="3398" t="s">
        <v>1298</v>
      </c>
      <c r="Q38" s="3398" t="s">
        <v>1298</v>
      </c>
      <c r="R38" s="3398" t="s">
        <v>1298</v>
      </c>
      <c r="S38" s="3398" t="s">
        <v>1298</v>
      </c>
      <c r="T38" s="3398" t="s">
        <v>3293</v>
      </c>
      <c r="U38" s="3398" t="s">
        <v>3505</v>
      </c>
      <c r="V38" s="3398" t="s">
        <v>1298</v>
      </c>
      <c r="W38" s="3398" t="s">
        <v>3469</v>
      </c>
      <c r="X38" s="3398" t="s">
        <v>3544</v>
      </c>
      <c r="Y38" s="3398" t="s">
        <v>3545</v>
      </c>
      <c r="Z38" s="3398" t="s">
        <v>3546</v>
      </c>
      <c r="AA38" s="3398" t="s">
        <v>3546</v>
      </c>
      <c r="AB38" s="3398" t="s">
        <v>3542</v>
      </c>
      <c r="AC38" s="3398" t="s">
        <v>3237</v>
      </c>
      <c r="AD38" s="3398" t="s">
        <v>3547</v>
      </c>
      <c r="AE38" s="3398" t="s">
        <v>3548</v>
      </c>
      <c r="AF38" s="3398">
        <v>96000</v>
      </c>
      <c r="AG38" s="3398">
        <v>320000</v>
      </c>
      <c r="AH38" s="3398">
        <v>479000</v>
      </c>
      <c r="AI38" s="3398">
        <v>2841.97</v>
      </c>
      <c r="AJ38" s="3398">
        <v>4254.07</v>
      </c>
      <c r="AK38" s="3398">
        <v>23968.95</v>
      </c>
      <c r="AL38" s="3398">
        <v>35878.54</v>
      </c>
      <c r="AM38" s="3398" t="s">
        <v>1298</v>
      </c>
      <c r="AN38" s="3398" t="s">
        <v>1298</v>
      </c>
      <c r="AO38" s="3398">
        <v>49.69</v>
      </c>
      <c r="AP38" s="3398" t="s">
        <v>3240</v>
      </c>
      <c r="AQ38" s="3398" t="s">
        <v>1298</v>
      </c>
      <c r="AR38" s="3398">
        <v>26</v>
      </c>
      <c r="AS38" s="3398" t="s">
        <v>1298</v>
      </c>
      <c r="AT38" s="3398" t="s">
        <v>3256</v>
      </c>
    </row>
    <row r="39" spans="1:46" s="3398" customFormat="1" hidden="1">
      <c r="A39" s="3398" t="s">
        <v>3549</v>
      </c>
      <c r="B39" s="3398" t="s">
        <v>3222</v>
      </c>
      <c r="C39" s="3398" t="s">
        <v>3223</v>
      </c>
      <c r="D39" s="3398" t="s">
        <v>3224</v>
      </c>
      <c r="E39" s="3398" t="s">
        <v>3475</v>
      </c>
      <c r="F39" s="3398" t="s">
        <v>3534</v>
      </c>
      <c r="G39" s="3398" t="s">
        <v>3227</v>
      </c>
      <c r="H39" s="3398" t="s">
        <v>3550</v>
      </c>
      <c r="I39" s="3398" t="s">
        <v>3412</v>
      </c>
      <c r="J39" s="3398">
        <v>22717.91</v>
      </c>
      <c r="K39" s="3398">
        <v>56795</v>
      </c>
      <c r="L39" s="3398">
        <v>2.5</v>
      </c>
      <c r="M39" s="3398" t="s">
        <v>1298</v>
      </c>
      <c r="N39" s="3398" t="s">
        <v>3262</v>
      </c>
      <c r="O39" s="3398" t="s">
        <v>3436</v>
      </c>
      <c r="P39" s="3398" t="s">
        <v>1298</v>
      </c>
      <c r="Q39" s="3398" t="s">
        <v>1298</v>
      </c>
      <c r="R39" s="3398" t="s">
        <v>1298</v>
      </c>
      <c r="S39" s="3398" t="s">
        <v>1298</v>
      </c>
      <c r="T39" s="3398" t="s">
        <v>3293</v>
      </c>
      <c r="U39" s="3398" t="s">
        <v>3505</v>
      </c>
      <c r="V39" s="3398" t="s">
        <v>1298</v>
      </c>
      <c r="W39" s="3398" t="s">
        <v>3469</v>
      </c>
      <c r="X39" s="3398" t="s">
        <v>3544</v>
      </c>
      <c r="Y39" s="3398" t="s">
        <v>3545</v>
      </c>
      <c r="Z39" s="3398" t="s">
        <v>3546</v>
      </c>
      <c r="AA39" s="3398" t="s">
        <v>3546</v>
      </c>
      <c r="AB39" s="3398" t="s">
        <v>3550</v>
      </c>
      <c r="AC39" s="3398" t="s">
        <v>3237</v>
      </c>
      <c r="AD39" s="3398" t="s">
        <v>3551</v>
      </c>
      <c r="AE39" s="3398" t="s">
        <v>3552</v>
      </c>
      <c r="AF39" s="3398">
        <v>46000</v>
      </c>
      <c r="AG39" s="3398">
        <v>153000</v>
      </c>
      <c r="AH39" s="3398">
        <v>229000</v>
      </c>
      <c r="AI39" s="3398">
        <v>4489.8500000000004</v>
      </c>
      <c r="AJ39" s="3398">
        <v>6720.1</v>
      </c>
      <c r="AK39" s="3398">
        <v>26938.99</v>
      </c>
      <c r="AL39" s="3398">
        <v>40320.44</v>
      </c>
      <c r="AM39" s="3398" t="s">
        <v>1298</v>
      </c>
      <c r="AN39" s="3398" t="s">
        <v>1298</v>
      </c>
      <c r="AO39" s="3398">
        <v>49.67</v>
      </c>
      <c r="AP39" s="3398" t="s">
        <v>3240</v>
      </c>
      <c r="AQ39" s="3398" t="s">
        <v>1298</v>
      </c>
      <c r="AR39" s="3398">
        <v>6</v>
      </c>
      <c r="AS39" s="3398" t="s">
        <v>1298</v>
      </c>
      <c r="AT39" s="3398" t="s">
        <v>3322</v>
      </c>
    </row>
    <row r="40" spans="1:46" s="3398" customFormat="1" hidden="1">
      <c r="A40" s="3398" t="s">
        <v>3553</v>
      </c>
      <c r="B40" s="3398" t="s">
        <v>3222</v>
      </c>
      <c r="C40" s="3398" t="s">
        <v>3223</v>
      </c>
      <c r="D40" s="3398" t="s">
        <v>3224</v>
      </c>
      <c r="E40" s="3398" t="s">
        <v>3475</v>
      </c>
      <c r="F40" s="3398" t="s">
        <v>3534</v>
      </c>
      <c r="G40" s="3398" t="s">
        <v>3227</v>
      </c>
      <c r="H40" s="3398" t="s">
        <v>3554</v>
      </c>
      <c r="I40" s="3398" t="s">
        <v>3412</v>
      </c>
      <c r="J40" s="3398">
        <v>31048.69</v>
      </c>
      <c r="K40" s="3398">
        <v>77622</v>
      </c>
      <c r="L40" s="3398">
        <v>2.5</v>
      </c>
      <c r="M40" s="3398" t="s">
        <v>3555</v>
      </c>
      <c r="N40" s="3398" t="s">
        <v>3262</v>
      </c>
      <c r="O40" s="3398" t="s">
        <v>3436</v>
      </c>
      <c r="P40" s="3398" t="s">
        <v>1298</v>
      </c>
      <c r="Q40" s="3398" t="s">
        <v>1298</v>
      </c>
      <c r="R40" s="3398" t="s">
        <v>1298</v>
      </c>
      <c r="S40" s="3398" t="s">
        <v>3556</v>
      </c>
      <c r="T40" s="3398" t="s">
        <v>3232</v>
      </c>
      <c r="U40" s="3398" t="s">
        <v>3232</v>
      </c>
      <c r="V40" s="3398" t="s">
        <v>1298</v>
      </c>
      <c r="W40" s="3398" t="s">
        <v>3469</v>
      </c>
      <c r="X40" s="3398" t="s">
        <v>3557</v>
      </c>
      <c r="Y40" s="3398" t="s">
        <v>3558</v>
      </c>
      <c r="Z40" s="3398" t="s">
        <v>3529</v>
      </c>
      <c r="AA40" s="3398" t="s">
        <v>3529</v>
      </c>
      <c r="AB40" s="3398" t="s">
        <v>3554</v>
      </c>
      <c r="AC40" s="3398" t="s">
        <v>3237</v>
      </c>
      <c r="AD40" s="3398" t="s">
        <v>3374</v>
      </c>
      <c r="AE40" s="3398" t="s">
        <v>3559</v>
      </c>
      <c r="AF40" s="3398">
        <v>43500</v>
      </c>
      <c r="AG40" s="3398">
        <v>145000</v>
      </c>
      <c r="AH40" s="3398">
        <v>146500</v>
      </c>
      <c r="AI40" s="3398">
        <v>3113.39</v>
      </c>
      <c r="AJ40" s="3398">
        <v>3145.6</v>
      </c>
      <c r="AK40" s="3398">
        <v>18680.27</v>
      </c>
      <c r="AL40" s="3398">
        <v>18873.52</v>
      </c>
      <c r="AM40" s="3398" t="s">
        <v>1298</v>
      </c>
      <c r="AN40" s="3398" t="s">
        <v>1298</v>
      </c>
      <c r="AO40" s="3398">
        <v>1.03</v>
      </c>
      <c r="AP40" s="3398" t="s">
        <v>3240</v>
      </c>
      <c r="AQ40" s="3398" t="s">
        <v>1298</v>
      </c>
      <c r="AR40" s="3398" t="s">
        <v>1298</v>
      </c>
      <c r="AS40" s="3398" t="s">
        <v>1298</v>
      </c>
      <c r="AT40" s="3398" t="s">
        <v>3322</v>
      </c>
    </row>
    <row r="41" spans="1:46" s="3398" customFormat="1" hidden="1">
      <c r="A41" s="3398" t="s">
        <v>3560</v>
      </c>
      <c r="B41" s="3398" t="s">
        <v>3222</v>
      </c>
      <c r="C41" s="3398" t="s">
        <v>3223</v>
      </c>
      <c r="D41" s="3398" t="s">
        <v>3224</v>
      </c>
      <c r="E41" s="3398" t="s">
        <v>3225</v>
      </c>
      <c r="F41" s="3398" t="s">
        <v>3561</v>
      </c>
      <c r="G41" s="3398" t="s">
        <v>3227</v>
      </c>
      <c r="H41" s="3398" t="s">
        <v>3562</v>
      </c>
      <c r="I41" s="3398" t="s">
        <v>3563</v>
      </c>
      <c r="J41" s="3398">
        <v>40985.61</v>
      </c>
      <c r="K41" s="3398">
        <v>81971</v>
      </c>
      <c r="L41" s="3398">
        <v>2</v>
      </c>
      <c r="M41" s="3398" t="s">
        <v>1298</v>
      </c>
      <c r="N41" s="3398" t="s">
        <v>3555</v>
      </c>
      <c r="O41" s="3398">
        <v>45</v>
      </c>
      <c r="P41" s="3398" t="s">
        <v>1298</v>
      </c>
      <c r="Q41" s="3398" t="s">
        <v>1298</v>
      </c>
      <c r="R41" s="3398" t="s">
        <v>1298</v>
      </c>
      <c r="S41" s="3398" t="s">
        <v>1298</v>
      </c>
      <c r="T41" s="3398" t="s">
        <v>3564</v>
      </c>
      <c r="U41" s="3398" t="s">
        <v>3565</v>
      </c>
      <c r="V41" s="3398" t="s">
        <v>1298</v>
      </c>
      <c r="W41" s="3398" t="s">
        <v>3469</v>
      </c>
      <c r="X41" s="3398" t="s">
        <v>3566</v>
      </c>
      <c r="Y41" s="3398" t="s">
        <v>3567</v>
      </c>
      <c r="Z41" s="3398" t="s">
        <v>3568</v>
      </c>
      <c r="AA41" s="3398" t="s">
        <v>3568</v>
      </c>
      <c r="AB41" s="3398" t="s">
        <v>3562</v>
      </c>
      <c r="AC41" s="3398" t="s">
        <v>3237</v>
      </c>
      <c r="AD41" s="3398" t="s">
        <v>3569</v>
      </c>
      <c r="AE41" s="3398" t="s">
        <v>3559</v>
      </c>
      <c r="AF41" s="3398">
        <v>50000</v>
      </c>
      <c r="AG41" s="3398">
        <v>168000</v>
      </c>
      <c r="AH41" s="3398">
        <v>168000</v>
      </c>
      <c r="AI41" s="3398">
        <v>2732.67</v>
      </c>
      <c r="AJ41" s="3398">
        <v>2732.67</v>
      </c>
      <c r="AK41" s="3398">
        <v>20495.05</v>
      </c>
      <c r="AL41" s="3398">
        <v>20495.04</v>
      </c>
      <c r="AM41" s="3398" t="s">
        <v>1298</v>
      </c>
      <c r="AN41" s="3398" t="s">
        <v>1298</v>
      </c>
      <c r="AO41" s="3398">
        <v>0</v>
      </c>
      <c r="AP41" s="3398" t="s">
        <v>3240</v>
      </c>
      <c r="AQ41" s="3398" t="s">
        <v>1298</v>
      </c>
      <c r="AR41" s="3398" t="s">
        <v>1298</v>
      </c>
      <c r="AS41" s="3398" t="s">
        <v>1298</v>
      </c>
      <c r="AT41" s="3398" t="s">
        <v>3256</v>
      </c>
    </row>
    <row r="42" spans="1:46" s="3398" customFormat="1" hidden="1">
      <c r="A42" s="3398" t="s">
        <v>3570</v>
      </c>
      <c r="B42" s="3398" t="s">
        <v>3222</v>
      </c>
      <c r="C42" s="3398" t="s">
        <v>3286</v>
      </c>
      <c r="D42" s="3398" t="s">
        <v>3224</v>
      </c>
      <c r="E42" s="3398" t="s">
        <v>3225</v>
      </c>
      <c r="F42" s="3398" t="s">
        <v>3561</v>
      </c>
      <c r="G42" s="3398" t="s">
        <v>3227</v>
      </c>
      <c r="H42" s="3398" t="s">
        <v>3571</v>
      </c>
      <c r="I42" s="3398" t="s">
        <v>3412</v>
      </c>
      <c r="J42" s="3398">
        <v>63029.62</v>
      </c>
      <c r="K42" s="3398">
        <v>126059</v>
      </c>
      <c r="L42" s="3398">
        <v>2</v>
      </c>
      <c r="M42" s="3398" t="s">
        <v>1298</v>
      </c>
      <c r="N42" s="3398" t="s">
        <v>1298</v>
      </c>
      <c r="O42" s="3398" t="s">
        <v>1298</v>
      </c>
      <c r="P42" s="3398" t="s">
        <v>1298</v>
      </c>
      <c r="Q42" s="3398" t="s">
        <v>1298</v>
      </c>
      <c r="R42" s="3398" t="s">
        <v>1298</v>
      </c>
      <c r="S42" s="3398" t="s">
        <v>3572</v>
      </c>
      <c r="T42" s="3398" t="s">
        <v>3232</v>
      </c>
      <c r="U42" s="3398" t="s">
        <v>3232</v>
      </c>
      <c r="V42" s="3398" t="s">
        <v>1298</v>
      </c>
      <c r="W42" s="3398" t="s">
        <v>3469</v>
      </c>
      <c r="X42" s="3398" t="s">
        <v>3573</v>
      </c>
      <c r="Y42" s="3398" t="s">
        <v>3574</v>
      </c>
      <c r="Z42" s="3398" t="s">
        <v>3575</v>
      </c>
      <c r="AA42" s="3398" t="s">
        <v>3575</v>
      </c>
      <c r="AB42" s="3398" t="s">
        <v>3571</v>
      </c>
      <c r="AC42" s="3398" t="s">
        <v>3237</v>
      </c>
      <c r="AD42" s="3398" t="s">
        <v>3576</v>
      </c>
      <c r="AE42" s="3398" t="s">
        <v>1298</v>
      </c>
      <c r="AF42" s="3398">
        <v>72000</v>
      </c>
      <c r="AG42" s="3398">
        <v>240000</v>
      </c>
      <c r="AH42" s="3398">
        <v>380000</v>
      </c>
      <c r="AI42" s="3398">
        <v>2538.4899999999998</v>
      </c>
      <c r="AJ42" s="3398">
        <v>4019.27</v>
      </c>
      <c r="AK42" s="3398">
        <v>19038.7</v>
      </c>
      <c r="AL42" s="3398">
        <v>30144.61</v>
      </c>
      <c r="AM42" s="3398" t="s">
        <v>1298</v>
      </c>
      <c r="AN42" s="3398" t="s">
        <v>1298</v>
      </c>
      <c r="AO42" s="3398">
        <v>58.33</v>
      </c>
      <c r="AP42" s="3398" t="s">
        <v>3577</v>
      </c>
      <c r="AQ42" s="3398" t="s">
        <v>1298</v>
      </c>
      <c r="AR42" s="3398" t="s">
        <v>1298</v>
      </c>
      <c r="AS42" s="3398" t="s">
        <v>1298</v>
      </c>
      <c r="AT42" s="3398" t="s">
        <v>3256</v>
      </c>
    </row>
    <row r="43" spans="1:46" s="3399" customFormat="1">
      <c r="A43" s="3399" t="s">
        <v>3578</v>
      </c>
      <c r="B43" s="3399" t="s">
        <v>3222</v>
      </c>
      <c r="C43" s="3399" t="s">
        <v>3223</v>
      </c>
      <c r="D43" s="3399" t="s">
        <v>3224</v>
      </c>
      <c r="E43" s="3399" t="s">
        <v>3314</v>
      </c>
      <c r="F43" s="3399" t="s">
        <v>3315</v>
      </c>
      <c r="G43" s="3399" t="s">
        <v>3227</v>
      </c>
      <c r="H43" s="3399" t="s">
        <v>3579</v>
      </c>
      <c r="I43" s="3399" t="s">
        <v>3290</v>
      </c>
      <c r="J43" s="3399">
        <v>85956.89</v>
      </c>
      <c r="K43" s="3399">
        <v>182033</v>
      </c>
      <c r="L43" s="3399">
        <v>2.12</v>
      </c>
      <c r="M43" s="3399" t="s">
        <v>1298</v>
      </c>
      <c r="N43" s="3399" t="s">
        <v>1298</v>
      </c>
      <c r="O43" s="3399" t="s">
        <v>1298</v>
      </c>
      <c r="P43" s="3399" t="s">
        <v>1298</v>
      </c>
      <c r="Q43" s="3399" t="s">
        <v>1298</v>
      </c>
      <c r="R43" s="3399" t="s">
        <v>1298</v>
      </c>
      <c r="S43" s="3399" t="s">
        <v>1298</v>
      </c>
      <c r="T43" s="3399" t="s">
        <v>3419</v>
      </c>
      <c r="U43" s="3399" t="s">
        <v>3419</v>
      </c>
      <c r="V43" s="3399" t="s">
        <v>1298</v>
      </c>
      <c r="W43" s="3399" t="s">
        <v>3469</v>
      </c>
      <c r="X43" s="3399" t="s">
        <v>3580</v>
      </c>
      <c r="Y43" s="3399" t="s">
        <v>3573</v>
      </c>
      <c r="Z43" s="3399" t="s">
        <v>3581</v>
      </c>
      <c r="AA43" s="3399" t="s">
        <v>3581</v>
      </c>
      <c r="AB43" s="3399" t="s">
        <v>3579</v>
      </c>
      <c r="AC43" s="3399" t="s">
        <v>3237</v>
      </c>
      <c r="AD43" s="3399" t="s">
        <v>3582</v>
      </c>
      <c r="AE43" s="3399" t="s">
        <v>3583</v>
      </c>
      <c r="AF43" s="3399">
        <v>140000</v>
      </c>
      <c r="AG43" s="3399">
        <v>466000</v>
      </c>
      <c r="AH43" s="3399">
        <v>698000</v>
      </c>
      <c r="AI43" s="3399">
        <v>3614.21</v>
      </c>
      <c r="AJ43" s="3399">
        <v>5413.57</v>
      </c>
      <c r="AK43" s="3399">
        <v>25599.75</v>
      </c>
      <c r="AL43" s="3399">
        <v>38344.69</v>
      </c>
      <c r="AM43" s="3399" t="s">
        <v>1298</v>
      </c>
      <c r="AN43" s="3399" t="s">
        <v>1298</v>
      </c>
      <c r="AO43" s="3399">
        <v>49.79</v>
      </c>
      <c r="AP43" s="3399" t="s">
        <v>3240</v>
      </c>
      <c r="AQ43" s="3399" t="s">
        <v>1298</v>
      </c>
      <c r="AR43" s="3399">
        <v>70</v>
      </c>
      <c r="AS43" s="3399" t="s">
        <v>1298</v>
      </c>
      <c r="AT43" s="3399" t="s">
        <v>3322</v>
      </c>
    </row>
    <row r="44" spans="1:46" s="3399" customFormat="1">
      <c r="A44" s="3399" t="s">
        <v>3584</v>
      </c>
      <c r="B44" s="3399" t="s">
        <v>3222</v>
      </c>
      <c r="C44" s="3399" t="s">
        <v>3223</v>
      </c>
      <c r="D44" s="3399" t="s">
        <v>3224</v>
      </c>
      <c r="E44" s="3399" t="s">
        <v>3314</v>
      </c>
      <c r="F44" s="3399" t="s">
        <v>3315</v>
      </c>
      <c r="G44" s="3399" t="s">
        <v>3227</v>
      </c>
      <c r="H44" s="3399" t="s">
        <v>3585</v>
      </c>
      <c r="I44" s="3399" t="s">
        <v>3290</v>
      </c>
      <c r="J44" s="3399">
        <v>66379.53</v>
      </c>
      <c r="K44" s="3399">
        <v>146035</v>
      </c>
      <c r="L44" s="3399">
        <v>2.2000000000000002</v>
      </c>
      <c r="M44" s="3399" t="s">
        <v>1298</v>
      </c>
      <c r="N44" s="3399" t="s">
        <v>1298</v>
      </c>
      <c r="O44" s="3399" t="s">
        <v>1298</v>
      </c>
      <c r="P44" s="3399" t="s">
        <v>1298</v>
      </c>
      <c r="Q44" s="3399" t="s">
        <v>1298</v>
      </c>
      <c r="R44" s="3399" t="s">
        <v>1298</v>
      </c>
      <c r="S44" s="3399" t="s">
        <v>1298</v>
      </c>
      <c r="T44" s="3399" t="s">
        <v>3419</v>
      </c>
      <c r="U44" s="3399" t="s">
        <v>3419</v>
      </c>
      <c r="V44" s="3399" t="s">
        <v>1298</v>
      </c>
      <c r="W44" s="3399" t="s">
        <v>3469</v>
      </c>
      <c r="X44" s="3399" t="s">
        <v>3580</v>
      </c>
      <c r="Y44" s="3399" t="s">
        <v>3573</v>
      </c>
      <c r="Z44" s="3399" t="s">
        <v>3581</v>
      </c>
      <c r="AA44" s="3399" t="s">
        <v>3581</v>
      </c>
      <c r="AB44" s="3399" t="s">
        <v>3585</v>
      </c>
      <c r="AC44" s="3399" t="s">
        <v>3237</v>
      </c>
      <c r="AD44" s="3399" t="s">
        <v>3582</v>
      </c>
      <c r="AE44" s="3399" t="s">
        <v>3583</v>
      </c>
      <c r="AF44" s="3399">
        <v>115000</v>
      </c>
      <c r="AG44" s="3399">
        <v>383000</v>
      </c>
      <c r="AH44" s="3399">
        <v>574000</v>
      </c>
      <c r="AI44" s="3399">
        <v>3846.57</v>
      </c>
      <c r="AJ44" s="3399">
        <v>5764.83</v>
      </c>
      <c r="AK44" s="3399">
        <v>26226.59</v>
      </c>
      <c r="AL44" s="3399">
        <v>39305.65</v>
      </c>
      <c r="AM44" s="3399" t="s">
        <v>1298</v>
      </c>
      <c r="AN44" s="3399" t="s">
        <v>1298</v>
      </c>
      <c r="AO44" s="3399">
        <v>49.87</v>
      </c>
      <c r="AP44" s="3399" t="s">
        <v>3240</v>
      </c>
      <c r="AQ44" s="3399" t="s">
        <v>1298</v>
      </c>
      <c r="AR44" s="3399">
        <v>70</v>
      </c>
      <c r="AS44" s="3399" t="s">
        <v>1298</v>
      </c>
      <c r="AT44" s="3399" t="s">
        <v>3256</v>
      </c>
    </row>
    <row r="45" spans="1:46" s="3398" customFormat="1" hidden="1">
      <c r="A45" s="3398" t="s">
        <v>3586</v>
      </c>
      <c r="B45" s="3398" t="s">
        <v>3222</v>
      </c>
      <c r="C45" s="3398" t="s">
        <v>3223</v>
      </c>
      <c r="D45" s="3398" t="s">
        <v>3224</v>
      </c>
      <c r="E45" s="3398" t="s">
        <v>3409</v>
      </c>
      <c r="F45" s="3398" t="s">
        <v>3587</v>
      </c>
      <c r="G45" s="3398" t="s">
        <v>3227</v>
      </c>
      <c r="H45" s="3398" t="s">
        <v>3588</v>
      </c>
      <c r="I45" s="3398" t="s">
        <v>3332</v>
      </c>
      <c r="J45" s="3398">
        <v>51970.99</v>
      </c>
      <c r="K45" s="3398">
        <v>135275</v>
      </c>
      <c r="L45" s="3398">
        <v>2.6</v>
      </c>
      <c r="M45" s="3398" t="s">
        <v>1298</v>
      </c>
      <c r="N45" s="3398" t="s">
        <v>1298</v>
      </c>
      <c r="O45" s="3398" t="s">
        <v>1298</v>
      </c>
      <c r="P45" s="3398" t="s">
        <v>1298</v>
      </c>
      <c r="Q45" s="3398" t="s">
        <v>1298</v>
      </c>
      <c r="R45" s="3398" t="s">
        <v>1298</v>
      </c>
      <c r="S45" s="3398" t="s">
        <v>1298</v>
      </c>
      <c r="T45" s="3398" t="s">
        <v>3419</v>
      </c>
      <c r="U45" s="3398" t="s">
        <v>3419</v>
      </c>
      <c r="V45" s="3398" t="s">
        <v>1298</v>
      </c>
      <c r="W45" s="3398" t="s">
        <v>3469</v>
      </c>
      <c r="X45" s="3398" t="s">
        <v>3589</v>
      </c>
      <c r="Y45" s="3398" t="s">
        <v>3590</v>
      </c>
      <c r="Z45" s="3398" t="s">
        <v>3591</v>
      </c>
      <c r="AA45" s="3398" t="s">
        <v>3591</v>
      </c>
      <c r="AB45" s="3398" t="s">
        <v>3588</v>
      </c>
      <c r="AC45" s="3398" t="s">
        <v>3237</v>
      </c>
      <c r="AD45" s="3398" t="s">
        <v>3592</v>
      </c>
      <c r="AE45" s="3398" t="s">
        <v>3593</v>
      </c>
      <c r="AF45" s="3398">
        <v>75000</v>
      </c>
      <c r="AG45" s="3398">
        <v>248000</v>
      </c>
      <c r="AH45" s="3398">
        <v>367500</v>
      </c>
      <c r="AI45" s="3398">
        <v>3181.26</v>
      </c>
      <c r="AJ45" s="3398">
        <v>4714.17</v>
      </c>
      <c r="AK45" s="3398">
        <v>18333.02</v>
      </c>
      <c r="AL45" s="3398">
        <v>27166.880000000001</v>
      </c>
      <c r="AM45" s="3398" t="s">
        <v>1298</v>
      </c>
      <c r="AN45" s="3398" t="s">
        <v>1298</v>
      </c>
      <c r="AO45" s="3398">
        <v>48.19</v>
      </c>
      <c r="AP45" s="3398" t="s">
        <v>3240</v>
      </c>
      <c r="AQ45" s="3398" t="s">
        <v>1298</v>
      </c>
      <c r="AR45" s="3398">
        <v>100</v>
      </c>
      <c r="AS45" s="3398" t="s">
        <v>1298</v>
      </c>
      <c r="AT45" s="3398" t="s">
        <v>3322</v>
      </c>
    </row>
    <row r="46" spans="1:46" s="3398" customFormat="1" hidden="1">
      <c r="A46" s="3398" t="s">
        <v>3594</v>
      </c>
      <c r="B46" s="3398" t="s">
        <v>3222</v>
      </c>
      <c r="C46" s="3398" t="s">
        <v>3286</v>
      </c>
      <c r="D46" s="3398" t="s">
        <v>3224</v>
      </c>
      <c r="E46" s="3398" t="s">
        <v>3225</v>
      </c>
      <c r="F46" s="3398" t="s">
        <v>3594</v>
      </c>
      <c r="G46" s="3398" t="s">
        <v>3227</v>
      </c>
      <c r="H46" s="3398" t="s">
        <v>3595</v>
      </c>
      <c r="I46" s="3398" t="s">
        <v>3290</v>
      </c>
      <c r="J46" s="3398">
        <v>50662.6</v>
      </c>
      <c r="K46" s="3398">
        <v>101325.2</v>
      </c>
      <c r="L46" s="3398">
        <v>2</v>
      </c>
      <c r="M46" s="3398" t="s">
        <v>1298</v>
      </c>
      <c r="N46" s="3398" t="s">
        <v>1298</v>
      </c>
      <c r="O46" s="3398" t="s">
        <v>1298</v>
      </c>
      <c r="P46" s="3398" t="s">
        <v>1298</v>
      </c>
      <c r="Q46" s="3398" t="s">
        <v>1298</v>
      </c>
      <c r="R46" s="3398" t="s">
        <v>1298</v>
      </c>
      <c r="S46" s="3398" t="s">
        <v>3596</v>
      </c>
      <c r="T46" s="3398" t="s">
        <v>3232</v>
      </c>
      <c r="U46" s="3398" t="s">
        <v>3232</v>
      </c>
      <c r="V46" s="3398" t="s">
        <v>1298</v>
      </c>
      <c r="W46" s="3398" t="s">
        <v>3469</v>
      </c>
      <c r="X46" s="3398" t="s">
        <v>3597</v>
      </c>
      <c r="Y46" s="3398" t="s">
        <v>3598</v>
      </c>
      <c r="Z46" s="3398" t="s">
        <v>3599</v>
      </c>
      <c r="AA46" s="3398" t="s">
        <v>3599</v>
      </c>
      <c r="AB46" s="3398" t="s">
        <v>3595</v>
      </c>
      <c r="AC46" s="3398" t="s">
        <v>3237</v>
      </c>
      <c r="AD46" s="3398" t="s">
        <v>3515</v>
      </c>
      <c r="AE46" s="3398" t="s">
        <v>1298</v>
      </c>
      <c r="AF46" s="3398">
        <v>45300</v>
      </c>
      <c r="AG46" s="3398">
        <v>151000</v>
      </c>
      <c r="AH46" s="3398">
        <v>211000</v>
      </c>
      <c r="AI46" s="3398">
        <v>1987</v>
      </c>
      <c r="AJ46" s="3398">
        <v>2776.54</v>
      </c>
      <c r="AK46" s="3398">
        <v>14902.51</v>
      </c>
      <c r="AL46" s="3398">
        <v>20824.04</v>
      </c>
      <c r="AM46" s="3398" t="s">
        <v>1298</v>
      </c>
      <c r="AN46" s="3398" t="s">
        <v>1298</v>
      </c>
      <c r="AO46" s="3398">
        <v>39.74</v>
      </c>
      <c r="AP46" s="3398" t="s">
        <v>3600</v>
      </c>
      <c r="AQ46" s="3398" t="s">
        <v>1298</v>
      </c>
      <c r="AR46" s="3398" t="s">
        <v>1298</v>
      </c>
      <c r="AS46" s="3398" t="s">
        <v>1298</v>
      </c>
      <c r="AT46" s="3398" t="s">
        <v>3241</v>
      </c>
    </row>
    <row r="47" spans="1:46" s="3398" customFormat="1" hidden="1">
      <c r="A47" s="3398" t="s">
        <v>3601</v>
      </c>
      <c r="B47" s="3398" t="s">
        <v>3222</v>
      </c>
      <c r="C47" s="3398" t="s">
        <v>3223</v>
      </c>
      <c r="D47" s="3398" t="s">
        <v>3224</v>
      </c>
      <c r="E47" s="3398" t="s">
        <v>3491</v>
      </c>
      <c r="F47" s="3398" t="s">
        <v>3601</v>
      </c>
      <c r="G47" s="3398" t="s">
        <v>3227</v>
      </c>
      <c r="H47" s="3398" t="s">
        <v>3602</v>
      </c>
      <c r="I47" s="3398" t="s">
        <v>3603</v>
      </c>
      <c r="J47" s="3398">
        <v>45195.85</v>
      </c>
      <c r="K47" s="3398">
        <v>120599</v>
      </c>
      <c r="L47" s="3398">
        <v>2.67</v>
      </c>
      <c r="M47" s="3398" t="s">
        <v>1298</v>
      </c>
      <c r="N47" s="3398" t="s">
        <v>1298</v>
      </c>
      <c r="O47" s="3398" t="s">
        <v>1298</v>
      </c>
      <c r="P47" s="3398" t="s">
        <v>1298</v>
      </c>
      <c r="Q47" s="3398" t="s">
        <v>1298</v>
      </c>
      <c r="R47" s="3398" t="s">
        <v>1298</v>
      </c>
      <c r="S47" s="3398" t="s">
        <v>3604</v>
      </c>
      <c r="T47" s="3398" t="s">
        <v>1298</v>
      </c>
      <c r="U47" s="3398" t="s">
        <v>1298</v>
      </c>
      <c r="V47" s="3398" t="s">
        <v>1298</v>
      </c>
      <c r="W47" s="3398" t="s">
        <v>3469</v>
      </c>
      <c r="X47" s="3398" t="s">
        <v>3605</v>
      </c>
      <c r="Y47" s="3398" t="s">
        <v>3606</v>
      </c>
      <c r="Z47" s="3398" t="s">
        <v>3607</v>
      </c>
      <c r="AA47" s="3398" t="s">
        <v>3607</v>
      </c>
      <c r="AB47" s="3398" t="s">
        <v>3602</v>
      </c>
      <c r="AC47" s="3398" t="s">
        <v>3237</v>
      </c>
      <c r="AD47" s="3398" t="s">
        <v>3608</v>
      </c>
      <c r="AE47" s="3398" t="s">
        <v>3609</v>
      </c>
      <c r="AF47" s="3398">
        <v>78000</v>
      </c>
      <c r="AG47" s="3398">
        <v>260000</v>
      </c>
      <c r="AH47" s="3398">
        <v>390000</v>
      </c>
      <c r="AI47" s="3398">
        <v>3835.16</v>
      </c>
      <c r="AJ47" s="3398">
        <v>5752.74</v>
      </c>
      <c r="AK47" s="3398">
        <v>21559.040000000001</v>
      </c>
      <c r="AL47" s="3398">
        <v>32338.58</v>
      </c>
      <c r="AM47" s="3398" t="s">
        <v>1298</v>
      </c>
      <c r="AN47" s="3398" t="s">
        <v>1298</v>
      </c>
      <c r="AO47" s="3398">
        <v>50</v>
      </c>
      <c r="AP47" s="3398" t="s">
        <v>3240</v>
      </c>
      <c r="AQ47" s="3398" t="s">
        <v>1298</v>
      </c>
      <c r="AR47" s="3398" t="s">
        <v>1298</v>
      </c>
      <c r="AS47" s="3398" t="s">
        <v>1298</v>
      </c>
      <c r="AT47" s="3398" t="s">
        <v>3256</v>
      </c>
    </row>
    <row r="48" spans="1:46" s="3398" customFormat="1" hidden="1">
      <c r="A48" s="3398" t="s">
        <v>3610</v>
      </c>
      <c r="B48" s="3398" t="s">
        <v>3222</v>
      </c>
      <c r="C48" s="3398" t="s">
        <v>3223</v>
      </c>
      <c r="D48" s="3398" t="s">
        <v>3224</v>
      </c>
      <c r="E48" s="3398" t="s">
        <v>3314</v>
      </c>
      <c r="F48" s="3398" t="s">
        <v>3315</v>
      </c>
      <c r="G48" s="3398" t="s">
        <v>3227</v>
      </c>
      <c r="H48" s="3398" t="s">
        <v>3611</v>
      </c>
      <c r="I48" s="3398" t="s">
        <v>3612</v>
      </c>
      <c r="J48" s="3398">
        <v>77626.67</v>
      </c>
      <c r="K48" s="3398">
        <v>165765</v>
      </c>
      <c r="L48" s="3398">
        <v>2.14</v>
      </c>
      <c r="M48" s="3398" t="s">
        <v>1298</v>
      </c>
      <c r="N48" s="3398" t="s">
        <v>1298</v>
      </c>
      <c r="O48" s="3398" t="s">
        <v>1298</v>
      </c>
      <c r="P48" s="3398" t="s">
        <v>1298</v>
      </c>
      <c r="Q48" s="3398" t="s">
        <v>1298</v>
      </c>
      <c r="R48" s="3398" t="s">
        <v>1298</v>
      </c>
      <c r="S48" s="3398" t="s">
        <v>1298</v>
      </c>
      <c r="T48" s="3398" t="s">
        <v>1298</v>
      </c>
      <c r="U48" s="3398" t="s">
        <v>1298</v>
      </c>
      <c r="V48" s="3398" t="s">
        <v>1298</v>
      </c>
      <c r="W48" s="3398" t="s">
        <v>3469</v>
      </c>
      <c r="X48" s="3398" t="s">
        <v>3613</v>
      </c>
      <c r="Y48" s="3398" t="s">
        <v>3614</v>
      </c>
      <c r="Z48" s="3398" t="s">
        <v>3615</v>
      </c>
      <c r="AA48" s="3398" t="s">
        <v>3615</v>
      </c>
      <c r="AB48" s="3398" t="s">
        <v>3611</v>
      </c>
      <c r="AC48" s="3398" t="s">
        <v>3237</v>
      </c>
      <c r="AD48" s="3398" t="s">
        <v>3616</v>
      </c>
      <c r="AE48" s="3398" t="s">
        <v>3617</v>
      </c>
      <c r="AF48" s="3398">
        <v>82500</v>
      </c>
      <c r="AG48" s="3398">
        <v>275000</v>
      </c>
      <c r="AH48" s="3398">
        <v>442000</v>
      </c>
      <c r="AI48" s="3398">
        <v>2361.73</v>
      </c>
      <c r="AJ48" s="3398">
        <v>3795.95</v>
      </c>
      <c r="AK48" s="3398">
        <v>16589.75</v>
      </c>
      <c r="AL48" s="3398">
        <v>26664.25</v>
      </c>
      <c r="AM48" s="3398" t="s">
        <v>1298</v>
      </c>
      <c r="AN48" s="3398" t="s">
        <v>1298</v>
      </c>
      <c r="AO48" s="3398">
        <v>60.73</v>
      </c>
      <c r="AP48" s="3398" t="s">
        <v>3240</v>
      </c>
      <c r="AQ48" s="3398" t="s">
        <v>1298</v>
      </c>
      <c r="AR48" s="3398" t="s">
        <v>1298</v>
      </c>
      <c r="AS48" s="3398" t="s">
        <v>1298</v>
      </c>
      <c r="AT48" s="3398" t="s">
        <v>3256</v>
      </c>
    </row>
    <row r="49" spans="1:46" s="3398" customFormat="1" hidden="1">
      <c r="A49" s="3398" t="s">
        <v>3618</v>
      </c>
      <c r="B49" s="3398" t="s">
        <v>3222</v>
      </c>
      <c r="C49" s="3398" t="s">
        <v>3223</v>
      </c>
      <c r="D49" s="3398" t="s">
        <v>3224</v>
      </c>
      <c r="E49" s="3398" t="s">
        <v>3225</v>
      </c>
      <c r="F49" s="3398" t="s">
        <v>3226</v>
      </c>
      <c r="G49" s="3398" t="s">
        <v>3227</v>
      </c>
      <c r="H49" s="3398" t="s">
        <v>3619</v>
      </c>
      <c r="I49" s="3398" t="s">
        <v>3412</v>
      </c>
      <c r="J49" s="3398">
        <v>61030.67</v>
      </c>
      <c r="K49" s="3398">
        <v>152577</v>
      </c>
      <c r="L49" s="3398">
        <v>2.5</v>
      </c>
      <c r="M49" s="3398" t="s">
        <v>1298</v>
      </c>
      <c r="N49" s="3398" t="s">
        <v>1298</v>
      </c>
      <c r="O49" s="3398" t="s">
        <v>1298</v>
      </c>
      <c r="P49" s="3398" t="s">
        <v>3620</v>
      </c>
      <c r="Q49" s="3398">
        <v>34900</v>
      </c>
      <c r="R49" s="3398">
        <v>89900</v>
      </c>
      <c r="S49" s="3398" t="s">
        <v>1298</v>
      </c>
      <c r="T49" s="3398" t="s">
        <v>1298</v>
      </c>
      <c r="U49" s="3398" t="s">
        <v>1298</v>
      </c>
      <c r="V49" s="3398" t="s">
        <v>1298</v>
      </c>
      <c r="W49" s="3398" t="s">
        <v>3469</v>
      </c>
      <c r="X49" s="3398" t="s">
        <v>3621</v>
      </c>
      <c r="Y49" s="3398" t="s">
        <v>3622</v>
      </c>
      <c r="Z49" s="3398" t="s">
        <v>3623</v>
      </c>
      <c r="AA49" s="3398" t="s">
        <v>3623</v>
      </c>
      <c r="AB49" s="3398" t="s">
        <v>3619</v>
      </c>
      <c r="AC49" s="3398" t="s">
        <v>3237</v>
      </c>
      <c r="AD49" s="3398" t="s">
        <v>3624</v>
      </c>
      <c r="AE49" s="3398" t="s">
        <v>3298</v>
      </c>
      <c r="AF49" s="3398">
        <v>52000</v>
      </c>
      <c r="AG49" s="3398">
        <v>173000</v>
      </c>
      <c r="AH49" s="3398">
        <v>259500</v>
      </c>
      <c r="AI49" s="3398">
        <v>1889.76</v>
      </c>
      <c r="AJ49" s="3398">
        <v>2834.64</v>
      </c>
      <c r="AK49" s="3398">
        <v>11338.53</v>
      </c>
      <c r="AL49" s="3398">
        <v>17007.810000000001</v>
      </c>
      <c r="AM49" s="3398">
        <v>14701</v>
      </c>
      <c r="AN49" s="3398">
        <v>41403</v>
      </c>
      <c r="AO49" s="3398">
        <v>50</v>
      </c>
      <c r="AP49" s="3398" t="s">
        <v>3625</v>
      </c>
      <c r="AQ49" s="3398" t="s">
        <v>1298</v>
      </c>
      <c r="AR49" s="3398" t="s">
        <v>1298</v>
      </c>
      <c r="AS49" s="3398" t="s">
        <v>1298</v>
      </c>
      <c r="AT49" s="3398" t="s">
        <v>3256</v>
      </c>
    </row>
    <row r="50" spans="1:46" s="3398" customFormat="1" hidden="1">
      <c r="A50" s="3398" t="s">
        <v>3626</v>
      </c>
      <c r="B50" s="3398" t="s">
        <v>3222</v>
      </c>
      <c r="C50" s="3398" t="s">
        <v>3223</v>
      </c>
      <c r="D50" s="3398" t="s">
        <v>3224</v>
      </c>
      <c r="E50" s="3398" t="s">
        <v>3225</v>
      </c>
      <c r="F50" s="3398" t="s">
        <v>3226</v>
      </c>
      <c r="G50" s="3398" t="s">
        <v>3227</v>
      </c>
      <c r="H50" s="3398" t="s">
        <v>3627</v>
      </c>
      <c r="I50" s="3398" t="s">
        <v>3628</v>
      </c>
      <c r="J50" s="3398">
        <v>57931.55</v>
      </c>
      <c r="K50" s="3398">
        <v>137735</v>
      </c>
      <c r="L50" s="3398">
        <v>2.38</v>
      </c>
      <c r="M50" s="3398" t="s">
        <v>1298</v>
      </c>
      <c r="N50" s="3398" t="s">
        <v>1298</v>
      </c>
      <c r="O50" s="3398" t="s">
        <v>1298</v>
      </c>
      <c r="P50" s="3398" t="s">
        <v>3620</v>
      </c>
      <c r="Q50" s="3398">
        <v>30800</v>
      </c>
      <c r="R50" s="3398">
        <v>94078</v>
      </c>
      <c r="S50" s="3398" t="s">
        <v>1298</v>
      </c>
      <c r="T50" s="3398" t="s">
        <v>1298</v>
      </c>
      <c r="U50" s="3398" t="s">
        <v>1298</v>
      </c>
      <c r="V50" s="3398" t="s">
        <v>1298</v>
      </c>
      <c r="W50" s="3398" t="s">
        <v>3469</v>
      </c>
      <c r="X50" s="3398" t="s">
        <v>3629</v>
      </c>
      <c r="Y50" s="3398" t="s">
        <v>3630</v>
      </c>
      <c r="Z50" s="3398" t="s">
        <v>3631</v>
      </c>
      <c r="AA50" s="3398" t="s">
        <v>3631</v>
      </c>
      <c r="AB50" s="3398" t="s">
        <v>3627</v>
      </c>
      <c r="AC50" s="3398" t="s">
        <v>3237</v>
      </c>
      <c r="AD50" s="3398" t="s">
        <v>3632</v>
      </c>
      <c r="AE50" s="3398" t="s">
        <v>3425</v>
      </c>
      <c r="AF50" s="3398">
        <v>46000</v>
      </c>
      <c r="AG50" s="3398">
        <v>152000</v>
      </c>
      <c r="AH50" s="3398">
        <v>228000</v>
      </c>
      <c r="AI50" s="3398">
        <v>1749.19</v>
      </c>
      <c r="AJ50" s="3398">
        <v>2623.79</v>
      </c>
      <c r="AK50" s="3398">
        <v>11035.68</v>
      </c>
      <c r="AL50" s="3398">
        <v>16553.52</v>
      </c>
      <c r="AM50" s="3398">
        <v>14214</v>
      </c>
      <c r="AN50" s="3398">
        <v>52225</v>
      </c>
      <c r="AO50" s="3398">
        <v>50</v>
      </c>
      <c r="AP50" s="3398" t="s">
        <v>3625</v>
      </c>
      <c r="AQ50" s="3398" t="s">
        <v>1298</v>
      </c>
      <c r="AR50" s="3398" t="s">
        <v>1298</v>
      </c>
      <c r="AS50" s="3398" t="s">
        <v>1298</v>
      </c>
      <c r="AT50" s="3398" t="s">
        <v>3241</v>
      </c>
    </row>
    <row r="51" spans="1:46" s="3398" customFormat="1" hidden="1">
      <c r="A51" s="3398" t="s">
        <v>3633</v>
      </c>
      <c r="B51" s="3398" t="s">
        <v>3222</v>
      </c>
      <c r="C51" s="3398" t="s">
        <v>3223</v>
      </c>
      <c r="D51" s="3398" t="s">
        <v>3224</v>
      </c>
      <c r="E51" s="3398" t="s">
        <v>3365</v>
      </c>
      <c r="F51" s="3398" t="s">
        <v>3366</v>
      </c>
      <c r="G51" s="3398" t="s">
        <v>3227</v>
      </c>
      <c r="H51" s="3398" t="s">
        <v>3634</v>
      </c>
      <c r="I51" s="3398" t="s">
        <v>3635</v>
      </c>
      <c r="J51" s="3398">
        <v>118127</v>
      </c>
      <c r="K51" s="3398">
        <v>198800</v>
      </c>
      <c r="L51" s="3398">
        <v>1.68</v>
      </c>
      <c r="M51" s="3398" t="s">
        <v>1298</v>
      </c>
      <c r="N51" s="3398" t="s">
        <v>1298</v>
      </c>
      <c r="O51" s="3398" t="s">
        <v>1298</v>
      </c>
      <c r="P51" s="3398" t="s">
        <v>3620</v>
      </c>
      <c r="Q51" s="3398" t="s">
        <v>1298</v>
      </c>
      <c r="R51" s="3398">
        <v>44252</v>
      </c>
      <c r="S51" s="3398" t="s">
        <v>1298</v>
      </c>
      <c r="T51" s="3398" t="s">
        <v>1298</v>
      </c>
      <c r="U51" s="3398" t="s">
        <v>1298</v>
      </c>
      <c r="V51" s="3398" t="s">
        <v>1298</v>
      </c>
      <c r="W51" s="3398" t="s">
        <v>3469</v>
      </c>
      <c r="X51" s="3398" t="s">
        <v>3636</v>
      </c>
      <c r="Y51" s="3398" t="s">
        <v>3637</v>
      </c>
      <c r="Z51" s="3398" t="s">
        <v>3638</v>
      </c>
      <c r="AA51" s="3398" t="s">
        <v>3638</v>
      </c>
      <c r="AB51" s="3398" t="s">
        <v>3634</v>
      </c>
      <c r="AC51" s="3398" t="s">
        <v>3237</v>
      </c>
      <c r="AD51" s="3398" t="s">
        <v>3639</v>
      </c>
      <c r="AE51" s="3398" t="s">
        <v>1298</v>
      </c>
      <c r="AF51" s="3398">
        <v>35000</v>
      </c>
      <c r="AG51" s="3398">
        <v>117000</v>
      </c>
      <c r="AH51" s="3398">
        <v>200000</v>
      </c>
      <c r="AI51" s="3398">
        <v>660.31</v>
      </c>
      <c r="AJ51" s="3398">
        <v>1128.73</v>
      </c>
      <c r="AK51" s="3398">
        <v>5885.31</v>
      </c>
      <c r="AL51" s="3398">
        <v>10060.36</v>
      </c>
      <c r="AM51" s="3398" t="s">
        <v>1298</v>
      </c>
      <c r="AN51" s="3398">
        <v>12941</v>
      </c>
      <c r="AO51" s="3398">
        <v>70.94</v>
      </c>
      <c r="AP51" s="3398" t="s">
        <v>3625</v>
      </c>
      <c r="AQ51" s="3398" t="s">
        <v>1298</v>
      </c>
      <c r="AR51" s="3398" t="s">
        <v>1298</v>
      </c>
      <c r="AS51" s="3398" t="s">
        <v>1298</v>
      </c>
      <c r="AT51" s="3398" t="s">
        <v>3284</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tabSelected="1" workbookViewId="0">
      <selection activeCell="M27" activeCellId="1" sqref="H26 M27"/>
    </sheetView>
  </sheetViews>
  <sheetFormatPr defaultRowHeight="13.5"/>
  <cols>
    <col min="3" max="3" width="11.125" customWidth="1"/>
    <col min="6" max="6" width="9.5" bestFit="1" customWidth="1"/>
  </cols>
  <sheetData>
    <row r="3" spans="3:6">
      <c r="C3" s="3401"/>
      <c r="D3" s="3401" t="s">
        <v>3643</v>
      </c>
      <c r="E3" s="3401" t="s">
        <v>3644</v>
      </c>
      <c r="F3" s="3401" t="s">
        <v>3645</v>
      </c>
    </row>
    <row r="4" spans="3:6">
      <c r="C4" s="3401" t="s">
        <v>3641</v>
      </c>
      <c r="D4" s="3402">
        <v>0.6</v>
      </c>
      <c r="E4" s="3401">
        <f ca="1">成本法!B2</f>
        <v>429925</v>
      </c>
      <c r="F4" s="3403">
        <f ca="1">ROUND(E4*D4+D5*E5,0)</f>
        <v>349245</v>
      </c>
    </row>
    <row r="5" spans="3:6">
      <c r="C5" s="3401" t="s">
        <v>3642</v>
      </c>
      <c r="D5" s="3402">
        <v>0.4</v>
      </c>
      <c r="E5" s="3404">
        <f>ROUND([1]现金流量!$A$54,0)</f>
        <v>228224</v>
      </c>
      <c r="F5" s="3403"/>
    </row>
  </sheetData>
  <mergeCells count="1">
    <mergeCell ref="F4:F5"/>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5" t="str">
        <f>IF(项目基本情况!B9="房地产市场价值","估价结果一览表","结果表-2")</f>
        <v>结果表-2</v>
      </c>
      <c r="B1" s="3075"/>
      <c r="C1" s="3075"/>
      <c r="D1" s="3075"/>
      <c r="E1" s="3075"/>
      <c r="F1" s="3075"/>
      <c r="G1" s="3075"/>
      <c r="H1" s="3075"/>
      <c r="I1" s="3075"/>
    </row>
    <row r="2" spans="1:9" ht="30" customHeight="1" thickTop="1">
      <c r="A2" s="3076" t="s">
        <v>1606</v>
      </c>
      <c r="B2" s="3076" t="s">
        <v>1607</v>
      </c>
      <c r="C2" s="3076" t="s">
        <v>1608</v>
      </c>
      <c r="D2" s="3076" t="str">
        <f>结果表!D116</f>
        <v>出让国有建设用地使用权价值</v>
      </c>
      <c r="E2" s="3076"/>
      <c r="F2" s="3076" t="str">
        <f>结果表!F116</f>
        <v>在建建筑物价值</v>
      </c>
      <c r="G2" s="3076"/>
      <c r="H2" s="3076" t="str">
        <f>IF(项目基本情况!B9="房地产市场价值","房地产市场价值","房地产价值")</f>
        <v>房地产价值</v>
      </c>
      <c r="I2" s="3076"/>
    </row>
    <row r="3" spans="1:9" ht="15">
      <c r="A3" s="3070"/>
      <c r="B3" s="3070"/>
      <c r="C3" s="3070"/>
      <c r="D3" s="963" t="s">
        <v>1603</v>
      </c>
      <c r="E3" s="963" t="s">
        <v>1609</v>
      </c>
      <c r="F3" s="963" t="s">
        <v>1603</v>
      </c>
      <c r="G3" s="963" t="s">
        <v>1604</v>
      </c>
      <c r="H3" s="963" t="s">
        <v>1603</v>
      </c>
      <c r="I3" s="963" t="s">
        <v>1604</v>
      </c>
    </row>
    <row r="4" spans="1:9" ht="15">
      <c r="A4" s="1692" t="str">
        <f>项目基本情况!S2</f>
        <v>房地产</v>
      </c>
      <c r="B4" s="963">
        <f>项目基本情况!C17</f>
        <v>77547</v>
      </c>
      <c r="C4" s="963">
        <f>项目基本情况!C18</f>
        <v>62231.63</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70" t="s">
        <v>1605</v>
      </c>
      <c r="B5" s="3070"/>
      <c r="C5" s="3070"/>
      <c r="D5" s="3071" t="e">
        <f ca="1">结果表!D119</f>
        <v>#REF!</v>
      </c>
      <c r="E5" s="3071"/>
      <c r="F5" s="3071" t="e">
        <f ca="1">结果表!F119</f>
        <v>#REF!</v>
      </c>
      <c r="G5" s="3071"/>
      <c r="H5" s="3071" t="e">
        <f ca="1">结果表!H119</f>
        <v>#REF!</v>
      </c>
      <c r="I5" s="3071"/>
    </row>
    <row r="6" spans="1:9" ht="15.75">
      <c r="A6" s="3069" t="str">
        <f>结果表!A120</f>
        <v>估价师知悉的法定优先受偿款</v>
      </c>
      <c r="B6" s="3069"/>
      <c r="C6" s="3069"/>
      <c r="D6" s="3069">
        <f>结果表!D120</f>
        <v>0</v>
      </c>
      <c r="E6" s="3069"/>
      <c r="F6" s="3069"/>
      <c r="G6" s="3069"/>
      <c r="H6" s="3069"/>
      <c r="I6" s="3069"/>
    </row>
    <row r="7" spans="1:9" ht="15">
      <c r="A7" s="3070" t="s">
        <v>1605</v>
      </c>
      <c r="B7" s="3070"/>
      <c r="C7" s="3070"/>
      <c r="D7" s="3072" t="str">
        <f>结果表!D121</f>
        <v>零元整</v>
      </c>
      <c r="E7" s="3073"/>
      <c r="F7" s="3073"/>
      <c r="G7" s="3073"/>
      <c r="H7" s="3073"/>
      <c r="I7" s="3074"/>
    </row>
    <row r="8" spans="1:9" ht="15.75">
      <c r="A8" s="3069" t="str">
        <f>结果表!A122</f>
        <v>房地产抵押价值</v>
      </c>
      <c r="B8" s="3069"/>
      <c r="C8" s="3069"/>
      <c r="D8" s="3069" t="e">
        <f ca="1">结果表!D122</f>
        <v>#REF!</v>
      </c>
      <c r="E8" s="3069"/>
      <c r="F8" s="3069"/>
      <c r="G8" s="3069"/>
      <c r="H8" s="3069"/>
      <c r="I8" s="3069"/>
    </row>
    <row r="9" spans="1:9" ht="15">
      <c r="A9" s="3070" t="s">
        <v>1605</v>
      </c>
      <c r="B9" s="3070"/>
      <c r="C9" s="3070"/>
      <c r="D9" s="3071" t="e">
        <f ca="1">结果表!D123</f>
        <v>#REF!</v>
      </c>
      <c r="E9" s="3071"/>
      <c r="F9" s="3071"/>
      <c r="G9" s="3071"/>
      <c r="H9" s="3071"/>
      <c r="I9" s="3071"/>
    </row>
    <row r="10" spans="1:9" ht="15.75">
      <c r="A10" s="3069" t="str">
        <f>结果表!A124</f>
        <v/>
      </c>
      <c r="B10" s="3069"/>
      <c r="C10" s="3069"/>
      <c r="D10" s="3069" t="str">
        <f>结果表!D124</f>
        <v>——</v>
      </c>
      <c r="E10" s="3069"/>
      <c r="F10" s="3069"/>
      <c r="G10" s="3069"/>
      <c r="H10" s="3069"/>
      <c r="I10" s="3069"/>
    </row>
    <row r="11" spans="1:9" ht="15">
      <c r="A11" s="3070" t="s">
        <v>1605</v>
      </c>
      <c r="B11" s="3070"/>
      <c r="C11" s="3070"/>
      <c r="D11" s="3071" t="e">
        <f>结果表!D125</f>
        <v>#VALUE!</v>
      </c>
      <c r="E11" s="3071"/>
      <c r="F11" s="3071"/>
      <c r="G11" s="3071"/>
      <c r="H11" s="3071"/>
      <c r="I11" s="3071"/>
    </row>
    <row r="12" spans="1:9" ht="15.75">
      <c r="A12" s="3069" t="str">
        <f>结果表!A126</f>
        <v/>
      </c>
      <c r="B12" s="3069"/>
      <c r="C12" s="3069"/>
      <c r="D12" s="3069" t="str">
        <f>结果表!D126</f>
        <v>——</v>
      </c>
      <c r="E12" s="3069"/>
      <c r="F12" s="3069"/>
      <c r="G12" s="3069"/>
      <c r="H12" s="3069"/>
      <c r="I12" s="3069"/>
    </row>
    <row r="13" spans="1:9" ht="15.75" thickBot="1">
      <c r="A13" s="3066" t="s">
        <v>1605</v>
      </c>
      <c r="B13" s="3066"/>
      <c r="C13" s="3066"/>
      <c r="D13" s="3067" t="e">
        <f>结果表!D127</f>
        <v>#VALUE!</v>
      </c>
      <c r="E13" s="3067"/>
      <c r="F13" s="3067"/>
      <c r="G13" s="3067"/>
      <c r="H13" s="3067"/>
      <c r="I13" s="3067"/>
    </row>
    <row r="14" spans="1:9" ht="15" thickTop="1">
      <c r="A14" s="3068" t="s">
        <v>1610</v>
      </c>
      <c r="B14" s="3068"/>
      <c r="C14" s="3068"/>
      <c r="D14" s="3068"/>
      <c r="E14" s="3068"/>
      <c r="F14" s="3068"/>
      <c r="G14" s="3068"/>
      <c r="H14" s="3068"/>
      <c r="I14" s="3068"/>
    </row>
    <row r="16" spans="1:9" ht="18.75">
      <c r="A16" s="1693" t="s">
        <v>1593</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3" t="s">
        <v>1627</v>
      </c>
      <c r="B1" s="3083"/>
      <c r="C1" s="3083"/>
      <c r="D1" s="3083"/>
    </row>
    <row r="2" spans="1:4" ht="18">
      <c r="A2" s="3084" t="s">
        <v>1611</v>
      </c>
      <c r="B2" s="3084"/>
      <c r="C2" s="3084"/>
      <c r="D2" s="3084"/>
    </row>
    <row r="3" spans="1:4" ht="18.75">
      <c r="A3" s="1696" t="s">
        <v>1612</v>
      </c>
      <c r="B3" s="1696" t="s">
        <v>1613</v>
      </c>
      <c r="C3" s="1696" t="s">
        <v>1614</v>
      </c>
      <c r="D3" s="1696" t="s">
        <v>1615</v>
      </c>
    </row>
    <row r="4" spans="1:4" ht="56.25" customHeight="1">
      <c r="A4" s="1697">
        <f>项目基本情况!B4</f>
        <v>0</v>
      </c>
      <c r="B4" s="1698">
        <f>项目基本情况!C4</f>
        <v>0</v>
      </c>
      <c r="C4" s="1699"/>
      <c r="D4" s="1700" t="s">
        <v>1616</v>
      </c>
    </row>
    <row r="5" spans="1:4" ht="56.25" customHeight="1">
      <c r="A5" s="1697">
        <f>项目基本情况!D4</f>
        <v>0</v>
      </c>
      <c r="B5" s="1698">
        <f>项目基本情况!E4</f>
        <v>0</v>
      </c>
      <c r="C5" s="1701"/>
      <c r="D5" s="1700" t="s">
        <v>1616</v>
      </c>
    </row>
    <row r="6" spans="1:4" ht="18">
      <c r="A6" s="3084" t="s">
        <v>1617</v>
      </c>
      <c r="B6" s="3084"/>
      <c r="C6" s="3084"/>
      <c r="D6" s="3084"/>
    </row>
    <row r="7" spans="1:4" ht="18.75">
      <c r="A7" s="1696" t="s">
        <v>1612</v>
      </c>
      <c r="B7" s="1698" t="s">
        <v>1618</v>
      </c>
      <c r="C7" s="1696" t="s">
        <v>1614</v>
      </c>
      <c r="D7" s="1696" t="s">
        <v>1615</v>
      </c>
    </row>
    <row r="8" spans="1:4" ht="56.25" customHeight="1">
      <c r="A8" s="1702" t="s">
        <v>837</v>
      </c>
      <c r="B8" s="1702" t="s">
        <v>1</v>
      </c>
      <c r="C8" s="1699"/>
      <c r="D8" s="1700" t="s">
        <v>1616</v>
      </c>
    </row>
    <row r="9" spans="1:4">
      <c r="A9" s="684"/>
      <c r="B9" s="684"/>
      <c r="C9" s="684"/>
      <c r="D9" s="684"/>
    </row>
    <row r="10" spans="1:4" ht="18.75">
      <c r="A10" s="1703" t="s">
        <v>1619</v>
      </c>
      <c r="B10" s="684"/>
      <c r="C10" s="684"/>
      <c r="D10" s="684"/>
    </row>
    <row r="11" spans="1:4" ht="30" customHeight="1">
      <c r="A11" s="3085" t="s">
        <v>1620</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2"/>
      <c r="C12" s="3082"/>
      <c r="D12" s="3082"/>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2"/>
      <c r="C13" s="3082"/>
      <c r="D13" s="3082"/>
    </row>
    <row r="14" spans="1:4" ht="15.75" customHeight="1">
      <c r="A14" s="3077" t="str">
        <f>IF(项目基本情况!B8="抵押","4.本次评估估价师所知悉的法定优先受偿款情况说明如下：","——")</f>
        <v>4.本次评估估价师所知悉的法定优先受偿款情况说明如下：</v>
      </c>
      <c r="B14" s="3082"/>
      <c r="C14" s="3082"/>
      <c r="D14" s="3082"/>
    </row>
    <row r="15" spans="1:4" ht="42" customHeight="1">
      <c r="A15" s="30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7"/>
      <c r="C15" s="3077"/>
      <c r="D15" s="3077"/>
    </row>
    <row r="16" spans="1:4" ht="30" customHeight="1">
      <c r="A16" s="3079" t="s">
        <v>1621</v>
      </c>
      <c r="B16" s="3079"/>
      <c r="C16" s="3079"/>
      <c r="D16" s="3079"/>
    </row>
    <row r="17" spans="1:4" ht="144" customHeight="1">
      <c r="A17" s="3079" t="s">
        <v>1622</v>
      </c>
      <c r="B17" s="3079"/>
      <c r="C17" s="3079"/>
      <c r="D17" s="3079"/>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7"/>
      <c r="C20" s="3077"/>
      <c r="D20" s="3077"/>
    </row>
    <row r="21" spans="1:4" ht="57.75" customHeight="1">
      <c r="A21" s="30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0"/>
      <c r="C21" s="3080"/>
      <c r="D21" s="3080"/>
    </row>
    <row r="22" spans="1:4" ht="18.75" customHeight="1">
      <c r="A22" s="3081" t="s">
        <v>1623</v>
      </c>
      <c r="B22" s="3081"/>
      <c r="C22" s="3081"/>
      <c r="D22" s="3081"/>
    </row>
    <row r="23" spans="1:4">
      <c r="A23" s="1704"/>
      <c r="B23" s="1676"/>
      <c r="C23" s="1676"/>
      <c r="D23" s="1676"/>
    </row>
    <row r="24" spans="1:4">
      <c r="A24" s="1704"/>
      <c r="B24" s="1676"/>
      <c r="C24" s="1676"/>
      <c r="D24" s="1676"/>
    </row>
    <row r="25" spans="1:4" ht="18.75">
      <c r="A25" s="1705" t="s">
        <v>1624</v>
      </c>
    </row>
    <row r="26" spans="1:4" ht="18">
      <c r="A26" s="1674"/>
    </row>
    <row r="27" spans="1:4" ht="18.75">
      <c r="A27" s="1674" t="s">
        <v>1625</v>
      </c>
    </row>
    <row r="30" spans="1:4" ht="18.75">
      <c r="D30" s="1705" t="s">
        <v>1626</v>
      </c>
    </row>
    <row r="31" spans="1:4" ht="13.5" customHeight="1">
      <c r="C31" s="3078">
        <v>42551</v>
      </c>
      <c r="D31" s="30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1628</v>
      </c>
    </row>
    <row r="3" spans="1:7">
      <c r="A3" s="1710" t="s">
        <v>82</v>
      </c>
      <c r="B3" s="1694" t="s">
        <v>1629</v>
      </c>
      <c r="G3" s="1711"/>
    </row>
    <row r="4" spans="1:7">
      <c r="G4" s="1711"/>
    </row>
    <row r="5" spans="1:7">
      <c r="A5" s="1713" t="s">
        <v>73</v>
      </c>
      <c r="B5" s="1694" t="s">
        <v>1630</v>
      </c>
      <c r="G5" s="1711"/>
    </row>
    <row r="6" spans="1:7">
      <c r="G6" s="1711"/>
    </row>
    <row r="7" spans="1:7">
      <c r="A7" s="1714" t="s">
        <v>135</v>
      </c>
      <c r="B7" s="1694" t="s">
        <v>1631</v>
      </c>
      <c r="G7" s="1711"/>
    </row>
    <row r="8" spans="1:7">
      <c r="G8" s="1711"/>
    </row>
    <row r="9" spans="1:7">
      <c r="A9" s="1715" t="s">
        <v>74</v>
      </c>
      <c r="B9" s="1694" t="s">
        <v>1632</v>
      </c>
    </row>
    <row r="11" spans="1:7">
      <c r="A11" s="1716" t="s">
        <v>75</v>
      </c>
      <c r="B11" s="1717" t="s">
        <v>72</v>
      </c>
    </row>
    <row r="13" spans="1:7">
      <c r="A13" s="1718" t="s">
        <v>1633</v>
      </c>
    </row>
    <row r="15" spans="1:7" ht="13.5">
      <c r="A15" s="3091" t="s">
        <v>1634</v>
      </c>
      <c r="B15" s="3086" t="s">
        <v>136</v>
      </c>
      <c r="C15" s="3087"/>
    </row>
    <row r="16" spans="1:7" ht="13.5">
      <c r="A16" s="3092"/>
      <c r="B16" s="3086" t="s">
        <v>69</v>
      </c>
      <c r="C16" s="3087"/>
    </row>
    <row r="17" spans="1:3" ht="13.5">
      <c r="A17" s="3092"/>
      <c r="B17" s="3089" t="s">
        <v>1635</v>
      </c>
      <c r="C17" s="1719" t="s">
        <v>1634</v>
      </c>
    </row>
    <row r="18" spans="1:3" ht="13.5">
      <c r="A18" s="3092"/>
      <c r="B18" s="3089"/>
      <c r="C18" s="1719" t="s">
        <v>1636</v>
      </c>
    </row>
    <row r="19" spans="1:3" ht="13.5">
      <c r="A19" s="3092"/>
      <c r="B19" s="3089"/>
      <c r="C19" s="1719" t="s">
        <v>1637</v>
      </c>
    </row>
    <row r="20" spans="1:3" ht="13.5">
      <c r="A20" s="3093"/>
      <c r="B20" s="3088" t="s">
        <v>1638</v>
      </c>
      <c r="C20" s="3087"/>
    </row>
    <row r="21" spans="1:3" ht="13.5">
      <c r="A21" s="1720" t="s">
        <v>1639</v>
      </c>
      <c r="B21" s="1721"/>
      <c r="C21" s="1722"/>
    </row>
    <row r="22" spans="1:3" ht="13.5">
      <c r="A22" s="3090" t="s">
        <v>1640</v>
      </c>
      <c r="B22" s="3088" t="s">
        <v>1641</v>
      </c>
      <c r="C22" s="3087"/>
    </row>
    <row r="23" spans="1:3" ht="13.5">
      <c r="A23" s="3090"/>
      <c r="B23" s="3088" t="s">
        <v>1642</v>
      </c>
      <c r="C23" s="3087"/>
    </row>
    <row r="24" spans="1:3" ht="13.5">
      <c r="A24" s="3090"/>
      <c r="B24" s="3088" t="s">
        <v>1643</v>
      </c>
      <c r="C24" s="3087"/>
    </row>
    <row r="25" spans="1:3" ht="13.5">
      <c r="A25" s="3090"/>
      <c r="B25" s="3089" t="s">
        <v>1644</v>
      </c>
      <c r="C25" s="1719" t="s">
        <v>1645</v>
      </c>
    </row>
    <row r="26" spans="1:3" ht="13.5">
      <c r="A26" s="3090"/>
      <c r="B26" s="3089"/>
      <c r="C26" s="1719" t="s">
        <v>1646</v>
      </c>
    </row>
    <row r="27" spans="1:3" ht="13.5">
      <c r="A27" s="3090"/>
      <c r="B27" s="3089"/>
      <c r="C27" s="1719" t="s">
        <v>1647</v>
      </c>
    </row>
    <row r="28" spans="1:3" ht="13.5">
      <c r="A28" s="3090"/>
      <c r="B28" s="3089"/>
      <c r="C28" s="1719" t="s">
        <v>1648</v>
      </c>
    </row>
    <row r="29" spans="1:3" ht="13.5">
      <c r="A29" s="3090"/>
      <c r="B29" s="3089"/>
      <c r="C29" s="1719" t="s">
        <v>1649</v>
      </c>
    </row>
    <row r="30" spans="1:3" ht="13.5">
      <c r="A30" s="3090"/>
      <c r="B30" s="3089"/>
      <c r="C30" s="1719" t="s">
        <v>1650</v>
      </c>
    </row>
    <row r="31" spans="1:3" ht="13.5">
      <c r="A31" s="3090"/>
      <c r="B31" s="3089"/>
      <c r="C31" s="1719" t="s">
        <v>1651</v>
      </c>
    </row>
    <row r="32" spans="1:3" ht="13.5">
      <c r="A32" s="3090"/>
      <c r="B32" s="3089"/>
      <c r="C32" s="1719" t="s">
        <v>1652</v>
      </c>
    </row>
    <row r="33" spans="1:3" ht="13.5">
      <c r="A33" s="3090"/>
      <c r="B33" s="3089"/>
      <c r="C33" s="1719" t="s">
        <v>1653</v>
      </c>
    </row>
    <row r="34" spans="1:3">
      <c r="A34" s="1723" t="s">
        <v>76</v>
      </c>
    </row>
    <row r="37" spans="1:3">
      <c r="A37" s="1723" t="s">
        <v>1654</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2882</v>
      </c>
      <c r="B2" s="2564">
        <f ca="1">TODAY()</f>
        <v>44218</v>
      </c>
      <c r="C2" s="2565" t="s">
        <v>2883</v>
      </c>
      <c r="D2" s="2565"/>
      <c r="E2" s="2565"/>
      <c r="F2" s="2561"/>
      <c r="G2" s="2561"/>
      <c r="H2" s="2561"/>
    </row>
    <row r="3" spans="1:8" ht="24" customHeight="1">
      <c r="A3" s="2566" t="s">
        <v>2884</v>
      </c>
      <c r="B3" s="2567" t="s">
        <v>2885</v>
      </c>
      <c r="C3" s="2567" t="s">
        <v>2886</v>
      </c>
      <c r="D3" s="2568" t="s">
        <v>2887</v>
      </c>
      <c r="E3" s="2569" t="s">
        <v>2888</v>
      </c>
      <c r="F3" s="1474" t="s">
        <v>2889</v>
      </c>
      <c r="G3" s="2567" t="s">
        <v>2886</v>
      </c>
      <c r="H3" s="2568" t="s">
        <v>2890</v>
      </c>
    </row>
    <row r="4" spans="1:8" ht="24" customHeight="1">
      <c r="A4" s="1474" t="s">
        <v>2891</v>
      </c>
      <c r="B4" s="1474">
        <f ca="1">IF(C4&lt;B2,"已过期",1119970066)</f>
        <v>1119970066</v>
      </c>
      <c r="C4" s="2570">
        <v>44876</v>
      </c>
      <c r="D4" s="2571" t="str">
        <f ca="1">A4&amp;"（注册号："&amp;B4&amp;"）"</f>
        <v>梁津（注册号：1119970066）</v>
      </c>
      <c r="E4" s="2572" t="s">
        <v>2891</v>
      </c>
      <c r="F4" s="1474">
        <f ca="1">IF(G4&lt;B2,"已过期",96010014)</f>
        <v>96010014</v>
      </c>
      <c r="G4" s="2573">
        <v>47118</v>
      </c>
      <c r="H4" s="2574" t="str">
        <f ca="1">E4&amp;"（注册号："&amp;F4&amp;"）"</f>
        <v>梁津（注册号：96010014）</v>
      </c>
    </row>
    <row r="5" spans="1:8" ht="24" customHeight="1">
      <c r="A5" s="1474" t="s">
        <v>2892</v>
      </c>
      <c r="B5" s="1474">
        <f ca="1">IF(C5&lt;B2,"已过期",1119970111)</f>
        <v>1119970111</v>
      </c>
      <c r="C5" s="2570">
        <v>44876</v>
      </c>
      <c r="D5" s="2571" t="str">
        <f t="shared" ref="D5:D15" ca="1" si="0">A5&amp;"（注册号："&amp;B5&amp;"）"</f>
        <v>叶凌（注册号：1119970111）</v>
      </c>
      <c r="E5" s="2572" t="s">
        <v>2892</v>
      </c>
      <c r="F5" s="1474">
        <f ca="1">IF(G5&lt;B2,"已过期",94010078)</f>
        <v>94010078</v>
      </c>
      <c r="G5" s="2573">
        <v>46387</v>
      </c>
      <c r="H5" s="2574" t="str">
        <f t="shared" ref="H5:H16" ca="1" si="1">E5&amp;"（注册号："&amp;F5&amp;"）"</f>
        <v>叶凌（注册号：94010078）</v>
      </c>
    </row>
    <row r="6" spans="1:8" ht="24" customHeight="1">
      <c r="A6" s="1474" t="s">
        <v>2893</v>
      </c>
      <c r="B6" s="1474">
        <f ca="1">IF(C6&lt;B2,"已过期",1120050019)</f>
        <v>1120050019</v>
      </c>
      <c r="C6" s="2570">
        <v>44395</v>
      </c>
      <c r="D6" s="2571" t="str">
        <f t="shared" ca="1" si="0"/>
        <v>王鹏（注册号：1120050019）</v>
      </c>
      <c r="E6" s="2572" t="s">
        <v>2893</v>
      </c>
      <c r="F6" s="1474">
        <f ca="1">IF(G6&lt;B2,"已过期",2002110030)</f>
        <v>2002110030</v>
      </c>
      <c r="G6" s="2573">
        <v>46387</v>
      </c>
      <c r="H6" s="2574" t="str">
        <f t="shared" ca="1" si="1"/>
        <v>王鹏（注册号：2002110030）</v>
      </c>
    </row>
    <row r="7" spans="1:8" ht="24" customHeight="1">
      <c r="A7" s="1474" t="s">
        <v>2894</v>
      </c>
      <c r="B7" s="1474">
        <f ca="1">IF(C7&lt;B2,"已过期",1120000080)</f>
        <v>1120000080</v>
      </c>
      <c r="C7" s="2570">
        <v>44876</v>
      </c>
      <c r="D7" s="2571" t="str">
        <f t="shared" ca="1" si="0"/>
        <v>欧红伟（注册号：1120000080）</v>
      </c>
      <c r="E7" s="2572" t="s">
        <v>2894</v>
      </c>
      <c r="F7" s="1474">
        <f ca="1">IF(G7&lt;B2,"已过期",2000110082)</f>
        <v>2000110082</v>
      </c>
      <c r="G7" s="2573">
        <v>46387</v>
      </c>
      <c r="H7" s="2574" t="str">
        <f t="shared" ca="1" si="1"/>
        <v>欧红伟（注册号：2000110082）</v>
      </c>
    </row>
    <row r="8" spans="1:8" ht="24" customHeight="1">
      <c r="A8" s="1474" t="s">
        <v>2895</v>
      </c>
      <c r="B8" s="1474">
        <f ca="1">IF(C8&lt;B2,"已过期",1419970001)</f>
        <v>1419970001</v>
      </c>
      <c r="C8" s="2570">
        <v>44899</v>
      </c>
      <c r="D8" s="2571" t="str">
        <f t="shared" ca="1" si="0"/>
        <v>吴薇（注册号：1419970001）</v>
      </c>
      <c r="E8" s="2572" t="s">
        <v>2895</v>
      </c>
      <c r="F8" s="1474">
        <f ca="1">IF(G8&lt;B2,"已过期",2002110125)</f>
        <v>2002110125</v>
      </c>
      <c r="G8" s="2573">
        <v>47118</v>
      </c>
      <c r="H8" s="2574" t="str">
        <f t="shared" ca="1" si="1"/>
        <v>吴薇（注册号：2002110125）</v>
      </c>
    </row>
    <row r="9" spans="1:8" ht="24" customHeight="1">
      <c r="A9" s="1474" t="s">
        <v>2896</v>
      </c>
      <c r="B9" s="1474">
        <f ca="1">IF(C9&lt;B2,"已过期",1120060040)</f>
        <v>1120060040</v>
      </c>
      <c r="C9" s="2575">
        <v>44554</v>
      </c>
      <c r="D9" s="2571" t="str">
        <f t="shared" ca="1" si="0"/>
        <v>陈颖（注册号：1120060040）</v>
      </c>
      <c r="E9" s="2572" t="s">
        <v>2896</v>
      </c>
      <c r="F9" s="1474">
        <f ca="1">IF(G9&lt;B2,"已过期",2004110096)</f>
        <v>2004110096</v>
      </c>
      <c r="G9" s="2573">
        <v>47118</v>
      </c>
      <c r="H9" s="2574" t="str">
        <f t="shared" ca="1" si="1"/>
        <v>陈颖（注册号：2004110096）</v>
      </c>
    </row>
    <row r="10" spans="1:8" ht="24" customHeight="1">
      <c r="A10" s="1474" t="s">
        <v>2897</v>
      </c>
      <c r="B10" s="1474">
        <f ca="1">IF(C10&lt;B2,"已过期",1120100036)</f>
        <v>1120100036</v>
      </c>
      <c r="C10" s="2575">
        <v>44675</v>
      </c>
      <c r="D10" s="2571" t="str">
        <f t="shared" ca="1" si="0"/>
        <v>崔锴（注册号：1120100036）</v>
      </c>
      <c r="E10" s="2572" t="s">
        <v>2897</v>
      </c>
      <c r="F10" s="1474">
        <f ca="1">IF(G10&lt;B2,"已过期",2010110070)</f>
        <v>2010110070</v>
      </c>
      <c r="G10" s="2573">
        <v>47907</v>
      </c>
      <c r="H10" s="2574" t="str">
        <f t="shared" ca="1" si="1"/>
        <v>崔锴（注册号：2010110070）</v>
      </c>
    </row>
    <row r="11" spans="1:8" ht="24" customHeight="1">
      <c r="A11" s="1474" t="s">
        <v>2898</v>
      </c>
      <c r="B11" s="1474">
        <f ca="1">IF(C11&lt;B2,"已过期",1120070131)</f>
        <v>1120070131</v>
      </c>
      <c r="C11" s="2570">
        <v>44849</v>
      </c>
      <c r="D11" s="2571" t="str">
        <f t="shared" ca="1" si="0"/>
        <v>郑燚（注册号：1120070131）</v>
      </c>
      <c r="E11" s="2572" t="s">
        <v>2898</v>
      </c>
      <c r="F11" s="1474">
        <f ca="1">IF(G11&lt;B2,"已过期",2014110011)</f>
        <v>2014110011</v>
      </c>
      <c r="G11" s="2573">
        <v>49302</v>
      </c>
      <c r="H11" s="2574" t="str">
        <f t="shared" ca="1" si="1"/>
        <v>郑燚（注册号：2014110011）</v>
      </c>
    </row>
    <row r="12" spans="1:8" ht="24" customHeight="1">
      <c r="A12" s="1474" t="s">
        <v>2899</v>
      </c>
      <c r="B12" s="1474">
        <f ca="1">IF(C12&lt;B2,"已过期",1120040230)</f>
        <v>1120040230</v>
      </c>
      <c r="C12" s="2575">
        <v>44864</v>
      </c>
      <c r="D12" s="2571" t="str">
        <f t="shared" ca="1" si="0"/>
        <v>苏海（注册号：1120040230）</v>
      </c>
      <c r="E12" s="2572" t="s">
        <v>2899</v>
      </c>
      <c r="F12" s="1474">
        <f ca="1">IF(G12&lt;B2,"已过期",98030020)</f>
        <v>98030020</v>
      </c>
      <c r="G12" s="2573">
        <v>47118</v>
      </c>
      <c r="H12" s="2574" t="str">
        <f t="shared" ca="1" si="1"/>
        <v>苏海（注册号：98030020）</v>
      </c>
    </row>
    <row r="13" spans="1:8" ht="24" customHeight="1">
      <c r="A13" s="1474" t="s">
        <v>2900</v>
      </c>
      <c r="B13" s="1474">
        <f ca="1">IF(C13&lt;B2,"已过期",1120020033)</f>
        <v>1120020033</v>
      </c>
      <c r="C13" s="2570">
        <v>44339</v>
      </c>
      <c r="D13" s="2571" t="str">
        <f t="shared" ca="1" si="0"/>
        <v>刘敬东（注册号：1120020033）</v>
      </c>
      <c r="E13" s="2572" t="s">
        <v>2900</v>
      </c>
      <c r="F13" s="1474">
        <f ca="1">IF(G13&lt;B2,"已过期",2000110137)</f>
        <v>2000110137</v>
      </c>
      <c r="G13" s="2573">
        <v>46387</v>
      </c>
      <c r="H13" s="2574" t="str">
        <f t="shared" ca="1" si="1"/>
        <v>刘敬东（注册号：2000110137）</v>
      </c>
    </row>
    <row r="14" spans="1:8" ht="24" customHeight="1">
      <c r="A14" s="1474" t="s">
        <v>2901</v>
      </c>
      <c r="B14" s="1474">
        <f ca="1">IF(C14&lt;B2,"已过期",1119980106)</f>
        <v>1119980106</v>
      </c>
      <c r="C14" s="2575">
        <v>44969</v>
      </c>
      <c r="D14" s="2571" t="str">
        <f t="shared" ca="1" si="0"/>
        <v>刘俊财（注册号：1119980106）</v>
      </c>
      <c r="E14" s="2572" t="s">
        <v>2901</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2902</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4" t="s">
        <v>2903</v>
      </c>
      <c r="B17" s="3094"/>
      <c r="C17" s="3094"/>
      <c r="D17" s="3094"/>
      <c r="E17" s="3094"/>
      <c r="F17" s="3094"/>
      <c r="G17" s="3094"/>
      <c r="H17" s="3094"/>
    </row>
    <row r="18" spans="1:8" ht="24" customHeight="1">
      <c r="A18" s="3095" t="s">
        <v>2904</v>
      </c>
      <c r="B18" s="3095"/>
      <c r="C18" s="3095"/>
      <c r="D18" s="2568"/>
      <c r="E18" s="3096" t="s">
        <v>2905</v>
      </c>
      <c r="F18" s="3095"/>
      <c r="G18" s="3095"/>
    </row>
    <row r="19" spans="1:8" s="2579" customFormat="1" ht="24" customHeight="1">
      <c r="A19" s="2578" t="s">
        <v>2906</v>
      </c>
      <c r="B19" s="2567" t="s">
        <v>2907</v>
      </c>
      <c r="C19" s="2567" t="s">
        <v>2886</v>
      </c>
      <c r="D19" s="2568"/>
      <c r="E19" s="2572" t="s">
        <v>2906</v>
      </c>
      <c r="F19" s="2567" t="s">
        <v>2907</v>
      </c>
      <c r="G19" s="2567" t="s">
        <v>2886</v>
      </c>
    </row>
    <row r="20" spans="1:8" s="2579" customFormat="1" ht="24" customHeight="1">
      <c r="A20" s="2580" t="s">
        <v>2908</v>
      </c>
      <c r="B20" s="2580" t="s">
        <v>2909</v>
      </c>
      <c r="C20" s="2573">
        <v>44820</v>
      </c>
      <c r="D20" s="2581"/>
      <c r="E20" s="2582" t="s">
        <v>2910</v>
      </c>
      <c r="F20" s="2580" t="s">
        <v>2911</v>
      </c>
      <c r="G20" s="2583">
        <v>44377</v>
      </c>
    </row>
    <row r="21" spans="1:8" s="2579" customFormat="1" ht="24" customHeight="1">
      <c r="A21" s="2580"/>
      <c r="B21" s="2580"/>
      <c r="C21" s="2584"/>
      <c r="D21" s="2585"/>
      <c r="E21" s="2582" t="s">
        <v>2912</v>
      </c>
      <c r="F21" s="2586" t="s">
        <v>2913</v>
      </c>
      <c r="G21" s="2587">
        <v>44012</v>
      </c>
    </row>
    <row r="22" spans="1:8" ht="24" customHeight="1">
      <c r="C22" s="2588"/>
      <c r="D22" s="2588"/>
      <c r="E22" s="2589"/>
      <c r="F22" s="2590"/>
      <c r="G22" s="2591"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首开保利熙悦林语</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资产证券化现金流预测</vt:lpstr>
      <vt:lpstr>土地案例</vt:lpstr>
      <vt:lpstr>估价结果</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2021-01-22T02:35:54Z</dcterms:modified>
</cp:coreProperties>
</file>